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embeddings/oleObject2.bin" ContentType="application/vnd.openxmlformats-officedocument.oleObject"/>
  <Override PartName="/xl/embeddings/oleObject1.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46458\Desktop\张宇杰数据\"/>
    </mc:Choice>
  </mc:AlternateContent>
  <xr:revisionPtr revIDLastSave="0" documentId="13_ncr:1_{7A16FA3F-0408-4449-B615-9E89E31660CA}" xr6:coauthVersionLast="36" xr6:coauthVersionMax="47" xr10:uidLastSave="{00000000-0000-0000-0000-000000000000}"/>
  <bookViews>
    <workbookView xWindow="0" yWindow="0" windowWidth="28800" windowHeight="12135" activeTab="4" xr2:uid="{00000000-000D-0000-FFFF-FFFF00000000}"/>
  </bookViews>
  <sheets>
    <sheet name="chemical_SAM-20210719" sheetId="28" r:id="rId1"/>
    <sheet name="Chemical properties 20210719" sheetId="26" r:id="rId2"/>
    <sheet name="Centrifuge-20211005" sheetId="23" r:id="rId3"/>
    <sheet name="Chamber-20210920" sheetId="12" r:id="rId4"/>
    <sheet name="pH and EC 20210719" sheetId="22" r:id="rId5"/>
    <sheet name="Ksat ChoctawTucker 20210719" sheetId="10" r:id="rId6"/>
    <sheet name="Aggregates 20210719" sheetId="21" r:id="rId7"/>
    <sheet name="Soil moisture 202012" sheetId="24" r:id="rId8"/>
    <sheet name="Soil Sample Remaining" sheetId="19" r:id="rId9"/>
    <sheet name="Ksat for Sam" sheetId="18" r:id="rId10"/>
    <sheet name="Fresh soil water content in Sam" sheetId="14" r:id="rId11"/>
    <sheet name="Chemi properties for Sam 2020" sheetId="13" r:id="rId12"/>
    <sheet name="Ammonia and nitratre for Sam" sheetId="15" r:id="rId13"/>
    <sheet name=" water reten-parameters for Sam" sheetId="16" r:id="rId14"/>
    <sheet name="Ksat tested before 2021.1" sheetId="17" r:id="rId15"/>
  </sheets>
  <calcPr calcId="191029"/>
</workbook>
</file>

<file path=xl/calcChain.xml><?xml version="1.0" encoding="utf-8"?>
<calcChain xmlns="http://schemas.openxmlformats.org/spreadsheetml/2006/main">
  <c r="W38" i="22" l="1"/>
  <c r="Z38" i="22"/>
  <c r="V38" i="22"/>
  <c r="V28" i="22"/>
  <c r="V27" i="22"/>
  <c r="Z27" i="22"/>
  <c r="W27" i="22"/>
  <c r="Y27" i="22"/>
  <c r="Y38" i="22"/>
  <c r="D621" i="23" l="1"/>
  <c r="BD584" i="23" l="1"/>
  <c r="BD569" i="23"/>
  <c r="BX569" i="23"/>
  <c r="BB585" i="23"/>
  <c r="S569" i="23" l="1"/>
  <c r="N569" i="23"/>
  <c r="I569" i="23"/>
  <c r="D569" i="23"/>
  <c r="BW637" i="23" l="1"/>
  <c r="BY635" i="23" s="1"/>
  <c r="BP637" i="23"/>
  <c r="BR636" i="23" s="1"/>
  <c r="BT636" i="23" s="1"/>
  <c r="BU636" i="23" s="1"/>
  <c r="BI637" i="23"/>
  <c r="BB637" i="23"/>
  <c r="BZ636" i="23"/>
  <c r="BY636" i="23"/>
  <c r="CA636" i="23" s="1"/>
  <c r="CB636" i="23" s="1"/>
  <c r="BX636" i="23"/>
  <c r="BS636" i="23"/>
  <c r="BQ636" i="23"/>
  <c r="BL636" i="23"/>
  <c r="BJ636" i="23"/>
  <c r="BE636" i="23"/>
  <c r="BD636" i="23"/>
  <c r="BF636" i="23" s="1"/>
  <c r="BC636" i="23"/>
  <c r="AX636" i="23"/>
  <c r="AT636" i="23"/>
  <c r="AW636" i="23" s="1"/>
  <c r="AY636" i="23" s="1"/>
  <c r="AM636" i="23"/>
  <c r="AI636" i="23"/>
  <c r="AF636" i="23"/>
  <c r="AJ636" i="23" s="1"/>
  <c r="Y636" i="23"/>
  <c r="BZ635" i="23"/>
  <c r="BX635" i="23"/>
  <c r="BS635" i="23"/>
  <c r="BR635" i="23"/>
  <c r="BT635" i="23" s="1"/>
  <c r="BU635" i="23" s="1"/>
  <c r="BQ635" i="23"/>
  <c r="BL635" i="23"/>
  <c r="BJ635" i="23"/>
  <c r="BE635" i="23"/>
  <c r="BD635" i="23"/>
  <c r="BF635" i="23" s="1"/>
  <c r="BG635" i="23" s="1"/>
  <c r="BC635" i="23"/>
  <c r="AT635" i="23"/>
  <c r="AQ635" i="23"/>
  <c r="AP635" i="23"/>
  <c r="AR635" i="23" s="1"/>
  <c r="AM635" i="23"/>
  <c r="AF635" i="23"/>
  <c r="Y635" i="23"/>
  <c r="AC635" i="23" s="1"/>
  <c r="BZ634" i="23"/>
  <c r="BY634" i="23"/>
  <c r="CA634" i="23" s="1"/>
  <c r="CB634" i="23" s="1"/>
  <c r="BX634" i="23"/>
  <c r="BS634" i="23"/>
  <c r="BQ634" i="23"/>
  <c r="BL634" i="23"/>
  <c r="BJ634" i="23"/>
  <c r="BE634" i="23"/>
  <c r="BD634" i="23"/>
  <c r="BF634" i="23" s="1"/>
  <c r="BC634" i="23"/>
  <c r="AX634" i="23"/>
  <c r="AW634" i="23"/>
  <c r="AY634" i="23" s="1"/>
  <c r="AT634" i="23"/>
  <c r="AM634" i="23"/>
  <c r="AJ634" i="23"/>
  <c r="AF634" i="23"/>
  <c r="AI634" i="23" s="1"/>
  <c r="AK634" i="23" s="1"/>
  <c r="Y634" i="23"/>
  <c r="BZ633" i="23"/>
  <c r="BX633" i="23"/>
  <c r="BS633" i="23"/>
  <c r="BR633" i="23"/>
  <c r="BT633" i="23" s="1"/>
  <c r="BU633" i="23" s="1"/>
  <c r="BQ633" i="23"/>
  <c r="BL633" i="23"/>
  <c r="BJ633" i="23"/>
  <c r="BE633" i="23"/>
  <c r="BD633" i="23"/>
  <c r="BF633" i="23" s="1"/>
  <c r="BG633" i="23" s="1"/>
  <c r="BC633" i="23"/>
  <c r="AT633" i="23"/>
  <c r="AQ633" i="23"/>
  <c r="AM633" i="23"/>
  <c r="AP633" i="23" s="1"/>
  <c r="AR633" i="23" s="1"/>
  <c r="AF633" i="23"/>
  <c r="AC633" i="23"/>
  <c r="Y633" i="23"/>
  <c r="AB633" i="23" s="1"/>
  <c r="AD633" i="23" s="1"/>
  <c r="BZ632" i="23"/>
  <c r="BY632" i="23"/>
  <c r="CA632" i="23" s="1"/>
  <c r="CB632" i="23" s="1"/>
  <c r="BX632" i="23"/>
  <c r="BS632" i="23"/>
  <c r="BQ632" i="23"/>
  <c r="BL632" i="23"/>
  <c r="BJ632" i="23"/>
  <c r="BE632" i="23"/>
  <c r="BD632" i="23"/>
  <c r="BF632" i="23" s="1"/>
  <c r="BC632" i="23"/>
  <c r="AX632" i="23"/>
  <c r="AW632" i="23"/>
  <c r="AT632" i="23"/>
  <c r="AM632" i="23"/>
  <c r="AF632" i="23"/>
  <c r="AJ632" i="23" s="1"/>
  <c r="Y632" i="23"/>
  <c r="BZ631" i="23"/>
  <c r="BX631" i="23"/>
  <c r="BS631" i="23"/>
  <c r="BR631" i="23"/>
  <c r="BT631" i="23" s="1"/>
  <c r="BQ631" i="23"/>
  <c r="BL631" i="23"/>
  <c r="BJ631" i="23"/>
  <c r="BE631" i="23"/>
  <c r="BD631" i="23"/>
  <c r="BF631" i="23" s="1"/>
  <c r="BG631" i="23" s="1"/>
  <c r="BC631" i="23"/>
  <c r="AT631" i="23"/>
  <c r="AQ631" i="23"/>
  <c r="AP631" i="23"/>
  <c r="AR631" i="23" s="1"/>
  <c r="AM631" i="23"/>
  <c r="AF631" i="23"/>
  <c r="Y631" i="23"/>
  <c r="AC631" i="23" s="1"/>
  <c r="BZ630" i="23"/>
  <c r="BY630" i="23"/>
  <c r="CA630" i="23" s="1"/>
  <c r="CB630" i="23" s="1"/>
  <c r="BX630" i="23"/>
  <c r="BS630" i="23"/>
  <c r="BR630" i="23"/>
  <c r="BT630" i="23" s="1"/>
  <c r="BU630" i="23" s="1"/>
  <c r="BQ630" i="23"/>
  <c r="BL630" i="23"/>
  <c r="BJ630" i="23"/>
  <c r="BE630" i="23"/>
  <c r="BD630" i="23"/>
  <c r="BF630" i="23" s="1"/>
  <c r="BC630" i="23"/>
  <c r="AT630" i="23"/>
  <c r="AX630" i="23" s="1"/>
  <c r="AM630" i="23"/>
  <c r="AF630" i="23"/>
  <c r="AJ630" i="23" s="1"/>
  <c r="Y630" i="23"/>
  <c r="BZ629" i="23"/>
  <c r="BX629" i="23"/>
  <c r="BS629" i="23"/>
  <c r="BR629" i="23"/>
  <c r="BT629" i="23" s="1"/>
  <c r="BQ629" i="23"/>
  <c r="BL629" i="23"/>
  <c r="BJ629" i="23"/>
  <c r="BE629" i="23"/>
  <c r="BD629" i="23"/>
  <c r="BF629" i="23" s="1"/>
  <c r="BG629" i="23" s="1"/>
  <c r="BC629" i="23"/>
  <c r="AT629" i="23"/>
  <c r="AM629" i="23"/>
  <c r="AP629" i="23" s="1"/>
  <c r="AF629" i="23"/>
  <c r="Y629" i="23"/>
  <c r="AB629" i="23" s="1"/>
  <c r="BZ628" i="23"/>
  <c r="BY628" i="23"/>
  <c r="CA628" i="23" s="1"/>
  <c r="CB628" i="23" s="1"/>
  <c r="BX628" i="23"/>
  <c r="BS628" i="23"/>
  <c r="BR628" i="23"/>
  <c r="BT628" i="23" s="1"/>
  <c r="BU628" i="23" s="1"/>
  <c r="BQ628" i="23"/>
  <c r="BL628" i="23"/>
  <c r="BJ628" i="23"/>
  <c r="BE628" i="23"/>
  <c r="BD628" i="23"/>
  <c r="BF628" i="23" s="1"/>
  <c r="BC628" i="23"/>
  <c r="AT628" i="23"/>
  <c r="AX628" i="23" s="1"/>
  <c r="AM628" i="23"/>
  <c r="AF628" i="23"/>
  <c r="AJ628" i="23" s="1"/>
  <c r="Y628" i="23"/>
  <c r="BZ627" i="23"/>
  <c r="BX627" i="23"/>
  <c r="BS627" i="23"/>
  <c r="BR627" i="23"/>
  <c r="BT627" i="23" s="1"/>
  <c r="BQ627" i="23"/>
  <c r="BL627" i="23"/>
  <c r="BJ627" i="23"/>
  <c r="BE627" i="23"/>
  <c r="BD627" i="23"/>
  <c r="BF627" i="23" s="1"/>
  <c r="BG627" i="23" s="1"/>
  <c r="BC627" i="23"/>
  <c r="AT627" i="23"/>
  <c r="AM627" i="23"/>
  <c r="AQ627" i="23" s="1"/>
  <c r="AF627" i="23"/>
  <c r="AJ627" i="23" s="1"/>
  <c r="Y627" i="23"/>
  <c r="AC627" i="23" s="1"/>
  <c r="BZ626" i="23"/>
  <c r="BY626" i="23"/>
  <c r="CA626" i="23" s="1"/>
  <c r="BX626" i="23"/>
  <c r="BS626" i="23"/>
  <c r="BR626" i="23"/>
  <c r="BT626" i="23" s="1"/>
  <c r="BU626" i="23" s="1"/>
  <c r="BQ626" i="23"/>
  <c r="BL626" i="23"/>
  <c r="BJ626" i="23"/>
  <c r="BE626" i="23"/>
  <c r="BD626" i="23"/>
  <c r="BF626" i="23" s="1"/>
  <c r="BC626" i="23"/>
  <c r="AT626" i="23"/>
  <c r="AX626" i="23" s="1"/>
  <c r="AM626" i="23"/>
  <c r="AF626" i="23"/>
  <c r="AJ626" i="23" s="1"/>
  <c r="Y626" i="23"/>
  <c r="AC626" i="23" s="1"/>
  <c r="BZ625" i="23"/>
  <c r="BX625" i="23"/>
  <c r="BS625" i="23"/>
  <c r="BR625" i="23"/>
  <c r="BT625" i="23" s="1"/>
  <c r="BU625" i="23" s="1"/>
  <c r="BQ625" i="23"/>
  <c r="BL625" i="23"/>
  <c r="BJ625" i="23"/>
  <c r="BE625" i="23"/>
  <c r="BD625" i="23"/>
  <c r="BF625" i="23" s="1"/>
  <c r="BG625" i="23" s="1"/>
  <c r="BC625" i="23"/>
  <c r="AT625" i="23"/>
  <c r="AX625" i="23" s="1"/>
  <c r="AM625" i="23"/>
  <c r="AQ625" i="23" s="1"/>
  <c r="AF625" i="23"/>
  <c r="AJ625" i="23" s="1"/>
  <c r="Y625" i="23"/>
  <c r="AC625" i="23" s="1"/>
  <c r="BZ624" i="23"/>
  <c r="BY624" i="23"/>
  <c r="BX624" i="23"/>
  <c r="BS624" i="23"/>
  <c r="BR624" i="23"/>
  <c r="BT624" i="23" s="1"/>
  <c r="BU624" i="23" s="1"/>
  <c r="BQ624" i="23"/>
  <c r="BL624" i="23"/>
  <c r="BJ624" i="23"/>
  <c r="BE624" i="23"/>
  <c r="BD624" i="23"/>
  <c r="BF624" i="23" s="1"/>
  <c r="BC624" i="23"/>
  <c r="AT624" i="23"/>
  <c r="AW624" i="23" s="1"/>
  <c r="AM624" i="23"/>
  <c r="AQ624" i="23" s="1"/>
  <c r="AF624" i="23"/>
  <c r="AJ624" i="23" s="1"/>
  <c r="Y624" i="23"/>
  <c r="AC624" i="23" s="1"/>
  <c r="BZ623" i="23"/>
  <c r="BX623" i="23"/>
  <c r="BS623" i="23"/>
  <c r="BR623" i="23"/>
  <c r="BT623" i="23" s="1"/>
  <c r="BU623" i="23" s="1"/>
  <c r="BQ623" i="23"/>
  <c r="BL623" i="23"/>
  <c r="BJ623" i="23"/>
  <c r="BE623" i="23"/>
  <c r="BD623" i="23"/>
  <c r="BF623" i="23" s="1"/>
  <c r="BG623" i="23" s="1"/>
  <c r="BC623" i="23"/>
  <c r="AT623" i="23"/>
  <c r="AX623" i="23" s="1"/>
  <c r="AM623" i="23"/>
  <c r="AQ623" i="23" s="1"/>
  <c r="AF623" i="23"/>
  <c r="AJ623" i="23" s="1"/>
  <c r="Y623" i="23"/>
  <c r="AC623" i="23" s="1"/>
  <c r="BZ622" i="23"/>
  <c r="BY622" i="23"/>
  <c r="CA622" i="23" s="1"/>
  <c r="CB622" i="23" s="1"/>
  <c r="BX622" i="23"/>
  <c r="BS622" i="23"/>
  <c r="BR622" i="23"/>
  <c r="BT622" i="23" s="1"/>
  <c r="BU622" i="23" s="1"/>
  <c r="BQ622" i="23"/>
  <c r="BL622" i="23"/>
  <c r="BK622" i="23"/>
  <c r="BM622" i="23" s="1"/>
  <c r="BN622" i="23" s="1"/>
  <c r="BJ622" i="23"/>
  <c r="BE622" i="23"/>
  <c r="BD622" i="23"/>
  <c r="BF622" i="23" s="1"/>
  <c r="BG622" i="23" s="1"/>
  <c r="BC622" i="23"/>
  <c r="AT622" i="23"/>
  <c r="AX622" i="23" s="1"/>
  <c r="AM622" i="23"/>
  <c r="AQ622" i="23" s="1"/>
  <c r="AF622" i="23"/>
  <c r="AJ622" i="23" s="1"/>
  <c r="AB622" i="23"/>
  <c r="AD622" i="23" s="1"/>
  <c r="Y622" i="23"/>
  <c r="AC622" i="23" s="1"/>
  <c r="BZ621" i="23"/>
  <c r="BX621" i="23"/>
  <c r="BS621" i="23"/>
  <c r="BR621" i="23"/>
  <c r="BT621" i="23" s="1"/>
  <c r="BU621" i="23" s="1"/>
  <c r="BQ621" i="23"/>
  <c r="BL621" i="23"/>
  <c r="BJ621" i="23"/>
  <c r="BE621" i="23"/>
  <c r="BD621" i="23"/>
  <c r="BF621" i="23" s="1"/>
  <c r="BG621" i="23" s="1"/>
  <c r="BC621" i="23"/>
  <c r="AT621" i="23"/>
  <c r="AX621" i="23" s="1"/>
  <c r="AM621" i="23"/>
  <c r="AQ621" i="23" s="1"/>
  <c r="AF621" i="23"/>
  <c r="AJ621" i="23" s="1"/>
  <c r="Y621" i="23"/>
  <c r="AB621" i="23" s="1"/>
  <c r="BW611" i="23"/>
  <c r="BY606" i="23" s="1"/>
  <c r="CA606" i="23" s="1"/>
  <c r="CB606" i="23" s="1"/>
  <c r="BP611" i="23"/>
  <c r="BR609" i="23" s="1"/>
  <c r="BI611" i="23"/>
  <c r="BK602" i="23" s="1"/>
  <c r="BB611" i="23"/>
  <c r="BD607" i="23" s="1"/>
  <c r="BF607" i="23" s="1"/>
  <c r="BZ610" i="23"/>
  <c r="BX610" i="23"/>
  <c r="BS610" i="23"/>
  <c r="BQ610" i="23"/>
  <c r="BL610" i="23"/>
  <c r="BJ610" i="23"/>
  <c r="BE610" i="23"/>
  <c r="BC610" i="23"/>
  <c r="AT610" i="23"/>
  <c r="AX610" i="23" s="1"/>
  <c r="AM610" i="23"/>
  <c r="AF610" i="23"/>
  <c r="AJ610" i="23" s="1"/>
  <c r="Y610" i="23"/>
  <c r="BZ609" i="23"/>
  <c r="BX609" i="23"/>
  <c r="BS609" i="23"/>
  <c r="BQ609" i="23"/>
  <c r="BL609" i="23"/>
  <c r="BJ609" i="23"/>
  <c r="BE609" i="23"/>
  <c r="BC609" i="23"/>
  <c r="AT609" i="23"/>
  <c r="AM609" i="23"/>
  <c r="AQ609" i="23" s="1"/>
  <c r="AF609" i="23"/>
  <c r="Y609" i="23"/>
  <c r="AC609" i="23" s="1"/>
  <c r="BZ608" i="23"/>
  <c r="BX608" i="23"/>
  <c r="BS608" i="23"/>
  <c r="BQ608" i="23"/>
  <c r="BL608" i="23"/>
  <c r="BJ608" i="23"/>
  <c r="BE608" i="23"/>
  <c r="BC608" i="23"/>
  <c r="AT608" i="23"/>
  <c r="AX608" i="23" s="1"/>
  <c r="AM608" i="23"/>
  <c r="AF608" i="23"/>
  <c r="AJ608" i="23" s="1"/>
  <c r="Y608" i="23"/>
  <c r="BZ607" i="23"/>
  <c r="BX607" i="23"/>
  <c r="BS607" i="23"/>
  <c r="BQ607" i="23"/>
  <c r="BL607" i="23"/>
  <c r="BJ607" i="23"/>
  <c r="BE607" i="23"/>
  <c r="BC607" i="23"/>
  <c r="AT607" i="23"/>
  <c r="AM607" i="23"/>
  <c r="AQ607" i="23" s="1"/>
  <c r="AF607" i="23"/>
  <c r="Y607" i="23"/>
  <c r="AC607" i="23" s="1"/>
  <c r="BZ606" i="23"/>
  <c r="BX606" i="23"/>
  <c r="BS606" i="23"/>
  <c r="BQ606" i="23"/>
  <c r="BL606" i="23"/>
  <c r="BJ606" i="23"/>
  <c r="BE606" i="23"/>
  <c r="BC606" i="23"/>
  <c r="AT606" i="23"/>
  <c r="AX606" i="23" s="1"/>
  <c r="AM606" i="23"/>
  <c r="AF606" i="23"/>
  <c r="AJ606" i="23" s="1"/>
  <c r="Y606" i="23"/>
  <c r="BZ605" i="23"/>
  <c r="BX605" i="23"/>
  <c r="BS605" i="23"/>
  <c r="BQ605" i="23"/>
  <c r="BL605" i="23"/>
  <c r="BJ605" i="23"/>
  <c r="BE605" i="23"/>
  <c r="BD605" i="23"/>
  <c r="BF605" i="23" s="1"/>
  <c r="BG605" i="23" s="1"/>
  <c r="BC605" i="23"/>
  <c r="AT605" i="23"/>
  <c r="AM605" i="23"/>
  <c r="AQ605" i="23" s="1"/>
  <c r="AF605" i="23"/>
  <c r="Y605" i="23"/>
  <c r="AC605" i="23" s="1"/>
  <c r="BZ604" i="23"/>
  <c r="BX604" i="23"/>
  <c r="BS604" i="23"/>
  <c r="BQ604" i="23"/>
  <c r="BL604" i="23"/>
  <c r="BJ604" i="23"/>
  <c r="BE604" i="23"/>
  <c r="BC604" i="23"/>
  <c r="AT604" i="23"/>
  <c r="AX604" i="23" s="1"/>
  <c r="AM604" i="23"/>
  <c r="AF604" i="23"/>
  <c r="AJ604" i="23" s="1"/>
  <c r="Y604" i="23"/>
  <c r="BZ603" i="23"/>
  <c r="BX603" i="23"/>
  <c r="BS603" i="23"/>
  <c r="BQ603" i="23"/>
  <c r="BL603" i="23"/>
  <c r="BJ603" i="23"/>
  <c r="BE603" i="23"/>
  <c r="BC603" i="23"/>
  <c r="AT603" i="23"/>
  <c r="AM603" i="23"/>
  <c r="AQ603" i="23" s="1"/>
  <c r="AF603" i="23"/>
  <c r="Y603" i="23"/>
  <c r="AC603" i="23" s="1"/>
  <c r="BZ602" i="23"/>
  <c r="BX602" i="23"/>
  <c r="BS602" i="23"/>
  <c r="BQ602" i="23"/>
  <c r="BL602" i="23"/>
  <c r="BJ602" i="23"/>
  <c r="BE602" i="23"/>
  <c r="BC602" i="23"/>
  <c r="AT602" i="23"/>
  <c r="AW602" i="23" s="1"/>
  <c r="AM602" i="23"/>
  <c r="AF602" i="23"/>
  <c r="AI602" i="23" s="1"/>
  <c r="Y602" i="23"/>
  <c r="BZ601" i="23"/>
  <c r="BX601" i="23"/>
  <c r="BS601" i="23"/>
  <c r="BQ601" i="23"/>
  <c r="BL601" i="23"/>
  <c r="BJ601" i="23"/>
  <c r="BE601" i="23"/>
  <c r="BC601" i="23"/>
  <c r="AT601" i="23"/>
  <c r="AM601" i="23"/>
  <c r="AP601" i="23" s="1"/>
  <c r="AF601" i="23"/>
  <c r="Y601" i="23"/>
  <c r="AC601" i="23" s="1"/>
  <c r="BZ600" i="23"/>
  <c r="BX600" i="23"/>
  <c r="BS600" i="23"/>
  <c r="BQ600" i="23"/>
  <c r="BL600" i="23"/>
  <c r="BK600" i="23"/>
  <c r="BJ600" i="23"/>
  <c r="BE600" i="23"/>
  <c r="BC600" i="23"/>
  <c r="AT600" i="23"/>
  <c r="AW600" i="23" s="1"/>
  <c r="AM600" i="23"/>
  <c r="AF600" i="23"/>
  <c r="AI600" i="23" s="1"/>
  <c r="Y600" i="23"/>
  <c r="BZ599" i="23"/>
  <c r="BX599" i="23"/>
  <c r="BS599" i="23"/>
  <c r="BQ599" i="23"/>
  <c r="BL599" i="23"/>
  <c r="BJ599" i="23"/>
  <c r="BE599" i="23"/>
  <c r="BD599" i="23"/>
  <c r="BC599" i="23"/>
  <c r="AT599" i="23"/>
  <c r="AM599" i="23"/>
  <c r="AQ599" i="23" s="1"/>
  <c r="AF599" i="23"/>
  <c r="Y599" i="23"/>
  <c r="AC599" i="23" s="1"/>
  <c r="BZ598" i="23"/>
  <c r="BX598" i="23"/>
  <c r="BS598" i="23"/>
  <c r="BQ598" i="23"/>
  <c r="BL598" i="23"/>
  <c r="BJ598" i="23"/>
  <c r="BE598" i="23"/>
  <c r="BC598" i="23"/>
  <c r="AT598" i="23"/>
  <c r="AW598" i="23" s="1"/>
  <c r="AM598" i="23"/>
  <c r="AF598" i="23"/>
  <c r="AI598" i="23" s="1"/>
  <c r="Y598" i="23"/>
  <c r="BZ597" i="23"/>
  <c r="BX597" i="23"/>
  <c r="BS597" i="23"/>
  <c r="BQ597" i="23"/>
  <c r="BL597" i="23"/>
  <c r="BJ597" i="23"/>
  <c r="BE597" i="23"/>
  <c r="BC597" i="23"/>
  <c r="AT597" i="23"/>
  <c r="AM597" i="23"/>
  <c r="AQ597" i="23" s="1"/>
  <c r="AF597" i="23"/>
  <c r="Y597" i="23"/>
  <c r="AC597" i="23" s="1"/>
  <c r="BZ596" i="23"/>
  <c r="BY596" i="23"/>
  <c r="CA596" i="23" s="1"/>
  <c r="CB596" i="23" s="1"/>
  <c r="BX596" i="23"/>
  <c r="BS596" i="23"/>
  <c r="BQ596" i="23"/>
  <c r="BL596" i="23"/>
  <c r="BK596" i="23"/>
  <c r="BM596" i="23" s="1"/>
  <c r="BN596" i="23" s="1"/>
  <c r="BJ596" i="23"/>
  <c r="BE596" i="23"/>
  <c r="BC596" i="23"/>
  <c r="AT596" i="23"/>
  <c r="AW596" i="23" s="1"/>
  <c r="AM596" i="23"/>
  <c r="AF596" i="23"/>
  <c r="AI596" i="23" s="1"/>
  <c r="Y596" i="23"/>
  <c r="BZ595" i="23"/>
  <c r="BX595" i="23"/>
  <c r="BS595" i="23"/>
  <c r="BQ595" i="23"/>
  <c r="BL595" i="23"/>
  <c r="BJ595" i="23"/>
  <c r="BE595" i="23"/>
  <c r="BD595" i="23"/>
  <c r="BF595" i="23" s="1"/>
  <c r="BC595" i="23"/>
  <c r="AT595" i="23"/>
  <c r="AM595" i="23"/>
  <c r="AQ595" i="23" s="1"/>
  <c r="AF595" i="23"/>
  <c r="Y595" i="23"/>
  <c r="AC595" i="23" s="1"/>
  <c r="BW585" i="23"/>
  <c r="BY584" i="23" s="1"/>
  <c r="BP585" i="23"/>
  <c r="BR584" i="23" s="1"/>
  <c r="BI585" i="23"/>
  <c r="BK584" i="23" s="1"/>
  <c r="BM584" i="23" s="1"/>
  <c r="BN584" i="23" s="1"/>
  <c r="BD577" i="23"/>
  <c r="BF577" i="23" s="1"/>
  <c r="BG577" i="23" s="1"/>
  <c r="BZ584" i="23"/>
  <c r="BX584" i="23"/>
  <c r="BS584" i="23"/>
  <c r="BQ584" i="23"/>
  <c r="BL584" i="23"/>
  <c r="BJ584" i="23"/>
  <c r="BE584" i="23"/>
  <c r="BC584" i="23"/>
  <c r="AT584" i="23"/>
  <c r="AX584" i="23" s="1"/>
  <c r="AM584" i="23"/>
  <c r="AP584" i="23" s="1"/>
  <c r="AF584" i="23"/>
  <c r="AJ584" i="23" s="1"/>
  <c r="Y584" i="23"/>
  <c r="AB584" i="23" s="1"/>
  <c r="BZ583" i="23"/>
  <c r="BX583" i="23"/>
  <c r="BS583" i="23"/>
  <c r="BQ583" i="23"/>
  <c r="BL583" i="23"/>
  <c r="BJ583" i="23"/>
  <c r="BE583" i="23"/>
  <c r="BC583" i="23"/>
  <c r="AT583" i="23"/>
  <c r="AW583" i="23" s="1"/>
  <c r="AM583" i="23"/>
  <c r="AP583" i="23" s="1"/>
  <c r="AF583" i="23"/>
  <c r="AI583" i="23" s="1"/>
  <c r="Y583" i="23"/>
  <c r="AC583" i="23" s="1"/>
  <c r="BZ582" i="23"/>
  <c r="BX582" i="23"/>
  <c r="BS582" i="23"/>
  <c r="BQ582" i="23"/>
  <c r="BL582" i="23"/>
  <c r="BJ582" i="23"/>
  <c r="BE582" i="23"/>
  <c r="BC582" i="23"/>
  <c r="AT582" i="23"/>
  <c r="AW582" i="23" s="1"/>
  <c r="AM582" i="23"/>
  <c r="AP582" i="23" s="1"/>
  <c r="AF582" i="23"/>
  <c r="AJ582" i="23" s="1"/>
  <c r="Y582" i="23"/>
  <c r="AB582" i="23" s="1"/>
  <c r="BZ581" i="23"/>
  <c r="BX581" i="23"/>
  <c r="BS581" i="23"/>
  <c r="BQ581" i="23"/>
  <c r="BL581" i="23"/>
  <c r="BJ581" i="23"/>
  <c r="BE581" i="23"/>
  <c r="BC581" i="23"/>
  <c r="AT581" i="23"/>
  <c r="AW581" i="23" s="1"/>
  <c r="AM581" i="23"/>
  <c r="AP581" i="23" s="1"/>
  <c r="AF581" i="23"/>
  <c r="AI581" i="23" s="1"/>
  <c r="Y581" i="23"/>
  <c r="AC581" i="23" s="1"/>
  <c r="BZ580" i="23"/>
  <c r="BY580" i="23"/>
  <c r="BX580" i="23"/>
  <c r="BS580" i="23"/>
  <c r="BQ580" i="23"/>
  <c r="BL580" i="23"/>
  <c r="BJ580" i="23"/>
  <c r="BE580" i="23"/>
  <c r="BC580" i="23"/>
  <c r="AT580" i="23"/>
  <c r="AW580" i="23" s="1"/>
  <c r="AM580" i="23"/>
  <c r="AP580" i="23" s="1"/>
  <c r="AF580" i="23"/>
  <c r="AJ580" i="23" s="1"/>
  <c r="Y580" i="23"/>
  <c r="AB580" i="23" s="1"/>
  <c r="BZ579" i="23"/>
  <c r="BX579" i="23"/>
  <c r="BS579" i="23"/>
  <c r="BQ579" i="23"/>
  <c r="BL579" i="23"/>
  <c r="BJ579" i="23"/>
  <c r="BE579" i="23"/>
  <c r="BC579" i="23"/>
  <c r="AT579" i="23"/>
  <c r="AW579" i="23" s="1"/>
  <c r="AM579" i="23"/>
  <c r="AQ579" i="23" s="1"/>
  <c r="AF579" i="23"/>
  <c r="AI579" i="23" s="1"/>
  <c r="Y579" i="23"/>
  <c r="AC579" i="23" s="1"/>
  <c r="BZ578" i="23"/>
  <c r="BY578" i="23"/>
  <c r="BX578" i="23"/>
  <c r="BS578" i="23"/>
  <c r="BR578" i="23"/>
  <c r="BQ578" i="23"/>
  <c r="BL578" i="23"/>
  <c r="BJ578" i="23"/>
  <c r="BE578" i="23"/>
  <c r="BC578" i="23"/>
  <c r="AT578" i="23"/>
  <c r="AW578" i="23" s="1"/>
  <c r="AM578" i="23"/>
  <c r="AP578" i="23" s="1"/>
  <c r="AF578" i="23"/>
  <c r="AJ578" i="23" s="1"/>
  <c r="Y578" i="23"/>
  <c r="AB578" i="23" s="1"/>
  <c r="BZ577" i="23"/>
  <c r="BY577" i="23"/>
  <c r="BX577" i="23"/>
  <c r="BS577" i="23"/>
  <c r="BQ577" i="23"/>
  <c r="BL577" i="23"/>
  <c r="BK577" i="23"/>
  <c r="BM577" i="23" s="1"/>
  <c r="BN577" i="23" s="1"/>
  <c r="BJ577" i="23"/>
  <c r="BE577" i="23"/>
  <c r="BC577" i="23"/>
  <c r="AT577" i="23"/>
  <c r="AW577" i="23" s="1"/>
  <c r="AM577" i="23"/>
  <c r="AQ577" i="23" s="1"/>
  <c r="AF577" i="23"/>
  <c r="AI577" i="23" s="1"/>
  <c r="Y577" i="23"/>
  <c r="AC577" i="23" s="1"/>
  <c r="BZ576" i="23"/>
  <c r="BX576" i="23"/>
  <c r="BS576" i="23"/>
  <c r="BQ576" i="23"/>
  <c r="BL576" i="23"/>
  <c r="BJ576" i="23"/>
  <c r="BE576" i="23"/>
  <c r="BC576" i="23"/>
  <c r="AT576" i="23"/>
  <c r="AX576" i="23" s="1"/>
  <c r="AM576" i="23"/>
  <c r="AP576" i="23" s="1"/>
  <c r="AF576" i="23"/>
  <c r="AJ576" i="23" s="1"/>
  <c r="Y576" i="23"/>
  <c r="AB576" i="23" s="1"/>
  <c r="BZ575" i="23"/>
  <c r="BX575" i="23"/>
  <c r="BS575" i="23"/>
  <c r="BQ575" i="23"/>
  <c r="BL575" i="23"/>
  <c r="BJ575" i="23"/>
  <c r="BE575" i="23"/>
  <c r="BD575" i="23"/>
  <c r="BF575" i="23" s="1"/>
  <c r="BC575" i="23"/>
  <c r="AT575" i="23"/>
  <c r="AW575" i="23" s="1"/>
  <c r="AM575" i="23"/>
  <c r="AP575" i="23" s="1"/>
  <c r="AF575" i="23"/>
  <c r="AI575" i="23" s="1"/>
  <c r="Y575" i="23"/>
  <c r="AB575" i="23" s="1"/>
  <c r="BZ574" i="23"/>
  <c r="BX574" i="23"/>
  <c r="BS574" i="23"/>
  <c r="BQ574" i="23"/>
  <c r="BL574" i="23"/>
  <c r="BJ574" i="23"/>
  <c r="BE574" i="23"/>
  <c r="BC574" i="23"/>
  <c r="AT574" i="23"/>
  <c r="AW574" i="23" s="1"/>
  <c r="AM574" i="23"/>
  <c r="AP574" i="23" s="1"/>
  <c r="AF574" i="23"/>
  <c r="AI574" i="23" s="1"/>
  <c r="Y574" i="23"/>
  <c r="AB574" i="23" s="1"/>
  <c r="BZ573" i="23"/>
  <c r="BX573" i="23"/>
  <c r="BS573" i="23"/>
  <c r="BQ573" i="23"/>
  <c r="BL573" i="23"/>
  <c r="BK573" i="23"/>
  <c r="BM573" i="23" s="1"/>
  <c r="BJ573" i="23"/>
  <c r="BE573" i="23"/>
  <c r="BC573" i="23"/>
  <c r="AT573" i="23"/>
  <c r="AW573" i="23" s="1"/>
  <c r="AM573" i="23"/>
  <c r="AQ573" i="23" s="1"/>
  <c r="AF573" i="23"/>
  <c r="AI573" i="23" s="1"/>
  <c r="Y573" i="23"/>
  <c r="AB573" i="23" s="1"/>
  <c r="BZ572" i="23"/>
  <c r="BX572" i="23"/>
  <c r="BS572" i="23"/>
  <c r="BQ572" i="23"/>
  <c r="BL572" i="23"/>
  <c r="BJ572" i="23"/>
  <c r="BE572" i="23"/>
  <c r="BC572" i="23"/>
  <c r="AT572" i="23"/>
  <c r="AW572" i="23" s="1"/>
  <c r="AM572" i="23"/>
  <c r="AP572" i="23" s="1"/>
  <c r="AF572" i="23"/>
  <c r="AJ572" i="23" s="1"/>
  <c r="Y572" i="23"/>
  <c r="AB572" i="23" s="1"/>
  <c r="BZ571" i="23"/>
  <c r="BX571" i="23"/>
  <c r="BS571" i="23"/>
  <c r="BQ571" i="23"/>
  <c r="BL571" i="23"/>
  <c r="BJ571" i="23"/>
  <c r="BE571" i="23"/>
  <c r="BC571" i="23"/>
  <c r="AT571" i="23"/>
  <c r="AW571" i="23" s="1"/>
  <c r="AM571" i="23"/>
  <c r="AP571" i="23" s="1"/>
  <c r="AF571" i="23"/>
  <c r="AI571" i="23" s="1"/>
  <c r="Y571" i="23"/>
  <c r="AC571" i="23" s="1"/>
  <c r="BZ570" i="23"/>
  <c r="BY570" i="23"/>
  <c r="BX570" i="23"/>
  <c r="BS570" i="23"/>
  <c r="BQ570" i="23"/>
  <c r="BL570" i="23"/>
  <c r="BJ570" i="23"/>
  <c r="BE570" i="23"/>
  <c r="BC570" i="23"/>
  <c r="AT570" i="23"/>
  <c r="AX570" i="23" s="1"/>
  <c r="AM570" i="23"/>
  <c r="AP570" i="23" s="1"/>
  <c r="AF570" i="23"/>
  <c r="AI570" i="23" s="1"/>
  <c r="Y570" i="23"/>
  <c r="AB570" i="23" s="1"/>
  <c r="BZ569" i="23"/>
  <c r="BS569" i="23"/>
  <c r="BQ569" i="23"/>
  <c r="BL569" i="23"/>
  <c r="BK569" i="23"/>
  <c r="BM569" i="23" s="1"/>
  <c r="BN569" i="23" s="1"/>
  <c r="BJ569" i="23"/>
  <c r="BE569" i="23"/>
  <c r="BF569" i="23"/>
  <c r="BC569" i="23"/>
  <c r="AT569" i="23"/>
  <c r="AW569" i="23" s="1"/>
  <c r="AM569" i="23"/>
  <c r="AQ569" i="23" s="1"/>
  <c r="AF569" i="23"/>
  <c r="AI569" i="23" s="1"/>
  <c r="Y569" i="23"/>
  <c r="AC569" i="23" s="1"/>
  <c r="AW628" i="23" l="1"/>
  <c r="AY628" i="23" s="1"/>
  <c r="AW626" i="23"/>
  <c r="AY626" i="23" s="1"/>
  <c r="AX624" i="23"/>
  <c r="AY624" i="23" s="1"/>
  <c r="AQ629" i="23"/>
  <c r="AR629" i="23" s="1"/>
  <c r="AP627" i="23"/>
  <c r="AR627" i="23" s="1"/>
  <c r="AP625" i="23"/>
  <c r="AP623" i="23"/>
  <c r="AR623" i="23" s="1"/>
  <c r="AI630" i="23"/>
  <c r="AI628" i="23"/>
  <c r="AK628" i="23" s="1"/>
  <c r="AC629" i="23"/>
  <c r="AD629" i="23"/>
  <c r="AB627" i="23"/>
  <c r="AD627" i="23" s="1"/>
  <c r="AB625" i="23"/>
  <c r="AB623" i="23"/>
  <c r="AC621" i="23"/>
  <c r="AD621" i="23" s="1"/>
  <c r="BY599" i="23"/>
  <c r="CA599" i="23" s="1"/>
  <c r="CB599" i="23" s="1"/>
  <c r="BY595" i="23"/>
  <c r="CA595" i="23" s="1"/>
  <c r="CB595" i="23" s="1"/>
  <c r="BY602" i="23"/>
  <c r="CA602" i="23" s="1"/>
  <c r="CB602" i="23" s="1"/>
  <c r="BY605" i="23"/>
  <c r="CA605" i="23" s="1"/>
  <c r="CB605" i="23" s="1"/>
  <c r="BY598" i="23"/>
  <c r="CA598" i="23" s="1"/>
  <c r="CB598" i="23" s="1"/>
  <c r="BY610" i="23"/>
  <c r="CA610" i="23" s="1"/>
  <c r="CB610" i="23" s="1"/>
  <c r="BY608" i="23"/>
  <c r="CA608" i="23" s="1"/>
  <c r="CB608" i="23" s="1"/>
  <c r="BY601" i="23"/>
  <c r="CA601" i="23" s="1"/>
  <c r="CB601" i="23" s="1"/>
  <c r="BY604" i="23"/>
  <c r="CA604" i="23" s="1"/>
  <c r="CB604" i="23" s="1"/>
  <c r="BY607" i="23"/>
  <c r="CA607" i="23" s="1"/>
  <c r="CB607" i="23" s="1"/>
  <c r="BY609" i="23"/>
  <c r="CA609" i="23" s="1"/>
  <c r="CB609" i="23" s="1"/>
  <c r="BY597" i="23"/>
  <c r="CA597" i="23" s="1"/>
  <c r="CB597" i="23" s="1"/>
  <c r="BY600" i="23"/>
  <c r="CA600" i="23" s="1"/>
  <c r="CB600" i="23" s="1"/>
  <c r="BY603" i="23"/>
  <c r="BM600" i="23"/>
  <c r="BN600" i="23" s="1"/>
  <c r="BM602" i="23"/>
  <c r="BN602" i="23" s="1"/>
  <c r="BF599" i="23"/>
  <c r="BG599" i="23"/>
  <c r="BG595" i="23"/>
  <c r="BG607" i="23"/>
  <c r="BT584" i="23"/>
  <c r="BU584" i="23" s="1"/>
  <c r="BR572" i="23"/>
  <c r="BT572" i="23" s="1"/>
  <c r="BU572" i="23" s="1"/>
  <c r="BR582" i="23"/>
  <c r="BT582" i="23" s="1"/>
  <c r="BU582" i="23" s="1"/>
  <c r="CA584" i="23"/>
  <c r="CB584" i="23" s="1"/>
  <c r="CA578" i="23"/>
  <c r="CB578" i="23" s="1"/>
  <c r="BY574" i="23"/>
  <c r="CA574" i="23" s="1"/>
  <c r="CB574" i="23" s="1"/>
  <c r="BY571" i="23"/>
  <c r="CA571" i="23" s="1"/>
  <c r="CB571" i="23" s="1"/>
  <c r="BY583" i="23"/>
  <c r="BY573" i="23"/>
  <c r="CA573" i="23" s="1"/>
  <c r="CB573" i="23" s="1"/>
  <c r="BY576" i="23"/>
  <c r="CA576" i="23" s="1"/>
  <c r="CB576" i="23" s="1"/>
  <c r="BY579" i="23"/>
  <c r="CA579" i="23" s="1"/>
  <c r="CB579" i="23" s="1"/>
  <c r="BY582" i="23"/>
  <c r="CA582" i="23" s="1"/>
  <c r="CB582" i="23" s="1"/>
  <c r="BY569" i="23"/>
  <c r="BY572" i="23"/>
  <c r="BY575" i="23"/>
  <c r="CA575" i="23" s="1"/>
  <c r="CB575" i="23" s="1"/>
  <c r="BY581" i="23"/>
  <c r="CA581" i="23" s="1"/>
  <c r="CB581" i="23" s="1"/>
  <c r="CA570" i="23"/>
  <c r="CB570" i="23" s="1"/>
  <c r="CA577" i="23"/>
  <c r="CB577" i="23" s="1"/>
  <c r="CA580" i="23"/>
  <c r="CB580" i="23" s="1"/>
  <c r="CA583" i="23"/>
  <c r="CB583" i="23" s="1"/>
  <c r="CA569" i="23"/>
  <c r="CB569" i="23" s="1"/>
  <c r="CA572" i="23"/>
  <c r="CB572" i="23" s="1"/>
  <c r="BR571" i="23"/>
  <c r="BT571" i="23" s="1"/>
  <c r="BU571" i="23" s="1"/>
  <c r="BR576" i="23"/>
  <c r="BT576" i="23" s="1"/>
  <c r="BU576" i="23" s="1"/>
  <c r="BR577" i="23"/>
  <c r="BT577" i="23" s="1"/>
  <c r="BU577" i="23" s="1"/>
  <c r="BR575" i="23"/>
  <c r="BT575" i="23" s="1"/>
  <c r="BU575" i="23" s="1"/>
  <c r="BR569" i="23"/>
  <c r="BT569" i="23" s="1"/>
  <c r="BU569" i="23" s="1"/>
  <c r="BR579" i="23"/>
  <c r="BT579" i="23" s="1"/>
  <c r="BU579" i="23" s="1"/>
  <c r="BR583" i="23"/>
  <c r="BT583" i="23" s="1"/>
  <c r="BU583" i="23" s="1"/>
  <c r="BR581" i="23"/>
  <c r="BT581" i="23" s="1"/>
  <c r="BU581" i="23" s="1"/>
  <c r="BR570" i="23"/>
  <c r="BT570" i="23" s="1"/>
  <c r="BU570" i="23" s="1"/>
  <c r="BR580" i="23"/>
  <c r="BT580" i="23" s="1"/>
  <c r="BU580" i="23" s="1"/>
  <c r="BR574" i="23"/>
  <c r="BT574" i="23" s="1"/>
  <c r="BU574" i="23" s="1"/>
  <c r="BR573" i="23"/>
  <c r="BT573" i="23" s="1"/>
  <c r="BU573" i="23" s="1"/>
  <c r="BK575" i="23"/>
  <c r="BM575" i="23" s="1"/>
  <c r="BN575" i="23" s="1"/>
  <c r="BK581" i="23"/>
  <c r="BM581" i="23" s="1"/>
  <c r="BN581" i="23" s="1"/>
  <c r="BN573" i="23"/>
  <c r="BK571" i="23"/>
  <c r="BM571" i="23" s="1"/>
  <c r="BN571" i="23" s="1"/>
  <c r="BK579" i="23"/>
  <c r="BM579" i="23" s="1"/>
  <c r="BN579" i="23" s="1"/>
  <c r="BK583" i="23"/>
  <c r="BM583" i="23" s="1"/>
  <c r="BN583" i="23" s="1"/>
  <c r="BG569" i="23"/>
  <c r="BG575" i="23"/>
  <c r="BD573" i="23"/>
  <c r="BF573" i="23" s="1"/>
  <c r="BG573" i="23" s="1"/>
  <c r="BD571" i="23"/>
  <c r="BF571" i="23" s="1"/>
  <c r="BG571" i="23" s="1"/>
  <c r="AW608" i="23"/>
  <c r="AY608" i="23" s="1"/>
  <c r="AI606" i="23"/>
  <c r="AK606" i="23" s="1"/>
  <c r="AQ601" i="23"/>
  <c r="AR601" i="23" s="1"/>
  <c r="AB599" i="23"/>
  <c r="AD599" i="23" s="1"/>
  <c r="AW630" i="23"/>
  <c r="AY630" i="23" s="1"/>
  <c r="AW622" i="23"/>
  <c r="AY622" i="23" s="1"/>
  <c r="AY632" i="23"/>
  <c r="AR625" i="23"/>
  <c r="AP621" i="23"/>
  <c r="AR621" i="23" s="1"/>
  <c r="AK636" i="23"/>
  <c r="AI622" i="23"/>
  <c r="AK622" i="23" s="1"/>
  <c r="AI632" i="23"/>
  <c r="AK632" i="23" s="1"/>
  <c r="AI624" i="23"/>
  <c r="AK624" i="23" s="1"/>
  <c r="AI626" i="23"/>
  <c r="AK626" i="23" s="1"/>
  <c r="AK630" i="23"/>
  <c r="AD625" i="23"/>
  <c r="AB631" i="23"/>
  <c r="AD631" i="23" s="1"/>
  <c r="AB635" i="23"/>
  <c r="AD635" i="23" s="1"/>
  <c r="AD623" i="23"/>
  <c r="AX598" i="23"/>
  <c r="AY598" i="23" s="1"/>
  <c r="AX602" i="23"/>
  <c r="AY602" i="23" s="1"/>
  <c r="AP597" i="23"/>
  <c r="AR597" i="23" s="1"/>
  <c r="AP603" i="23"/>
  <c r="AR603" i="23" s="1"/>
  <c r="AJ600" i="23"/>
  <c r="AK600" i="23" s="1"/>
  <c r="AJ596" i="23"/>
  <c r="AK596" i="23" s="1"/>
  <c r="AB595" i="23"/>
  <c r="AD595" i="23" s="1"/>
  <c r="AX583" i="23"/>
  <c r="AQ582" i="23"/>
  <c r="AC582" i="23"/>
  <c r="AD582" i="23" s="1"/>
  <c r="AC580" i="23"/>
  <c r="AX577" i="23"/>
  <c r="AY577" i="23" s="1"/>
  <c r="AX569" i="23"/>
  <c r="AY569" i="23" s="1"/>
  <c r="AQ578" i="23"/>
  <c r="AR578" i="23" s="1"/>
  <c r="AQ576" i="23"/>
  <c r="AR576" i="23" s="1"/>
  <c r="AQ572" i="23"/>
  <c r="BT578" i="23"/>
  <c r="BU578" i="23" s="1"/>
  <c r="AJ573" i="23"/>
  <c r="AK573" i="23" s="1"/>
  <c r="AC574" i="23"/>
  <c r="AD574" i="23" s="1"/>
  <c r="AC570" i="23"/>
  <c r="AD570" i="23" s="1"/>
  <c r="AX575" i="23"/>
  <c r="AY575" i="23" s="1"/>
  <c r="AX573" i="23"/>
  <c r="AY573" i="23" s="1"/>
  <c r="AX579" i="23"/>
  <c r="AY579" i="23" s="1"/>
  <c r="AX581" i="23"/>
  <c r="AY581" i="23" s="1"/>
  <c r="AX571" i="23"/>
  <c r="AY571" i="23" s="1"/>
  <c r="AY583" i="23"/>
  <c r="AQ570" i="23"/>
  <c r="AR570" i="23" s="1"/>
  <c r="AR572" i="23"/>
  <c r="AQ580" i="23"/>
  <c r="AR580" i="23" s="1"/>
  <c r="AR582" i="23"/>
  <c r="AQ584" i="23"/>
  <c r="AR584" i="23" s="1"/>
  <c r="AQ574" i="23"/>
  <c r="AR574" i="23" s="1"/>
  <c r="AJ571" i="23"/>
  <c r="AK571" i="23" s="1"/>
  <c r="AJ577" i="23"/>
  <c r="AK577" i="23" s="1"/>
  <c r="AJ583" i="23"/>
  <c r="AK583" i="23" s="1"/>
  <c r="AJ579" i="23"/>
  <c r="AK579" i="23" s="1"/>
  <c r="AJ569" i="23"/>
  <c r="AK569" i="23" s="1"/>
  <c r="AJ575" i="23"/>
  <c r="AK575" i="23" s="1"/>
  <c r="AJ581" i="23"/>
  <c r="AK581" i="23" s="1"/>
  <c r="AC578" i="23"/>
  <c r="AD578" i="23" s="1"/>
  <c r="AC584" i="23"/>
  <c r="AD584" i="23" s="1"/>
  <c r="AD580" i="23"/>
  <c r="AC572" i="23"/>
  <c r="AD572" i="23" s="1"/>
  <c r="AC576" i="23"/>
  <c r="AD576" i="23" s="1"/>
  <c r="BG624" i="23"/>
  <c r="AC630" i="23"/>
  <c r="AB630" i="23"/>
  <c r="AQ634" i="23"/>
  <c r="AP634" i="23"/>
  <c r="AW623" i="23"/>
  <c r="AY623" i="23" s="1"/>
  <c r="AX629" i="23"/>
  <c r="AW629" i="23"/>
  <c r="AY629" i="23" s="1"/>
  <c r="BG630" i="23"/>
  <c r="BK636" i="23"/>
  <c r="BM636" i="23" s="1"/>
  <c r="BN636" i="23" s="1"/>
  <c r="BK634" i="23"/>
  <c r="BM634" i="23" s="1"/>
  <c r="BN634" i="23" s="1"/>
  <c r="BK632" i="23"/>
  <c r="BM632" i="23" s="1"/>
  <c r="BN632" i="23" s="1"/>
  <c r="BK635" i="23"/>
  <c r="BM635" i="23" s="1"/>
  <c r="BN635" i="23" s="1"/>
  <c r="BK633" i="23"/>
  <c r="BM633" i="23" s="1"/>
  <c r="BN633" i="23" s="1"/>
  <c r="BK631" i="23"/>
  <c r="BM631" i="23" s="1"/>
  <c r="BN631" i="23" s="1"/>
  <c r="BK629" i="23"/>
  <c r="BM629" i="23" s="1"/>
  <c r="BN629" i="23" s="1"/>
  <c r="BK627" i="23"/>
  <c r="BM627" i="23" s="1"/>
  <c r="BN627" i="23" s="1"/>
  <c r="BK625" i="23"/>
  <c r="BM625" i="23" s="1"/>
  <c r="BN625" i="23" s="1"/>
  <c r="BK623" i="23"/>
  <c r="BM623" i="23" s="1"/>
  <c r="BN623" i="23" s="1"/>
  <c r="BK621" i="23"/>
  <c r="BM621" i="23" s="1"/>
  <c r="BN621" i="23" s="1"/>
  <c r="AI623" i="23"/>
  <c r="AK623" i="23" s="1"/>
  <c r="AP624" i="23"/>
  <c r="AR624" i="23" s="1"/>
  <c r="AW625" i="23"/>
  <c r="AY625" i="23" s="1"/>
  <c r="AJ631" i="23"/>
  <c r="AI631" i="23"/>
  <c r="BK624" i="23"/>
  <c r="BM624" i="23" s="1"/>
  <c r="BN624" i="23" s="1"/>
  <c r="CB626" i="23"/>
  <c r="BU629" i="23"/>
  <c r="AJ633" i="23"/>
  <c r="AI633" i="23"/>
  <c r="AK633" i="23" s="1"/>
  <c r="AJ635" i="23"/>
  <c r="AI635" i="23"/>
  <c r="AK635" i="23" s="1"/>
  <c r="CA635" i="23"/>
  <c r="CB635" i="23" s="1"/>
  <c r="AI621" i="23"/>
  <c r="AK621" i="23" s="1"/>
  <c r="AB624" i="23"/>
  <c r="AD624" i="23" s="1"/>
  <c r="AI625" i="23"/>
  <c r="AK625" i="23" s="1"/>
  <c r="AB626" i="23"/>
  <c r="AD626" i="23" s="1"/>
  <c r="AQ628" i="23"/>
  <c r="AP628" i="23"/>
  <c r="AJ629" i="23"/>
  <c r="AI629" i="23"/>
  <c r="AQ630" i="23"/>
  <c r="AP630" i="23"/>
  <c r="BK630" i="23"/>
  <c r="BM630" i="23" s="1"/>
  <c r="BN630" i="23" s="1"/>
  <c r="AC632" i="23"/>
  <c r="AB632" i="23"/>
  <c r="AD632" i="23" s="1"/>
  <c r="AC634" i="23"/>
  <c r="AB634" i="23"/>
  <c r="AD634" i="23" s="1"/>
  <c r="AC636" i="23"/>
  <c r="AB636" i="23"/>
  <c r="AD636" i="23" s="1"/>
  <c r="AP622" i="23"/>
  <c r="AR622" i="23" s="1"/>
  <c r="CA624" i="23"/>
  <c r="CB624" i="23" s="1"/>
  <c r="BK628" i="23"/>
  <c r="BM628" i="23" s="1"/>
  <c r="BN628" i="23" s="1"/>
  <c r="BG632" i="23"/>
  <c r="BG634" i="23"/>
  <c r="BG636" i="23"/>
  <c r="AX631" i="23"/>
  <c r="AW631" i="23"/>
  <c r="AC628" i="23"/>
  <c r="AB628" i="23"/>
  <c r="BU631" i="23"/>
  <c r="AX633" i="23"/>
  <c r="AW633" i="23"/>
  <c r="AX635" i="23"/>
  <c r="AW635" i="23"/>
  <c r="AY635" i="23" s="1"/>
  <c r="BG626" i="23"/>
  <c r="AX627" i="23"/>
  <c r="AW627" i="23"/>
  <c r="AQ632" i="23"/>
  <c r="AP632" i="23"/>
  <c r="AR632" i="23" s="1"/>
  <c r="AQ636" i="23"/>
  <c r="AP636" i="23"/>
  <c r="AR636" i="23" s="1"/>
  <c r="AQ626" i="23"/>
  <c r="AP626" i="23"/>
  <c r="BU627" i="23"/>
  <c r="BK626" i="23"/>
  <c r="BM626" i="23" s="1"/>
  <c r="BN626" i="23" s="1"/>
  <c r="AI627" i="23"/>
  <c r="AK627" i="23" s="1"/>
  <c r="BG628" i="23"/>
  <c r="AW621" i="23"/>
  <c r="AY621" i="23" s="1"/>
  <c r="BR632" i="23"/>
  <c r="BT632" i="23" s="1"/>
  <c r="BU632" i="23" s="1"/>
  <c r="BR634" i="23"/>
  <c r="BT634" i="23" s="1"/>
  <c r="BU634" i="23" s="1"/>
  <c r="BY621" i="23"/>
  <c r="CA621" i="23" s="1"/>
  <c r="CB621" i="23" s="1"/>
  <c r="BY623" i="23"/>
  <c r="CA623" i="23" s="1"/>
  <c r="CB623" i="23" s="1"/>
  <c r="BY625" i="23"/>
  <c r="CA625" i="23" s="1"/>
  <c r="CB625" i="23" s="1"/>
  <c r="BY627" i="23"/>
  <c r="CA627" i="23" s="1"/>
  <c r="CB627" i="23" s="1"/>
  <c r="BY629" i="23"/>
  <c r="CA629" i="23" s="1"/>
  <c r="CB629" i="23" s="1"/>
  <c r="BY631" i="23"/>
  <c r="CA631" i="23" s="1"/>
  <c r="CB631" i="23" s="1"/>
  <c r="BY633" i="23"/>
  <c r="CA633" i="23" s="1"/>
  <c r="CB633" i="23" s="1"/>
  <c r="AB608" i="23"/>
  <c r="AC608" i="23"/>
  <c r="AP595" i="23"/>
  <c r="AR595" i="23" s="1"/>
  <c r="AX596" i="23"/>
  <c r="AY596" i="23" s="1"/>
  <c r="AB597" i="23"/>
  <c r="AD597" i="23" s="1"/>
  <c r="BD597" i="23"/>
  <c r="BF597" i="23" s="1"/>
  <c r="BG597" i="23" s="1"/>
  <c r="AJ598" i="23"/>
  <c r="AK598" i="23" s="1"/>
  <c r="AP599" i="23"/>
  <c r="AR599" i="23" s="1"/>
  <c r="AX600" i="23"/>
  <c r="AY600" i="23" s="1"/>
  <c r="AB601" i="23"/>
  <c r="AD601" i="23" s="1"/>
  <c r="BD601" i="23"/>
  <c r="BF601" i="23" s="1"/>
  <c r="BG601" i="23" s="1"/>
  <c r="AJ602" i="23"/>
  <c r="AK602" i="23" s="1"/>
  <c r="AQ604" i="23"/>
  <c r="AP604" i="23"/>
  <c r="AB605" i="23"/>
  <c r="AD605" i="23" s="1"/>
  <c r="AP607" i="23"/>
  <c r="AR607" i="23" s="1"/>
  <c r="BD609" i="23"/>
  <c r="BF609" i="23" s="1"/>
  <c r="BG609" i="23" s="1"/>
  <c r="BT609" i="23"/>
  <c r="BU609" i="23" s="1"/>
  <c r="AQ598" i="23"/>
  <c r="AP598" i="23"/>
  <c r="BK598" i="23"/>
  <c r="BM598" i="23" s="1"/>
  <c r="BN598" i="23" s="1"/>
  <c r="AC600" i="23"/>
  <c r="AB600" i="23"/>
  <c r="AQ602" i="23"/>
  <c r="AP602" i="23"/>
  <c r="BD603" i="23"/>
  <c r="BF603" i="23" s="1"/>
  <c r="BG603" i="23" s="1"/>
  <c r="AJ605" i="23"/>
  <c r="AI605" i="23"/>
  <c r="AX607" i="23"/>
  <c r="AW607" i="23"/>
  <c r="AI608" i="23"/>
  <c r="AK608" i="23" s="1"/>
  <c r="AW610" i="23"/>
  <c r="AY610" i="23" s="1"/>
  <c r="AW595" i="23"/>
  <c r="AX595" i="23"/>
  <c r="AJ597" i="23"/>
  <c r="AI597" i="23"/>
  <c r="AW599" i="23"/>
  <c r="AX599" i="23"/>
  <c r="AJ601" i="23"/>
  <c r="AI601" i="23"/>
  <c r="AW604" i="23"/>
  <c r="AY604" i="23" s="1"/>
  <c r="AB606" i="23"/>
  <c r="AC606" i="23"/>
  <c r="AQ608" i="23"/>
  <c r="AP608" i="23"/>
  <c r="AR608" i="23" s="1"/>
  <c r="AB609" i="23"/>
  <c r="AD609" i="23" s="1"/>
  <c r="AB603" i="23"/>
  <c r="AD603" i="23" s="1"/>
  <c r="CA603" i="23"/>
  <c r="CB603" i="23" s="1"/>
  <c r="AP605" i="23"/>
  <c r="AR605" i="23" s="1"/>
  <c r="AJ609" i="23"/>
  <c r="AI609" i="23"/>
  <c r="AJ603" i="23"/>
  <c r="AI603" i="23"/>
  <c r="AK603" i="23" s="1"/>
  <c r="AW605" i="23"/>
  <c r="AX605" i="23"/>
  <c r="AB610" i="23"/>
  <c r="AC610" i="23"/>
  <c r="AQ596" i="23"/>
  <c r="AP596" i="23"/>
  <c r="AB598" i="23"/>
  <c r="AC598" i="23"/>
  <c r="AQ600" i="23"/>
  <c r="AP600" i="23"/>
  <c r="AC602" i="23"/>
  <c r="AB602" i="23"/>
  <c r="AB604" i="23"/>
  <c r="AC604" i="23"/>
  <c r="AQ606" i="23"/>
  <c r="AP606" i="23"/>
  <c r="AB607" i="23"/>
  <c r="AD607" i="23" s="1"/>
  <c r="AP609" i="23"/>
  <c r="AR609" i="23" s="1"/>
  <c r="AJ595" i="23"/>
  <c r="AI595" i="23"/>
  <c r="AX597" i="23"/>
  <c r="AW597" i="23"/>
  <c r="AJ599" i="23"/>
  <c r="AI599" i="23"/>
  <c r="AI607" i="23"/>
  <c r="AJ607" i="23"/>
  <c r="AW609" i="23"/>
  <c r="AX609" i="23"/>
  <c r="AI610" i="23"/>
  <c r="AK610" i="23" s="1"/>
  <c r="BD608" i="23"/>
  <c r="BF608" i="23" s="1"/>
  <c r="BG608" i="23" s="1"/>
  <c r="BD606" i="23"/>
  <c r="BF606" i="23" s="1"/>
  <c r="BG606" i="23" s="1"/>
  <c r="BD604" i="23"/>
  <c r="BF604" i="23" s="1"/>
  <c r="BG604" i="23" s="1"/>
  <c r="BD602" i="23"/>
  <c r="BF602" i="23" s="1"/>
  <c r="BG602" i="23" s="1"/>
  <c r="BD600" i="23"/>
  <c r="BF600" i="23" s="1"/>
  <c r="BG600" i="23" s="1"/>
  <c r="BD596" i="23"/>
  <c r="BF596" i="23" s="1"/>
  <c r="BG596" i="23" s="1"/>
  <c r="BD610" i="23"/>
  <c r="BF610" i="23" s="1"/>
  <c r="BG610" i="23" s="1"/>
  <c r="BD598" i="23"/>
  <c r="BF598" i="23" s="1"/>
  <c r="BG598" i="23" s="1"/>
  <c r="AX601" i="23"/>
  <c r="AW601" i="23"/>
  <c r="AI604" i="23"/>
  <c r="AK604" i="23" s="1"/>
  <c r="AW606" i="23"/>
  <c r="AY606" i="23" s="1"/>
  <c r="BK610" i="23"/>
  <c r="BM610" i="23" s="1"/>
  <c r="BN610" i="23" s="1"/>
  <c r="BK608" i="23"/>
  <c r="BM608" i="23" s="1"/>
  <c r="BN608" i="23" s="1"/>
  <c r="BK606" i="23"/>
  <c r="BM606" i="23" s="1"/>
  <c r="BN606" i="23" s="1"/>
  <c r="BK604" i="23"/>
  <c r="BM604" i="23" s="1"/>
  <c r="BN604" i="23" s="1"/>
  <c r="BK609" i="23"/>
  <c r="BM609" i="23" s="1"/>
  <c r="BN609" i="23" s="1"/>
  <c r="BK607" i="23"/>
  <c r="BM607" i="23" s="1"/>
  <c r="BN607" i="23" s="1"/>
  <c r="BK605" i="23"/>
  <c r="BM605" i="23" s="1"/>
  <c r="BN605" i="23" s="1"/>
  <c r="BK603" i="23"/>
  <c r="BM603" i="23" s="1"/>
  <c r="BN603" i="23" s="1"/>
  <c r="BK601" i="23"/>
  <c r="BM601" i="23" s="1"/>
  <c r="BN601" i="23" s="1"/>
  <c r="BK599" i="23"/>
  <c r="BM599" i="23" s="1"/>
  <c r="BN599" i="23" s="1"/>
  <c r="BK597" i="23"/>
  <c r="BM597" i="23" s="1"/>
  <c r="BN597" i="23" s="1"/>
  <c r="BK595" i="23"/>
  <c r="BM595" i="23" s="1"/>
  <c r="BN595" i="23" s="1"/>
  <c r="AW603" i="23"/>
  <c r="AX603" i="23"/>
  <c r="AQ610" i="23"/>
  <c r="AP610" i="23"/>
  <c r="AB596" i="23"/>
  <c r="AC596" i="23"/>
  <c r="BR596" i="23"/>
  <c r="BT596" i="23" s="1"/>
  <c r="BU596" i="23" s="1"/>
  <c r="BR598" i="23"/>
  <c r="BT598" i="23" s="1"/>
  <c r="BU598" i="23" s="1"/>
  <c r="BR600" i="23"/>
  <c r="BT600" i="23" s="1"/>
  <c r="BU600" i="23" s="1"/>
  <c r="BR602" i="23"/>
  <c r="BT602" i="23" s="1"/>
  <c r="BU602" i="23" s="1"/>
  <c r="BR604" i="23"/>
  <c r="BT604" i="23" s="1"/>
  <c r="BU604" i="23" s="1"/>
  <c r="BR606" i="23"/>
  <c r="BT606" i="23" s="1"/>
  <c r="BU606" i="23" s="1"/>
  <c r="BR608" i="23"/>
  <c r="BT608" i="23" s="1"/>
  <c r="BU608" i="23" s="1"/>
  <c r="BR610" i="23"/>
  <c r="BT610" i="23" s="1"/>
  <c r="BU610" i="23" s="1"/>
  <c r="BR595" i="23"/>
  <c r="BT595" i="23" s="1"/>
  <c r="BU595" i="23" s="1"/>
  <c r="BR597" i="23"/>
  <c r="BT597" i="23" s="1"/>
  <c r="BU597" i="23" s="1"/>
  <c r="BR599" i="23"/>
  <c r="BT599" i="23" s="1"/>
  <c r="BU599" i="23" s="1"/>
  <c r="BR601" i="23"/>
  <c r="BT601" i="23" s="1"/>
  <c r="BU601" i="23" s="1"/>
  <c r="BR603" i="23"/>
  <c r="BT603" i="23" s="1"/>
  <c r="BU603" i="23" s="1"/>
  <c r="BR605" i="23"/>
  <c r="BT605" i="23" s="1"/>
  <c r="BU605" i="23" s="1"/>
  <c r="BR607" i="23"/>
  <c r="BT607" i="23" s="1"/>
  <c r="BU607" i="23" s="1"/>
  <c r="AP569" i="23"/>
  <c r="AR569" i="23" s="1"/>
  <c r="AW570" i="23"/>
  <c r="AY570" i="23" s="1"/>
  <c r="AI576" i="23"/>
  <c r="AK576" i="23" s="1"/>
  <c r="AB579" i="23"/>
  <c r="AD579" i="23" s="1"/>
  <c r="BD581" i="23"/>
  <c r="BF581" i="23" s="1"/>
  <c r="BG581" i="23" s="1"/>
  <c r="AB583" i="23"/>
  <c r="AD583" i="23" s="1"/>
  <c r="AB571" i="23"/>
  <c r="AD571" i="23" s="1"/>
  <c r="AI572" i="23"/>
  <c r="AK572" i="23" s="1"/>
  <c r="AP573" i="23"/>
  <c r="AR573" i="23" s="1"/>
  <c r="AB577" i="23"/>
  <c r="AD577" i="23" s="1"/>
  <c r="AI578" i="23"/>
  <c r="AK578" i="23" s="1"/>
  <c r="AP579" i="23"/>
  <c r="AR579" i="23" s="1"/>
  <c r="AI580" i="23"/>
  <c r="AK580" i="23" s="1"/>
  <c r="AB581" i="23"/>
  <c r="AD581" i="23" s="1"/>
  <c r="BD583" i="23"/>
  <c r="BF583" i="23" s="1"/>
  <c r="BG583" i="23" s="1"/>
  <c r="AW584" i="23"/>
  <c r="AY584" i="23" s="1"/>
  <c r="BD570" i="23"/>
  <c r="BF570" i="23" s="1"/>
  <c r="BG570" i="23" s="1"/>
  <c r="BD572" i="23"/>
  <c r="BF572" i="23" s="1"/>
  <c r="BG572" i="23" s="1"/>
  <c r="BD574" i="23"/>
  <c r="BF574" i="23" s="1"/>
  <c r="BG574" i="23" s="1"/>
  <c r="BD576" i="23"/>
  <c r="BF576" i="23" s="1"/>
  <c r="BG576" i="23" s="1"/>
  <c r="BD578" i="23"/>
  <c r="BF578" i="23" s="1"/>
  <c r="BG578" i="23" s="1"/>
  <c r="BD580" i="23"/>
  <c r="BF580" i="23" s="1"/>
  <c r="BG580" i="23" s="1"/>
  <c r="BD582" i="23"/>
  <c r="BF582" i="23" s="1"/>
  <c r="BG582" i="23" s="1"/>
  <c r="BF584" i="23"/>
  <c r="BG584" i="23" s="1"/>
  <c r="AI584" i="23"/>
  <c r="AK584" i="23" s="1"/>
  <c r="AB569" i="23"/>
  <c r="AD569" i="23" s="1"/>
  <c r="AW576" i="23"/>
  <c r="AY576" i="23" s="1"/>
  <c r="AP577" i="23"/>
  <c r="AR577" i="23" s="1"/>
  <c r="BD579" i="23"/>
  <c r="BF579" i="23" s="1"/>
  <c r="BG579" i="23" s="1"/>
  <c r="AI582" i="23"/>
  <c r="AK582" i="23" s="1"/>
  <c r="AJ570" i="23"/>
  <c r="AK570" i="23" s="1"/>
  <c r="BK570" i="23"/>
  <c r="BM570" i="23" s="1"/>
  <c r="BN570" i="23" s="1"/>
  <c r="AQ571" i="23"/>
  <c r="AR571" i="23" s="1"/>
  <c r="AX572" i="23"/>
  <c r="AY572" i="23" s="1"/>
  <c r="BK572" i="23"/>
  <c r="BM572" i="23" s="1"/>
  <c r="BN572" i="23" s="1"/>
  <c r="AC573" i="23"/>
  <c r="AD573" i="23" s="1"/>
  <c r="AJ574" i="23"/>
  <c r="AK574" i="23" s="1"/>
  <c r="AX574" i="23"/>
  <c r="AY574" i="23" s="1"/>
  <c r="BK574" i="23"/>
  <c r="BM574" i="23" s="1"/>
  <c r="BN574" i="23" s="1"/>
  <c r="AC575" i="23"/>
  <c r="AD575" i="23" s="1"/>
  <c r="AQ575" i="23"/>
  <c r="AR575" i="23" s="1"/>
  <c r="BK576" i="23"/>
  <c r="BM576" i="23" s="1"/>
  <c r="BN576" i="23" s="1"/>
  <c r="AX578" i="23"/>
  <c r="AY578" i="23" s="1"/>
  <c r="BK578" i="23"/>
  <c r="BM578" i="23" s="1"/>
  <c r="BN578" i="23" s="1"/>
  <c r="AX580" i="23"/>
  <c r="AY580" i="23" s="1"/>
  <c r="BK580" i="23"/>
  <c r="BM580" i="23" s="1"/>
  <c r="BN580" i="23" s="1"/>
  <c r="AQ581" i="23"/>
  <c r="AR581" i="23" s="1"/>
  <c r="AX582" i="23"/>
  <c r="AY582" i="23" s="1"/>
  <c r="BK582" i="23"/>
  <c r="BM582" i="23" s="1"/>
  <c r="BN582" i="23" s="1"/>
  <c r="AQ583" i="23"/>
  <c r="AR583" i="23" s="1"/>
  <c r="BK477" i="23"/>
  <c r="BM466" i="23"/>
  <c r="BM467" i="23"/>
  <c r="BM468" i="23"/>
  <c r="BM469" i="23"/>
  <c r="BM470" i="23"/>
  <c r="BM471" i="23"/>
  <c r="BM472" i="23"/>
  <c r="BM473" i="23"/>
  <c r="BM474" i="23"/>
  <c r="BM475" i="23"/>
  <c r="BM476" i="23"/>
  <c r="BM477" i="23"/>
  <c r="BM478" i="23"/>
  <c r="BM479" i="23"/>
  <c r="BM480" i="23"/>
  <c r="AT479" i="23"/>
  <c r="AT480" i="23"/>
  <c r="AM478" i="23"/>
  <c r="AM479" i="23"/>
  <c r="AM480" i="23"/>
  <c r="AF478" i="23"/>
  <c r="AF479" i="23"/>
  <c r="AF480" i="23"/>
  <c r="Y454" i="23"/>
  <c r="Y475" i="23"/>
  <c r="AB475" i="23" s="1"/>
  <c r="Y476" i="23"/>
  <c r="AB476" i="23" s="1"/>
  <c r="Y477" i="23"/>
  <c r="AB477" i="23" s="1"/>
  <c r="Y478" i="23"/>
  <c r="AB478" i="23" s="1"/>
  <c r="Y479" i="23"/>
  <c r="AB479" i="23" s="1"/>
  <c r="Y480" i="23"/>
  <c r="AB480" i="23" s="1"/>
  <c r="Y468" i="23"/>
  <c r="AB468" i="23" s="1"/>
  <c r="Y469" i="23"/>
  <c r="Y470" i="23"/>
  <c r="Y471" i="23"/>
  <c r="Y472" i="23"/>
  <c r="AB472" i="23" s="1"/>
  <c r="Y473" i="23"/>
  <c r="AB473" i="23" s="1"/>
  <c r="Y474" i="23"/>
  <c r="AB474" i="23" s="1"/>
  <c r="Y466" i="23"/>
  <c r="AB466" i="23" s="1"/>
  <c r="Y467" i="23"/>
  <c r="AB467" i="23" s="1"/>
  <c r="AB469" i="23"/>
  <c r="AB470" i="23"/>
  <c r="AB471" i="23"/>
  <c r="BQ413" i="23"/>
  <c r="Y388" i="23"/>
  <c r="Y389" i="23"/>
  <c r="BC335" i="23"/>
  <c r="AT280" i="23"/>
  <c r="AT281" i="23"/>
  <c r="AT282" i="23"/>
  <c r="AT283" i="23"/>
  <c r="AT284" i="23"/>
  <c r="AT285" i="23"/>
  <c r="AT286" i="23"/>
  <c r="AT287" i="23"/>
  <c r="AT288" i="23"/>
  <c r="AT289" i="23"/>
  <c r="AT290" i="23"/>
  <c r="AT291" i="23"/>
  <c r="AT292" i="23"/>
  <c r="AT293" i="23"/>
  <c r="AT294" i="23"/>
  <c r="AM308" i="23"/>
  <c r="AM309" i="23"/>
  <c r="AM310" i="23"/>
  <c r="AM311" i="23"/>
  <c r="AM312" i="23"/>
  <c r="AM313" i="23"/>
  <c r="AM314" i="23"/>
  <c r="AM315" i="23"/>
  <c r="AM316" i="23"/>
  <c r="AM317" i="23"/>
  <c r="AM318" i="23"/>
  <c r="AM319" i="23"/>
  <c r="AM320" i="23"/>
  <c r="AM321" i="23"/>
  <c r="AM322" i="23"/>
  <c r="AT322" i="23"/>
  <c r="AT308" i="23"/>
  <c r="AT309" i="23"/>
  <c r="AT310" i="23"/>
  <c r="AT311" i="23"/>
  <c r="AT312" i="23"/>
  <c r="AT313" i="23"/>
  <c r="AT314" i="23"/>
  <c r="AT315" i="23"/>
  <c r="AT316" i="23"/>
  <c r="AT317" i="23"/>
  <c r="AT318" i="23"/>
  <c r="AT319" i="23"/>
  <c r="AT320" i="23"/>
  <c r="AT321" i="23"/>
  <c r="AT307" i="23"/>
  <c r="AF336" i="23"/>
  <c r="AF337" i="23"/>
  <c r="AF338" i="23"/>
  <c r="AF339" i="23"/>
  <c r="AF340" i="23"/>
  <c r="AF341" i="23"/>
  <c r="AF342" i="23"/>
  <c r="AF343" i="23"/>
  <c r="AF344" i="23"/>
  <c r="AF345" i="23"/>
  <c r="AF346" i="23"/>
  <c r="AF347" i="23"/>
  <c r="AF348" i="23"/>
  <c r="AF349" i="23"/>
  <c r="AF350" i="23"/>
  <c r="AF308" i="23"/>
  <c r="AF309" i="23"/>
  <c r="AF310" i="23"/>
  <c r="AF311" i="23"/>
  <c r="AF312" i="23"/>
  <c r="AF313" i="23"/>
  <c r="AF314" i="23"/>
  <c r="AF315" i="23"/>
  <c r="AF316" i="23"/>
  <c r="AF317" i="23"/>
  <c r="AF318" i="23"/>
  <c r="AF319" i="23"/>
  <c r="AF320" i="23"/>
  <c r="AF321" i="23"/>
  <c r="AF322" i="23"/>
  <c r="AR630" i="23" l="1"/>
  <c r="AR606" i="23"/>
  <c r="AD610" i="23"/>
  <c r="AY601" i="23"/>
  <c r="AY599" i="23"/>
  <c r="AK599" i="23"/>
  <c r="AR598" i="23"/>
  <c r="AY631" i="23"/>
  <c r="AR634" i="23"/>
  <c r="AR626" i="23"/>
  <c r="AK629" i="23"/>
  <c r="AK631" i="23"/>
  <c r="AD630" i="23"/>
  <c r="AY609" i="23"/>
  <c r="AY605" i="23"/>
  <c r="AK607" i="23"/>
  <c r="AK597" i="23"/>
  <c r="AK605" i="23"/>
  <c r="AK601" i="23"/>
  <c r="AD604" i="23"/>
  <c r="AD606" i="23"/>
  <c r="AY633" i="23"/>
  <c r="AR628" i="23"/>
  <c r="AY627" i="23"/>
  <c r="AD628" i="23"/>
  <c r="AD598" i="23"/>
  <c r="AY603" i="23"/>
  <c r="AY597" i="23"/>
  <c r="AR596" i="23"/>
  <c r="AK609" i="23"/>
  <c r="AK595" i="23"/>
  <c r="AD602" i="23"/>
  <c r="AY595" i="23"/>
  <c r="AR602" i="23"/>
  <c r="AD608" i="23"/>
  <c r="AD596" i="23"/>
  <c r="AR600" i="23"/>
  <c r="AD600" i="23"/>
  <c r="AR610" i="23"/>
  <c r="AY607" i="23"/>
  <c r="AR604" i="23"/>
  <c r="AT544" i="23"/>
  <c r="AT546" i="23"/>
  <c r="Y557" i="23"/>
  <c r="BW559" i="23" l="1"/>
  <c r="BY557" i="23" s="1"/>
  <c r="BP559" i="23"/>
  <c r="BR558" i="23" s="1"/>
  <c r="BI559" i="23"/>
  <c r="BK558" i="23" s="1"/>
  <c r="BB559" i="23"/>
  <c r="BD552" i="23" s="1"/>
  <c r="BZ558" i="23"/>
  <c r="BX558" i="23"/>
  <c r="BS558" i="23"/>
  <c r="BQ558" i="23"/>
  <c r="BL558" i="23"/>
  <c r="BJ558" i="23"/>
  <c r="BE558" i="23"/>
  <c r="BC558" i="23"/>
  <c r="AT558" i="23"/>
  <c r="AX558" i="23" s="1"/>
  <c r="AM558" i="23"/>
  <c r="AF558" i="23"/>
  <c r="AJ558" i="23" s="1"/>
  <c r="Y558" i="23"/>
  <c r="BZ557" i="23"/>
  <c r="BX557" i="23"/>
  <c r="BS557" i="23"/>
  <c r="BR557" i="23"/>
  <c r="BQ557" i="23"/>
  <c r="BL557" i="23"/>
  <c r="BJ557" i="23"/>
  <c r="BE557" i="23"/>
  <c r="BC557" i="23"/>
  <c r="AT557" i="23"/>
  <c r="AM557" i="23"/>
  <c r="AQ557" i="23" s="1"/>
  <c r="AF557" i="23"/>
  <c r="AC557" i="23"/>
  <c r="BZ556" i="23"/>
  <c r="BX556" i="23"/>
  <c r="BS556" i="23"/>
  <c r="BR556" i="23"/>
  <c r="BQ556" i="23"/>
  <c r="BL556" i="23"/>
  <c r="BJ556" i="23"/>
  <c r="BE556" i="23"/>
  <c r="BC556" i="23"/>
  <c r="AT556" i="23"/>
  <c r="AX556" i="23" s="1"/>
  <c r="AM556" i="23"/>
  <c r="AF556" i="23"/>
  <c r="AJ556" i="23" s="1"/>
  <c r="Y556" i="23"/>
  <c r="BZ555" i="23"/>
  <c r="BX555" i="23"/>
  <c r="BS555" i="23"/>
  <c r="BQ555" i="23"/>
  <c r="BL555" i="23"/>
  <c r="BJ555" i="23"/>
  <c r="BE555" i="23"/>
  <c r="BC555" i="23"/>
  <c r="AT555" i="23"/>
  <c r="AM555" i="23"/>
  <c r="AQ555" i="23" s="1"/>
  <c r="AF555" i="23"/>
  <c r="Y555" i="23"/>
  <c r="AC555" i="23" s="1"/>
  <c r="BZ554" i="23"/>
  <c r="BX554" i="23"/>
  <c r="BS554" i="23"/>
  <c r="BQ554" i="23"/>
  <c r="BL554" i="23"/>
  <c r="BJ554" i="23"/>
  <c r="BE554" i="23"/>
  <c r="BC554" i="23"/>
  <c r="AT554" i="23"/>
  <c r="AX554" i="23" s="1"/>
  <c r="AM554" i="23"/>
  <c r="AF554" i="23"/>
  <c r="AJ554" i="23" s="1"/>
  <c r="Y554" i="23"/>
  <c r="BZ553" i="23"/>
  <c r="BX553" i="23"/>
  <c r="BS553" i="23"/>
  <c r="BR553" i="23"/>
  <c r="BQ553" i="23"/>
  <c r="BL553" i="23"/>
  <c r="BJ553" i="23"/>
  <c r="BE553" i="23"/>
  <c r="BC553" i="23"/>
  <c r="AT553" i="23"/>
  <c r="AM553" i="23"/>
  <c r="AQ553" i="23" s="1"/>
  <c r="AF553" i="23"/>
  <c r="Y553" i="23"/>
  <c r="AC553" i="23" s="1"/>
  <c r="BZ552" i="23"/>
  <c r="BX552" i="23"/>
  <c r="BS552" i="23"/>
  <c r="BQ552" i="23"/>
  <c r="BL552" i="23"/>
  <c r="BJ552" i="23"/>
  <c r="BE552" i="23"/>
  <c r="BC552" i="23"/>
  <c r="AT552" i="23"/>
  <c r="AX552" i="23" s="1"/>
  <c r="AM552" i="23"/>
  <c r="AF552" i="23"/>
  <c r="AJ552" i="23" s="1"/>
  <c r="Y552" i="23"/>
  <c r="BZ551" i="23"/>
  <c r="BX551" i="23"/>
  <c r="BS551" i="23"/>
  <c r="BR551" i="23"/>
  <c r="BQ551" i="23"/>
  <c r="BL551" i="23"/>
  <c r="BJ551" i="23"/>
  <c r="BE551" i="23"/>
  <c r="BC551" i="23"/>
  <c r="AT551" i="23"/>
  <c r="AM551" i="23"/>
  <c r="AQ551" i="23" s="1"/>
  <c r="AF551" i="23"/>
  <c r="Y551" i="23"/>
  <c r="AC551" i="23" s="1"/>
  <c r="BZ550" i="23"/>
  <c r="BX550" i="23"/>
  <c r="BS550" i="23"/>
  <c r="BQ550" i="23"/>
  <c r="BL550" i="23"/>
  <c r="BJ550" i="23"/>
  <c r="BE550" i="23"/>
  <c r="BC550" i="23"/>
  <c r="AT550" i="23"/>
  <c r="AX550" i="23" s="1"/>
  <c r="AM550" i="23"/>
  <c r="AF550" i="23"/>
  <c r="AJ550" i="23" s="1"/>
  <c r="Y550" i="23"/>
  <c r="BZ549" i="23"/>
  <c r="BX549" i="23"/>
  <c r="BS549" i="23"/>
  <c r="BQ549" i="23"/>
  <c r="BL549" i="23"/>
  <c r="BJ549" i="23"/>
  <c r="BE549" i="23"/>
  <c r="BC549" i="23"/>
  <c r="AT549" i="23"/>
  <c r="AM549" i="23"/>
  <c r="AQ549" i="23" s="1"/>
  <c r="AF549" i="23"/>
  <c r="Y549" i="23"/>
  <c r="AC549" i="23" s="1"/>
  <c r="BZ548" i="23"/>
  <c r="BX548" i="23"/>
  <c r="BS548" i="23"/>
  <c r="BR548" i="23"/>
  <c r="BT548" i="23" s="1"/>
  <c r="BQ548" i="23"/>
  <c r="BL548" i="23"/>
  <c r="BJ548" i="23"/>
  <c r="BE548" i="23"/>
  <c r="BC548" i="23"/>
  <c r="AT548" i="23"/>
  <c r="AX548" i="23" s="1"/>
  <c r="AM548" i="23"/>
  <c r="AF548" i="23"/>
  <c r="AJ548" i="23" s="1"/>
  <c r="Y548" i="23"/>
  <c r="BZ547" i="23"/>
  <c r="BX547" i="23"/>
  <c r="BS547" i="23"/>
  <c r="BR547" i="23"/>
  <c r="BQ547" i="23"/>
  <c r="BL547" i="23"/>
  <c r="BJ547" i="23"/>
  <c r="BE547" i="23"/>
  <c r="BC547" i="23"/>
  <c r="AT547" i="23"/>
  <c r="AM547" i="23"/>
  <c r="AQ547" i="23" s="1"/>
  <c r="AF547" i="23"/>
  <c r="Y547" i="23"/>
  <c r="AC547" i="23" s="1"/>
  <c r="BZ546" i="23"/>
  <c r="BX546" i="23"/>
  <c r="BS546" i="23"/>
  <c r="BQ546" i="23"/>
  <c r="BL546" i="23"/>
  <c r="BJ546" i="23"/>
  <c r="BE546" i="23"/>
  <c r="BC546" i="23"/>
  <c r="AX546" i="23"/>
  <c r="AM546" i="23"/>
  <c r="AF546" i="23"/>
  <c r="AJ546" i="23" s="1"/>
  <c r="Y546" i="23"/>
  <c r="BZ545" i="23"/>
  <c r="BX545" i="23"/>
  <c r="BS545" i="23"/>
  <c r="BR545" i="23"/>
  <c r="BQ545" i="23"/>
  <c r="BL545" i="23"/>
  <c r="BJ545" i="23"/>
  <c r="BE545" i="23"/>
  <c r="BC545" i="23"/>
  <c r="AT545" i="23"/>
  <c r="AX545" i="23" s="1"/>
  <c r="AM545" i="23"/>
  <c r="AQ545" i="23" s="1"/>
  <c r="AF545" i="23"/>
  <c r="AJ545" i="23" s="1"/>
  <c r="Y545" i="23"/>
  <c r="AC545" i="23" s="1"/>
  <c r="BZ544" i="23"/>
  <c r="BX544" i="23"/>
  <c r="BS544" i="23"/>
  <c r="BR544" i="23"/>
  <c r="BT544" i="23" s="1"/>
  <c r="BQ544" i="23"/>
  <c r="BL544" i="23"/>
  <c r="BJ544" i="23"/>
  <c r="BE544" i="23"/>
  <c r="BC544" i="23"/>
  <c r="AX544" i="23"/>
  <c r="AM544" i="23"/>
  <c r="AQ544" i="23" s="1"/>
  <c r="AF544" i="23"/>
  <c r="AJ544" i="23" s="1"/>
  <c r="Y544" i="23"/>
  <c r="AC544" i="23" s="1"/>
  <c r="BZ543" i="23"/>
  <c r="BX543" i="23"/>
  <c r="BS543" i="23"/>
  <c r="BQ543" i="23"/>
  <c r="BL543" i="23"/>
  <c r="BJ543" i="23"/>
  <c r="BE543" i="23"/>
  <c r="BC543" i="23"/>
  <c r="AT543" i="23"/>
  <c r="AX543" i="23" s="1"/>
  <c r="AM543" i="23"/>
  <c r="AQ543" i="23" s="1"/>
  <c r="AF543" i="23"/>
  <c r="AJ543" i="23" s="1"/>
  <c r="Y543" i="23"/>
  <c r="AC543" i="23" s="1"/>
  <c r="BY549" i="23" l="1"/>
  <c r="CA549" i="23" s="1"/>
  <c r="CB549" i="23" s="1"/>
  <c r="BM558" i="23"/>
  <c r="BY551" i="23"/>
  <c r="CA551" i="23" s="1"/>
  <c r="CB551" i="23" s="1"/>
  <c r="BY558" i="23"/>
  <c r="CA558" i="23" s="1"/>
  <c r="CB558" i="23" s="1"/>
  <c r="BY555" i="23"/>
  <c r="CA555" i="23" s="1"/>
  <c r="CB555" i="23" s="1"/>
  <c r="BY547" i="23"/>
  <c r="CA547" i="23" s="1"/>
  <c r="CB547" i="23" s="1"/>
  <c r="BY544" i="23"/>
  <c r="CA544" i="23" s="1"/>
  <c r="CB544" i="23" s="1"/>
  <c r="BT556" i="23"/>
  <c r="BU556" i="23" s="1"/>
  <c r="CA557" i="23"/>
  <c r="CB557" i="23" s="1"/>
  <c r="BY548" i="23"/>
  <c r="CA548" i="23" s="1"/>
  <c r="CB548" i="23" s="1"/>
  <c r="BY556" i="23"/>
  <c r="CA556" i="23" s="1"/>
  <c r="CB556" i="23" s="1"/>
  <c r="BY553" i="23"/>
  <c r="CA553" i="23" s="1"/>
  <c r="CB553" i="23" s="1"/>
  <c r="BU548" i="23"/>
  <c r="BT558" i="23"/>
  <c r="BU558" i="23" s="1"/>
  <c r="BU544" i="23"/>
  <c r="BR555" i="23"/>
  <c r="BT555" i="23" s="1"/>
  <c r="BU555" i="23" s="1"/>
  <c r="BR543" i="23"/>
  <c r="BT543" i="23" s="1"/>
  <c r="BU543" i="23" s="1"/>
  <c r="BR549" i="23"/>
  <c r="BT549" i="23" s="1"/>
  <c r="BU549" i="23" s="1"/>
  <c r="BR552" i="23"/>
  <c r="BT552" i="23" s="1"/>
  <c r="BU552" i="23" s="1"/>
  <c r="BN558" i="23"/>
  <c r="BF552" i="23"/>
  <c r="BG552" i="23" s="1"/>
  <c r="BD543" i="23"/>
  <c r="BF543" i="23" s="1"/>
  <c r="BG543" i="23" s="1"/>
  <c r="BY545" i="23"/>
  <c r="CA545" i="23" s="1"/>
  <c r="CB545" i="23" s="1"/>
  <c r="BY552" i="23"/>
  <c r="CA552" i="23" s="1"/>
  <c r="CB552" i="23" s="1"/>
  <c r="BY554" i="23"/>
  <c r="CA554" i="23" s="1"/>
  <c r="CB554" i="23" s="1"/>
  <c r="BY543" i="23"/>
  <c r="CA543" i="23" s="1"/>
  <c r="CB543" i="23" s="1"/>
  <c r="BY550" i="23"/>
  <c r="CA550" i="23" s="1"/>
  <c r="CB550" i="23" s="1"/>
  <c r="BY546" i="23"/>
  <c r="CA546" i="23" s="1"/>
  <c r="CB546" i="23" s="1"/>
  <c r="BR546" i="23"/>
  <c r="BT546" i="23" s="1"/>
  <c r="BU546" i="23" s="1"/>
  <c r="BR550" i="23"/>
  <c r="BT550" i="23" s="1"/>
  <c r="BU550" i="23" s="1"/>
  <c r="BR554" i="23"/>
  <c r="BT554" i="23" s="1"/>
  <c r="BU554" i="23" s="1"/>
  <c r="BD551" i="23"/>
  <c r="BF551" i="23" s="1"/>
  <c r="BG551" i="23" s="1"/>
  <c r="BD550" i="23"/>
  <c r="BF550" i="23" s="1"/>
  <c r="BG550" i="23" s="1"/>
  <c r="BD549" i="23"/>
  <c r="BF549" i="23" s="1"/>
  <c r="BG549" i="23" s="1"/>
  <c r="BD557" i="23"/>
  <c r="BF557" i="23" s="1"/>
  <c r="BG557" i="23" s="1"/>
  <c r="BD558" i="23"/>
  <c r="BF558" i="23" s="1"/>
  <c r="BG558" i="23" s="1"/>
  <c r="BD548" i="23"/>
  <c r="BF548" i="23" s="1"/>
  <c r="BG548" i="23" s="1"/>
  <c r="BD556" i="23"/>
  <c r="BF556" i="23" s="1"/>
  <c r="BG556" i="23" s="1"/>
  <c r="BD547" i="23"/>
  <c r="BF547" i="23" s="1"/>
  <c r="BG547" i="23" s="1"/>
  <c r="BD555" i="23"/>
  <c r="BF555" i="23" s="1"/>
  <c r="BG555" i="23" s="1"/>
  <c r="BD546" i="23"/>
  <c r="BF546" i="23" s="1"/>
  <c r="BG546" i="23" s="1"/>
  <c r="BD554" i="23"/>
  <c r="BF554" i="23" s="1"/>
  <c r="BG554" i="23" s="1"/>
  <c r="BD545" i="23"/>
  <c r="BF545" i="23" s="1"/>
  <c r="BG545" i="23" s="1"/>
  <c r="BD553" i="23"/>
  <c r="BF553" i="23" s="1"/>
  <c r="BG553" i="23" s="1"/>
  <c r="BD544" i="23"/>
  <c r="BF544" i="23" s="1"/>
  <c r="BG544" i="23" s="1"/>
  <c r="AP555" i="23"/>
  <c r="AR555" i="23" s="1"/>
  <c r="AB547" i="23"/>
  <c r="AD547" i="23" s="1"/>
  <c r="AB557" i="23"/>
  <c r="AD557" i="23" s="1"/>
  <c r="AI548" i="23"/>
  <c r="AK548" i="23" s="1"/>
  <c r="AP547" i="23"/>
  <c r="AR547" i="23" s="1"/>
  <c r="BT551" i="23"/>
  <c r="BU551" i="23" s="1"/>
  <c r="AP545" i="23"/>
  <c r="AR545" i="23" s="1"/>
  <c r="AB549" i="23"/>
  <c r="AD549" i="23" s="1"/>
  <c r="AP557" i="23"/>
  <c r="AR557" i="23" s="1"/>
  <c r="BT547" i="23"/>
  <c r="BU547" i="23" s="1"/>
  <c r="AI554" i="23"/>
  <c r="AK554" i="23" s="1"/>
  <c r="BT557" i="23"/>
  <c r="BU557" i="23" s="1"/>
  <c r="AP543" i="23"/>
  <c r="AR543" i="23" s="1"/>
  <c r="AP553" i="23"/>
  <c r="AR553" i="23" s="1"/>
  <c r="AB555" i="23"/>
  <c r="AD555" i="23" s="1"/>
  <c r="AP549" i="23"/>
  <c r="AR549" i="23" s="1"/>
  <c r="AI550" i="23"/>
  <c r="AK550" i="23" s="1"/>
  <c r="BT553" i="23"/>
  <c r="BU553" i="23" s="1"/>
  <c r="AW552" i="23"/>
  <c r="AY552" i="23" s="1"/>
  <c r="AB545" i="23"/>
  <c r="AD545" i="23" s="1"/>
  <c r="AW548" i="23"/>
  <c r="AY548" i="23" s="1"/>
  <c r="AW558" i="23"/>
  <c r="AY558" i="23" s="1"/>
  <c r="AW544" i="23"/>
  <c r="AY544" i="23" s="1"/>
  <c r="AI546" i="23"/>
  <c r="AK546" i="23" s="1"/>
  <c r="AB551" i="23"/>
  <c r="AD551" i="23" s="1"/>
  <c r="AW554" i="23"/>
  <c r="AY554" i="23" s="1"/>
  <c r="AI556" i="23"/>
  <c r="AK556" i="23" s="1"/>
  <c r="AI544" i="23"/>
  <c r="AK544" i="23" s="1"/>
  <c r="BT545" i="23"/>
  <c r="BU545" i="23" s="1"/>
  <c r="AW550" i="23"/>
  <c r="AY550" i="23" s="1"/>
  <c r="AI552" i="23"/>
  <c r="AK552" i="23" s="1"/>
  <c r="AB543" i="23"/>
  <c r="AD543" i="23" s="1"/>
  <c r="AW546" i="23"/>
  <c r="AY546" i="23" s="1"/>
  <c r="AP551" i="23"/>
  <c r="AR551" i="23" s="1"/>
  <c r="AB553" i="23"/>
  <c r="AD553" i="23" s="1"/>
  <c r="AW556" i="23"/>
  <c r="AY556" i="23" s="1"/>
  <c r="AI558" i="23"/>
  <c r="AK558" i="23" s="1"/>
  <c r="AX553" i="23"/>
  <c r="AW553" i="23"/>
  <c r="AP546" i="23"/>
  <c r="AQ546" i="23"/>
  <c r="AI549" i="23"/>
  <c r="AJ549" i="23"/>
  <c r="AQ554" i="23"/>
  <c r="AP554" i="23"/>
  <c r="AC550" i="23"/>
  <c r="AB550" i="23"/>
  <c r="AW551" i="23"/>
  <c r="AX551" i="23"/>
  <c r="AW543" i="23"/>
  <c r="AY543" i="23" s="1"/>
  <c r="AB544" i="23"/>
  <c r="AD544" i="23" s="1"/>
  <c r="AI545" i="23"/>
  <c r="AK545" i="23" s="1"/>
  <c r="AI547" i="23"/>
  <c r="AJ547" i="23"/>
  <c r="AQ552" i="23"/>
  <c r="AP552" i="23"/>
  <c r="AJ555" i="23"/>
  <c r="AI555" i="23"/>
  <c r="AC556" i="23"/>
  <c r="AB556" i="23"/>
  <c r="AX557" i="23"/>
  <c r="AW557" i="23"/>
  <c r="AQ558" i="23"/>
  <c r="AP558" i="23"/>
  <c r="AC548" i="23"/>
  <c r="AB548" i="23"/>
  <c r="AX549" i="23"/>
  <c r="AW549" i="23"/>
  <c r="AQ550" i="23"/>
  <c r="AP550" i="23"/>
  <c r="AJ553" i="23"/>
  <c r="AI553" i="23"/>
  <c r="AB546" i="23"/>
  <c r="AC546" i="23"/>
  <c r="AX547" i="23"/>
  <c r="AW547" i="23"/>
  <c r="AC554" i="23"/>
  <c r="AB554" i="23"/>
  <c r="AX555" i="23"/>
  <c r="AW555" i="23"/>
  <c r="AQ556" i="23"/>
  <c r="AP556" i="23"/>
  <c r="AI543" i="23"/>
  <c r="AK543" i="23" s="1"/>
  <c r="AP544" i="23"/>
  <c r="AR544" i="23" s="1"/>
  <c r="AW545" i="23"/>
  <c r="AY545" i="23" s="1"/>
  <c r="AP548" i="23"/>
  <c r="AQ548" i="23"/>
  <c r="AJ551" i="23"/>
  <c r="AI551" i="23"/>
  <c r="AJ557" i="23"/>
  <c r="AI557" i="23"/>
  <c r="AC558" i="23"/>
  <c r="AB558" i="23"/>
  <c r="AC552" i="23"/>
  <c r="AB552" i="23"/>
  <c r="BK543" i="23"/>
  <c r="BM543" i="23" s="1"/>
  <c r="BN543" i="23" s="1"/>
  <c r="BK545" i="23"/>
  <c r="BM545" i="23" s="1"/>
  <c r="BN545" i="23" s="1"/>
  <c r="BK547" i="23"/>
  <c r="BM547" i="23" s="1"/>
  <c r="BN547" i="23" s="1"/>
  <c r="BK549" i="23"/>
  <c r="BM549" i="23" s="1"/>
  <c r="BN549" i="23" s="1"/>
  <c r="BK551" i="23"/>
  <c r="BM551" i="23" s="1"/>
  <c r="BN551" i="23" s="1"/>
  <c r="BK553" i="23"/>
  <c r="BM553" i="23" s="1"/>
  <c r="BN553" i="23" s="1"/>
  <c r="BK555" i="23"/>
  <c r="BM555" i="23" s="1"/>
  <c r="BN555" i="23" s="1"/>
  <c r="BK557" i="23"/>
  <c r="BM557" i="23" s="1"/>
  <c r="BN557" i="23" s="1"/>
  <c r="BK544" i="23"/>
  <c r="BM544" i="23" s="1"/>
  <c r="BN544" i="23" s="1"/>
  <c r="BK546" i="23"/>
  <c r="BM546" i="23" s="1"/>
  <c r="BN546" i="23" s="1"/>
  <c r="BK548" i="23"/>
  <c r="BM548" i="23" s="1"/>
  <c r="BN548" i="23" s="1"/>
  <c r="BK550" i="23"/>
  <c r="BM550" i="23" s="1"/>
  <c r="BN550" i="23" s="1"/>
  <c r="BK552" i="23"/>
  <c r="BM552" i="23" s="1"/>
  <c r="BN552" i="23" s="1"/>
  <c r="BK554" i="23"/>
  <c r="BM554" i="23" s="1"/>
  <c r="BN554" i="23" s="1"/>
  <c r="BK556" i="23"/>
  <c r="BM556" i="23" s="1"/>
  <c r="BN556" i="23" s="1"/>
  <c r="BW533" i="23"/>
  <c r="BY528" i="23" s="1"/>
  <c r="BP533" i="23"/>
  <c r="BR528" i="23" s="1"/>
  <c r="BI533" i="23"/>
  <c r="BK532" i="23" s="1"/>
  <c r="BB533" i="23"/>
  <c r="BD532" i="23" s="1"/>
  <c r="BZ532" i="23"/>
  <c r="BX532" i="23"/>
  <c r="BS532" i="23"/>
  <c r="BQ532" i="23"/>
  <c r="BL532" i="23"/>
  <c r="BJ532" i="23"/>
  <c r="BE532" i="23"/>
  <c r="BC532" i="23"/>
  <c r="AT532" i="23"/>
  <c r="AX532" i="23" s="1"/>
  <c r="AM532" i="23"/>
  <c r="AQ532" i="23" s="1"/>
  <c r="AF532" i="23"/>
  <c r="AJ532" i="23" s="1"/>
  <c r="Y532" i="23"/>
  <c r="AC532" i="23" s="1"/>
  <c r="BZ531" i="23"/>
  <c r="BX531" i="23"/>
  <c r="BS531" i="23"/>
  <c r="BQ531" i="23"/>
  <c r="BL531" i="23"/>
  <c r="BJ531" i="23"/>
  <c r="BE531" i="23"/>
  <c r="BC531" i="23"/>
  <c r="AT531" i="23"/>
  <c r="AX531" i="23" s="1"/>
  <c r="AM531" i="23"/>
  <c r="AQ531" i="23" s="1"/>
  <c r="AF531" i="23"/>
  <c r="AJ531" i="23" s="1"/>
  <c r="Y531" i="23"/>
  <c r="AC531" i="23" s="1"/>
  <c r="BZ530" i="23"/>
  <c r="BX530" i="23"/>
  <c r="BS530" i="23"/>
  <c r="BQ530" i="23"/>
  <c r="BL530" i="23"/>
  <c r="BJ530" i="23"/>
  <c r="BE530" i="23"/>
  <c r="BC530" i="23"/>
  <c r="AT530" i="23"/>
  <c r="AX530" i="23" s="1"/>
  <c r="AM530" i="23"/>
  <c r="AQ530" i="23" s="1"/>
  <c r="AF530" i="23"/>
  <c r="AJ530" i="23" s="1"/>
  <c r="Y530" i="23"/>
  <c r="AC530" i="23" s="1"/>
  <c r="BZ529" i="23"/>
  <c r="BX529" i="23"/>
  <c r="BS529" i="23"/>
  <c r="BQ529" i="23"/>
  <c r="BL529" i="23"/>
  <c r="BJ529" i="23"/>
  <c r="BE529" i="23"/>
  <c r="BC529" i="23"/>
  <c r="AT529" i="23"/>
  <c r="AX529" i="23" s="1"/>
  <c r="AM529" i="23"/>
  <c r="AQ529" i="23" s="1"/>
  <c r="AF529" i="23"/>
  <c r="AJ529" i="23" s="1"/>
  <c r="Y529" i="23"/>
  <c r="AC529" i="23" s="1"/>
  <c r="BZ528" i="23"/>
  <c r="BX528" i="23"/>
  <c r="BS528" i="23"/>
  <c r="BQ528" i="23"/>
  <c r="BL528" i="23"/>
  <c r="BJ528" i="23"/>
  <c r="BE528" i="23"/>
  <c r="BC528" i="23"/>
  <c r="AT528" i="23"/>
  <c r="AX528" i="23" s="1"/>
  <c r="AM528" i="23"/>
  <c r="AQ528" i="23" s="1"/>
  <c r="AF528" i="23"/>
  <c r="AJ528" i="23" s="1"/>
  <c r="Y528" i="23"/>
  <c r="AC528" i="23" s="1"/>
  <c r="BZ527" i="23"/>
  <c r="BX527" i="23"/>
  <c r="BS527" i="23"/>
  <c r="BQ527" i="23"/>
  <c r="BL527" i="23"/>
  <c r="BJ527" i="23"/>
  <c r="BE527" i="23"/>
  <c r="BC527" i="23"/>
  <c r="AT527" i="23"/>
  <c r="AX527" i="23" s="1"/>
  <c r="AM527" i="23"/>
  <c r="AQ527" i="23" s="1"/>
  <c r="AF527" i="23"/>
  <c r="AJ527" i="23" s="1"/>
  <c r="Y527" i="23"/>
  <c r="AC527" i="23" s="1"/>
  <c r="BZ526" i="23"/>
  <c r="BX526" i="23"/>
  <c r="BS526" i="23"/>
  <c r="BQ526" i="23"/>
  <c r="BL526" i="23"/>
  <c r="BJ526" i="23"/>
  <c r="BE526" i="23"/>
  <c r="BC526" i="23"/>
  <c r="AT526" i="23"/>
  <c r="AX526" i="23" s="1"/>
  <c r="AM526" i="23"/>
  <c r="AQ526" i="23" s="1"/>
  <c r="AF526" i="23"/>
  <c r="AJ526" i="23" s="1"/>
  <c r="Y526" i="23"/>
  <c r="AC526" i="23" s="1"/>
  <c r="BZ525" i="23"/>
  <c r="BX525" i="23"/>
  <c r="BS525" i="23"/>
  <c r="BQ525" i="23"/>
  <c r="BL525" i="23"/>
  <c r="BJ525" i="23"/>
  <c r="BE525" i="23"/>
  <c r="BC525" i="23"/>
  <c r="AT525" i="23"/>
  <c r="AX525" i="23" s="1"/>
  <c r="AM525" i="23"/>
  <c r="AQ525" i="23" s="1"/>
  <c r="AF525" i="23"/>
  <c r="AJ525" i="23" s="1"/>
  <c r="Y525" i="23"/>
  <c r="AC525" i="23" s="1"/>
  <c r="BZ524" i="23"/>
  <c r="BX524" i="23"/>
  <c r="BS524" i="23"/>
  <c r="BQ524" i="23"/>
  <c r="BL524" i="23"/>
  <c r="BJ524" i="23"/>
  <c r="BE524" i="23"/>
  <c r="BC524" i="23"/>
  <c r="AT524" i="23"/>
  <c r="AX524" i="23" s="1"/>
  <c r="AM524" i="23"/>
  <c r="AQ524" i="23" s="1"/>
  <c r="AF524" i="23"/>
  <c r="AJ524" i="23" s="1"/>
  <c r="Y524" i="23"/>
  <c r="AC524" i="23" s="1"/>
  <c r="BZ523" i="23"/>
  <c r="BX523" i="23"/>
  <c r="BS523" i="23"/>
  <c r="BQ523" i="23"/>
  <c r="BL523" i="23"/>
  <c r="BJ523" i="23"/>
  <c r="BE523" i="23"/>
  <c r="BC523" i="23"/>
  <c r="AT523" i="23"/>
  <c r="AX523" i="23" s="1"/>
  <c r="AM523" i="23"/>
  <c r="AQ523" i="23" s="1"/>
  <c r="AF523" i="23"/>
  <c r="AJ523" i="23" s="1"/>
  <c r="Y523" i="23"/>
  <c r="AC523" i="23" s="1"/>
  <c r="BZ522" i="23"/>
  <c r="BX522" i="23"/>
  <c r="BS522" i="23"/>
  <c r="BQ522" i="23"/>
  <c r="BL522" i="23"/>
  <c r="BJ522" i="23"/>
  <c r="BE522" i="23"/>
  <c r="BC522" i="23"/>
  <c r="AT522" i="23"/>
  <c r="AX522" i="23" s="1"/>
  <c r="AM522" i="23"/>
  <c r="AQ522" i="23" s="1"/>
  <c r="AF522" i="23"/>
  <c r="AJ522" i="23" s="1"/>
  <c r="Y522" i="23"/>
  <c r="AC522" i="23" s="1"/>
  <c r="BZ521" i="23"/>
  <c r="BX521" i="23"/>
  <c r="BS521" i="23"/>
  <c r="BQ521" i="23"/>
  <c r="BL521" i="23"/>
  <c r="BJ521" i="23"/>
  <c r="BE521" i="23"/>
  <c r="BC521" i="23"/>
  <c r="AT521" i="23"/>
  <c r="AX521" i="23" s="1"/>
  <c r="AM521" i="23"/>
  <c r="AQ521" i="23" s="1"/>
  <c r="AF521" i="23"/>
  <c r="AJ521" i="23" s="1"/>
  <c r="Y521" i="23"/>
  <c r="AC521" i="23" s="1"/>
  <c r="BZ520" i="23"/>
  <c r="BX520" i="23"/>
  <c r="BS520" i="23"/>
  <c r="BR520" i="23"/>
  <c r="BQ520" i="23"/>
  <c r="BL520" i="23"/>
  <c r="BJ520" i="23"/>
  <c r="BE520" i="23"/>
  <c r="BC520" i="23"/>
  <c r="AT520" i="23"/>
  <c r="AX520" i="23" s="1"/>
  <c r="AM520" i="23"/>
  <c r="AQ520" i="23" s="1"/>
  <c r="AF520" i="23"/>
  <c r="AJ520" i="23" s="1"/>
  <c r="Y520" i="23"/>
  <c r="AC520" i="23" s="1"/>
  <c r="BZ519" i="23"/>
  <c r="BX519" i="23"/>
  <c r="BS519" i="23"/>
  <c r="BQ519" i="23"/>
  <c r="BL519" i="23"/>
  <c r="BJ519" i="23"/>
  <c r="BE519" i="23"/>
  <c r="BC519" i="23"/>
  <c r="AT519" i="23"/>
  <c r="AX519" i="23" s="1"/>
  <c r="AM519" i="23"/>
  <c r="AQ519" i="23" s="1"/>
  <c r="AF519" i="23"/>
  <c r="AJ519" i="23" s="1"/>
  <c r="Y519" i="23"/>
  <c r="AC519" i="23" s="1"/>
  <c r="BZ518" i="23"/>
  <c r="BX518" i="23"/>
  <c r="BS518" i="23"/>
  <c r="BQ518" i="23"/>
  <c r="BL518" i="23"/>
  <c r="BJ518" i="23"/>
  <c r="BE518" i="23"/>
  <c r="BC518" i="23"/>
  <c r="AT518" i="23"/>
  <c r="AX518" i="23" s="1"/>
  <c r="AM518" i="23"/>
  <c r="AQ518" i="23" s="1"/>
  <c r="AF518" i="23"/>
  <c r="AJ518" i="23" s="1"/>
  <c r="Y518" i="23"/>
  <c r="AC518" i="23" s="1"/>
  <c r="BZ517" i="23"/>
  <c r="BX517" i="23"/>
  <c r="BS517" i="23"/>
  <c r="BQ517" i="23"/>
  <c r="BL517" i="23"/>
  <c r="BJ517" i="23"/>
  <c r="BE517" i="23"/>
  <c r="BC517" i="23"/>
  <c r="AT517" i="23"/>
  <c r="AX517" i="23" s="1"/>
  <c r="AM517" i="23"/>
  <c r="AQ517" i="23" s="1"/>
  <c r="AF517" i="23"/>
  <c r="AJ517" i="23" s="1"/>
  <c r="Y517" i="23"/>
  <c r="AC517" i="23" s="1"/>
  <c r="BY33" i="23"/>
  <c r="BY34" i="23"/>
  <c r="BY35" i="23"/>
  <c r="BY36" i="23"/>
  <c r="BY37" i="23"/>
  <c r="BY38" i="23"/>
  <c r="BY39" i="23"/>
  <c r="BY40" i="23"/>
  <c r="BY41" i="23"/>
  <c r="BY42" i="23"/>
  <c r="BY43" i="23"/>
  <c r="BY44" i="23"/>
  <c r="BY45" i="23"/>
  <c r="BY46" i="23"/>
  <c r="BY47" i="23"/>
  <c r="BC413" i="23"/>
  <c r="BB403" i="23"/>
  <c r="BD399" i="23" s="1"/>
  <c r="BE387" i="23"/>
  <c r="BX308" i="23"/>
  <c r="BJ307" i="23"/>
  <c r="BX361" i="23"/>
  <c r="BW377" i="23"/>
  <c r="BY369" i="23" s="1"/>
  <c r="BW351" i="23"/>
  <c r="Y367" i="23"/>
  <c r="BC365" i="23"/>
  <c r="BI403" i="23"/>
  <c r="BK397" i="23" s="1"/>
  <c r="BP403" i="23"/>
  <c r="BW403" i="23"/>
  <c r="BY401" i="23" s="1"/>
  <c r="BP377" i="23"/>
  <c r="BR375" i="23" s="1"/>
  <c r="BI377" i="23"/>
  <c r="BK371" i="23" s="1"/>
  <c r="BB377" i="23"/>
  <c r="BD372" i="23" s="1"/>
  <c r="BB351" i="23"/>
  <c r="BD346" i="23" s="1"/>
  <c r="BD348" i="23" l="1"/>
  <c r="BY524" i="23"/>
  <c r="CA524" i="23" s="1"/>
  <c r="BY530" i="23"/>
  <c r="BY521" i="23"/>
  <c r="BY362" i="23"/>
  <c r="BD365" i="23"/>
  <c r="BD525" i="23"/>
  <c r="BY365" i="23"/>
  <c r="BD390" i="23"/>
  <c r="BD373" i="23"/>
  <c r="BY370" i="23"/>
  <c r="BD391" i="23"/>
  <c r="BK364" i="23"/>
  <c r="BD517" i="23"/>
  <c r="BY373" i="23"/>
  <c r="BD392" i="23"/>
  <c r="BK372" i="23"/>
  <c r="BD519" i="23"/>
  <c r="BD531" i="23"/>
  <c r="BD400" i="23"/>
  <c r="BK390" i="23"/>
  <c r="AW526" i="23"/>
  <c r="BK398" i="23"/>
  <c r="AY553" i="23"/>
  <c r="BD339" i="23"/>
  <c r="BD523" i="23"/>
  <c r="BF523" i="23" s="1"/>
  <c r="BR398" i="23"/>
  <c r="BR390" i="23"/>
  <c r="BR397" i="23"/>
  <c r="BR389" i="23"/>
  <c r="BR396" i="23"/>
  <c r="BR388" i="23"/>
  <c r="BR395" i="23"/>
  <c r="BR402" i="23"/>
  <c r="BR394" i="23"/>
  <c r="BR400" i="23"/>
  <c r="BR392" i="23"/>
  <c r="BR399" i="23"/>
  <c r="BR391" i="23"/>
  <c r="BY363" i="23"/>
  <c r="BY371" i="23"/>
  <c r="BD393" i="23"/>
  <c r="BD401" i="23"/>
  <c r="BY394" i="23"/>
  <c r="BY402" i="23"/>
  <c r="BD340" i="23"/>
  <c r="BD349" i="23"/>
  <c r="BD366" i="23"/>
  <c r="BD374" i="23"/>
  <c r="BK365" i="23"/>
  <c r="BK373" i="23"/>
  <c r="BK391" i="23"/>
  <c r="BK399" i="23"/>
  <c r="BY364" i="23"/>
  <c r="BY372" i="23"/>
  <c r="BD394" i="23"/>
  <c r="BD402" i="23"/>
  <c r="BY395" i="23"/>
  <c r="BD341" i="23"/>
  <c r="BD350" i="23"/>
  <c r="BD367" i="23"/>
  <c r="BD375" i="23"/>
  <c r="BK366" i="23"/>
  <c r="BK374" i="23"/>
  <c r="BK392" i="23"/>
  <c r="BK400" i="23"/>
  <c r="BD395" i="23"/>
  <c r="BY388" i="23"/>
  <c r="BY396" i="23"/>
  <c r="BD342" i="23"/>
  <c r="BD347" i="23"/>
  <c r="BD368" i="23"/>
  <c r="BD376" i="23"/>
  <c r="BK367" i="23"/>
  <c r="BK375" i="23"/>
  <c r="BK393" i="23"/>
  <c r="BK401" i="23"/>
  <c r="BY366" i="23"/>
  <c r="BY374" i="23"/>
  <c r="BD388" i="23"/>
  <c r="BD396" i="23"/>
  <c r="BY389" i="23"/>
  <c r="BY397" i="23"/>
  <c r="BD343" i="23"/>
  <c r="BD361" i="23"/>
  <c r="BD369" i="23"/>
  <c r="BK368" i="23"/>
  <c r="BK376" i="23"/>
  <c r="BK394" i="23"/>
  <c r="BK402" i="23"/>
  <c r="BR367" i="23"/>
  <c r="BY393" i="23"/>
  <c r="BY367" i="23"/>
  <c r="BY375" i="23"/>
  <c r="BD389" i="23"/>
  <c r="BD397" i="23"/>
  <c r="BY390" i="23"/>
  <c r="BY398" i="23"/>
  <c r="BD336" i="23"/>
  <c r="BD344" i="23"/>
  <c r="BD362" i="23"/>
  <c r="BD370" i="23"/>
  <c r="BK361" i="23"/>
  <c r="BK369" i="23"/>
  <c r="BK395" i="23"/>
  <c r="BY368" i="23"/>
  <c r="BY376" i="23"/>
  <c r="BD398" i="23"/>
  <c r="BY391" i="23"/>
  <c r="BY399" i="23"/>
  <c r="BD337" i="23"/>
  <c r="BD345" i="23"/>
  <c r="BD363" i="23"/>
  <c r="BD371" i="23"/>
  <c r="BK362" i="23"/>
  <c r="BK370" i="23"/>
  <c r="BK388" i="23"/>
  <c r="BK396" i="23"/>
  <c r="BR393" i="23"/>
  <c r="BY400" i="23"/>
  <c r="BR372" i="23"/>
  <c r="BR364" i="23"/>
  <c r="BR371" i="23"/>
  <c r="BR363" i="23"/>
  <c r="BR370" i="23"/>
  <c r="BR362" i="23"/>
  <c r="BR369" i="23"/>
  <c r="BR361" i="23"/>
  <c r="BR376" i="23"/>
  <c r="BR368" i="23"/>
  <c r="BR374" i="23"/>
  <c r="BR366" i="23"/>
  <c r="BR373" i="23"/>
  <c r="BR365" i="23"/>
  <c r="BY361" i="23"/>
  <c r="BY392" i="23"/>
  <c r="BD338" i="23"/>
  <c r="BD364" i="23"/>
  <c r="BK363" i="23"/>
  <c r="BK389" i="23"/>
  <c r="BR401" i="23"/>
  <c r="BF519" i="23"/>
  <c r="BG519" i="23" s="1"/>
  <c r="BT520" i="23"/>
  <c r="BU520" i="23" s="1"/>
  <c r="CA530" i="23"/>
  <c r="CB530" i="23" s="1"/>
  <c r="CB524" i="23"/>
  <c r="BY531" i="23"/>
  <c r="CA531" i="23" s="1"/>
  <c r="CB531" i="23" s="1"/>
  <c r="CA521" i="23"/>
  <c r="CB521" i="23" s="1"/>
  <c r="CA528" i="23"/>
  <c r="CB528" i="23" s="1"/>
  <c r="BT528" i="23"/>
  <c r="BU528" i="23" s="1"/>
  <c r="BR532" i="23"/>
  <c r="BT532" i="23" s="1"/>
  <c r="BU532" i="23" s="1"/>
  <c r="BR517" i="23"/>
  <c r="BT517" i="23" s="1"/>
  <c r="BU517" i="23" s="1"/>
  <c r="BR521" i="23"/>
  <c r="BT521" i="23" s="1"/>
  <c r="BU521" i="23" s="1"/>
  <c r="BR518" i="23"/>
  <c r="BT518" i="23" s="1"/>
  <c r="BU518" i="23" s="1"/>
  <c r="BM532" i="23"/>
  <c r="BN532" i="23" s="1"/>
  <c r="BF531" i="23"/>
  <c r="BG531" i="23" s="1"/>
  <c r="BF517" i="23"/>
  <c r="BG517" i="23" s="1"/>
  <c r="BF532" i="23"/>
  <c r="BG532" i="23" s="1"/>
  <c r="BD521" i="23"/>
  <c r="BF521" i="23" s="1"/>
  <c r="BG521" i="23" s="1"/>
  <c r="BD529" i="23"/>
  <c r="BF529" i="23" s="1"/>
  <c r="BG529" i="23" s="1"/>
  <c r="BG523" i="23"/>
  <c r="BF525" i="23"/>
  <c r="BG525" i="23" s="1"/>
  <c r="BY520" i="23"/>
  <c r="CA520" i="23" s="1"/>
  <c r="CB520" i="23" s="1"/>
  <c r="BY527" i="23"/>
  <c r="CA527" i="23" s="1"/>
  <c r="CB527" i="23" s="1"/>
  <c r="BY519" i="23"/>
  <c r="CA519" i="23" s="1"/>
  <c r="CB519" i="23" s="1"/>
  <c r="BY523" i="23"/>
  <c r="CA523" i="23" s="1"/>
  <c r="CB523" i="23" s="1"/>
  <c r="BY526" i="23"/>
  <c r="CA526" i="23" s="1"/>
  <c r="CB526" i="23" s="1"/>
  <c r="BY518" i="23"/>
  <c r="CA518" i="23" s="1"/>
  <c r="CB518" i="23" s="1"/>
  <c r="BY522" i="23"/>
  <c r="CA522" i="23" s="1"/>
  <c r="CB522" i="23" s="1"/>
  <c r="BY529" i="23"/>
  <c r="CA529" i="23" s="1"/>
  <c r="CB529" i="23" s="1"/>
  <c r="BY532" i="23"/>
  <c r="CA532" i="23" s="1"/>
  <c r="CB532" i="23" s="1"/>
  <c r="BY525" i="23"/>
  <c r="CA525" i="23" s="1"/>
  <c r="CB525" i="23" s="1"/>
  <c r="BY517" i="23"/>
  <c r="CA517" i="23" s="1"/>
  <c r="CB517" i="23" s="1"/>
  <c r="BR529" i="23"/>
  <c r="BT529" i="23" s="1"/>
  <c r="BU529" i="23" s="1"/>
  <c r="BR519" i="23"/>
  <c r="BT519" i="23" s="1"/>
  <c r="BU519" i="23" s="1"/>
  <c r="BR527" i="23"/>
  <c r="BT527" i="23" s="1"/>
  <c r="BU527" i="23" s="1"/>
  <c r="BR526" i="23"/>
  <c r="BT526" i="23" s="1"/>
  <c r="BU526" i="23" s="1"/>
  <c r="BR524" i="23"/>
  <c r="BT524" i="23" s="1"/>
  <c r="BU524" i="23" s="1"/>
  <c r="BR525" i="23"/>
  <c r="BT525" i="23" s="1"/>
  <c r="BU525" i="23" s="1"/>
  <c r="BR531" i="23"/>
  <c r="BT531" i="23" s="1"/>
  <c r="BU531" i="23" s="1"/>
  <c r="BR530" i="23"/>
  <c r="BT530" i="23" s="1"/>
  <c r="BU530" i="23" s="1"/>
  <c r="BR522" i="23"/>
  <c r="BT522" i="23" s="1"/>
  <c r="BU522" i="23" s="1"/>
  <c r="BR523" i="23"/>
  <c r="BT523" i="23" s="1"/>
  <c r="BU523" i="23" s="1"/>
  <c r="BD527" i="23"/>
  <c r="BF527" i="23" s="1"/>
  <c r="BG527" i="23" s="1"/>
  <c r="AD554" i="23"/>
  <c r="AK549" i="23"/>
  <c r="AD552" i="23"/>
  <c r="AR546" i="23"/>
  <c r="AY557" i="23"/>
  <c r="AD546" i="23"/>
  <c r="AR550" i="23"/>
  <c r="AY549" i="23"/>
  <c r="AD556" i="23"/>
  <c r="AR554" i="23"/>
  <c r="AD558" i="23"/>
  <c r="AK551" i="23"/>
  <c r="AR556" i="23"/>
  <c r="AY547" i="23"/>
  <c r="AK553" i="23"/>
  <c r="AR552" i="23"/>
  <c r="AD550" i="23"/>
  <c r="AR548" i="23"/>
  <c r="AD548" i="23"/>
  <c r="AK555" i="23"/>
  <c r="AK547" i="23"/>
  <c r="AR558" i="23"/>
  <c r="AY551" i="23"/>
  <c r="AK557" i="23"/>
  <c r="AY555" i="23"/>
  <c r="AB529" i="23"/>
  <c r="AW524" i="23"/>
  <c r="AY524" i="23" s="1"/>
  <c r="AW522" i="23"/>
  <c r="AY522" i="23" s="1"/>
  <c r="AW520" i="23"/>
  <c r="AY520" i="23" s="1"/>
  <c r="AW518" i="23"/>
  <c r="AY518" i="23" s="1"/>
  <c r="AP527" i="23"/>
  <c r="AR527" i="23" s="1"/>
  <c r="AP525" i="23"/>
  <c r="AR525" i="23" s="1"/>
  <c r="AP523" i="23"/>
  <c r="AR523" i="23" s="1"/>
  <c r="AP521" i="23"/>
  <c r="AR521" i="23" s="1"/>
  <c r="AP519" i="23"/>
  <c r="AR519" i="23" s="1"/>
  <c r="AP517" i="23"/>
  <c r="AR517" i="23" s="1"/>
  <c r="AI520" i="23"/>
  <c r="AK520" i="23" s="1"/>
  <c r="AW532" i="23"/>
  <c r="AY532" i="23" s="1"/>
  <c r="AW528" i="23"/>
  <c r="AY528" i="23" s="1"/>
  <c r="AW530" i="23"/>
  <c r="AY530" i="23" s="1"/>
  <c r="AP529" i="23"/>
  <c r="AR529" i="23" s="1"/>
  <c r="AP531" i="23"/>
  <c r="AR531" i="23" s="1"/>
  <c r="AI522" i="23"/>
  <c r="AK522" i="23" s="1"/>
  <c r="AI524" i="23"/>
  <c r="AK524" i="23" s="1"/>
  <c r="AI526" i="23"/>
  <c r="AK526" i="23" s="1"/>
  <c r="AI528" i="23"/>
  <c r="AK528" i="23" s="1"/>
  <c r="AI530" i="23"/>
  <c r="AK530" i="23" s="1"/>
  <c r="AI518" i="23"/>
  <c r="AK518" i="23" s="1"/>
  <c r="AI532" i="23"/>
  <c r="AK532" i="23" s="1"/>
  <c r="AB521" i="23"/>
  <c r="AD521" i="23" s="1"/>
  <c r="AB519" i="23"/>
  <c r="AD519" i="23" s="1"/>
  <c r="AB527" i="23"/>
  <c r="AD527" i="23" s="1"/>
  <c r="AB523" i="23"/>
  <c r="AD523" i="23" s="1"/>
  <c r="AB531" i="23"/>
  <c r="AD531" i="23" s="1"/>
  <c r="AB517" i="23"/>
  <c r="AD517" i="23" s="1"/>
  <c r="AB525" i="23"/>
  <c r="AD525" i="23" s="1"/>
  <c r="AY526" i="23"/>
  <c r="AD529" i="23"/>
  <c r="AI517" i="23"/>
  <c r="AK517" i="23" s="1"/>
  <c r="AW517" i="23"/>
  <c r="AY517" i="23" s="1"/>
  <c r="AB518" i="23"/>
  <c r="AD518" i="23" s="1"/>
  <c r="AP518" i="23"/>
  <c r="AR518" i="23" s="1"/>
  <c r="BD518" i="23"/>
  <c r="BF518" i="23" s="1"/>
  <c r="BG518" i="23" s="1"/>
  <c r="AI519" i="23"/>
  <c r="AK519" i="23" s="1"/>
  <c r="AW519" i="23"/>
  <c r="AY519" i="23" s="1"/>
  <c r="AB520" i="23"/>
  <c r="AD520" i="23" s="1"/>
  <c r="AP520" i="23"/>
  <c r="AR520" i="23" s="1"/>
  <c r="BD520" i="23"/>
  <c r="BF520" i="23" s="1"/>
  <c r="BG520" i="23" s="1"/>
  <c r="AI521" i="23"/>
  <c r="AK521" i="23" s="1"/>
  <c r="AW521" i="23"/>
  <c r="AY521" i="23" s="1"/>
  <c r="AB522" i="23"/>
  <c r="AD522" i="23" s="1"/>
  <c r="AP522" i="23"/>
  <c r="AR522" i="23" s="1"/>
  <c r="BD522" i="23"/>
  <c r="BF522" i="23" s="1"/>
  <c r="BG522" i="23" s="1"/>
  <c r="AI523" i="23"/>
  <c r="AK523" i="23" s="1"/>
  <c r="AW523" i="23"/>
  <c r="AY523" i="23" s="1"/>
  <c r="AB524" i="23"/>
  <c r="AD524" i="23" s="1"/>
  <c r="AP524" i="23"/>
  <c r="AR524" i="23" s="1"/>
  <c r="BD524" i="23"/>
  <c r="BF524" i="23" s="1"/>
  <c r="BG524" i="23" s="1"/>
  <c r="AI525" i="23"/>
  <c r="AK525" i="23" s="1"/>
  <c r="AW525" i="23"/>
  <c r="AY525" i="23" s="1"/>
  <c r="AB526" i="23"/>
  <c r="AD526" i="23" s="1"/>
  <c r="AP526" i="23"/>
  <c r="AR526" i="23" s="1"/>
  <c r="BD526" i="23"/>
  <c r="BF526" i="23" s="1"/>
  <c r="BG526" i="23" s="1"/>
  <c r="AI527" i="23"/>
  <c r="AK527" i="23" s="1"/>
  <c r="AW527" i="23"/>
  <c r="AY527" i="23" s="1"/>
  <c r="AB528" i="23"/>
  <c r="AD528" i="23" s="1"/>
  <c r="AP528" i="23"/>
  <c r="AR528" i="23" s="1"/>
  <c r="BD528" i="23"/>
  <c r="BF528" i="23" s="1"/>
  <c r="BG528" i="23" s="1"/>
  <c r="AI529" i="23"/>
  <c r="AK529" i="23" s="1"/>
  <c r="AW529" i="23"/>
  <c r="AY529" i="23" s="1"/>
  <c r="AB530" i="23"/>
  <c r="AD530" i="23" s="1"/>
  <c r="AP530" i="23"/>
  <c r="AR530" i="23" s="1"/>
  <c r="BD530" i="23"/>
  <c r="BF530" i="23" s="1"/>
  <c r="BG530" i="23" s="1"/>
  <c r="AI531" i="23"/>
  <c r="AK531" i="23" s="1"/>
  <c r="AW531" i="23"/>
  <c r="AY531" i="23" s="1"/>
  <c r="AB532" i="23"/>
  <c r="AD532" i="23" s="1"/>
  <c r="AP532" i="23"/>
  <c r="AR532" i="23" s="1"/>
  <c r="BK517" i="23"/>
  <c r="BM517" i="23" s="1"/>
  <c r="BN517" i="23" s="1"/>
  <c r="BK519" i="23"/>
  <c r="BM519" i="23" s="1"/>
  <c r="BN519" i="23" s="1"/>
  <c r="BK521" i="23"/>
  <c r="BM521" i="23" s="1"/>
  <c r="BN521" i="23" s="1"/>
  <c r="BK523" i="23"/>
  <c r="BM523" i="23" s="1"/>
  <c r="BN523" i="23" s="1"/>
  <c r="BK525" i="23"/>
  <c r="BM525" i="23" s="1"/>
  <c r="BN525" i="23" s="1"/>
  <c r="BK527" i="23"/>
  <c r="BM527" i="23" s="1"/>
  <c r="BN527" i="23" s="1"/>
  <c r="BK529" i="23"/>
  <c r="BM529" i="23" s="1"/>
  <c r="BN529" i="23" s="1"/>
  <c r="BK531" i="23"/>
  <c r="BM531" i="23" s="1"/>
  <c r="BN531" i="23" s="1"/>
  <c r="BK518" i="23"/>
  <c r="BM518" i="23" s="1"/>
  <c r="BN518" i="23" s="1"/>
  <c r="BK520" i="23"/>
  <c r="BM520" i="23" s="1"/>
  <c r="BN520" i="23" s="1"/>
  <c r="BK522" i="23"/>
  <c r="BM522" i="23" s="1"/>
  <c r="BN522" i="23" s="1"/>
  <c r="BK524" i="23"/>
  <c r="BM524" i="23" s="1"/>
  <c r="BN524" i="23" s="1"/>
  <c r="BK526" i="23"/>
  <c r="BM526" i="23" s="1"/>
  <c r="BN526" i="23" s="1"/>
  <c r="BK528" i="23"/>
  <c r="BM528" i="23" s="1"/>
  <c r="BN528" i="23" s="1"/>
  <c r="BK530" i="23"/>
  <c r="BM530" i="23" s="1"/>
  <c r="BN530" i="23" s="1"/>
  <c r="Y75" i="26"/>
  <c r="BC506" i="23" l="1"/>
  <c r="BC505" i="23"/>
  <c r="BC504" i="23"/>
  <c r="BC503" i="23"/>
  <c r="BC502" i="23"/>
  <c r="BC501" i="23"/>
  <c r="BC500" i="23"/>
  <c r="BC499" i="23"/>
  <c r="BC498" i="23"/>
  <c r="BC497" i="23"/>
  <c r="BC496" i="23"/>
  <c r="BC495" i="23"/>
  <c r="BC494" i="23"/>
  <c r="BC493" i="23"/>
  <c r="BC492" i="23"/>
  <c r="BC491" i="23"/>
  <c r="BJ506" i="23"/>
  <c r="BJ505" i="23"/>
  <c r="BJ504" i="23"/>
  <c r="BJ503" i="23"/>
  <c r="BJ502" i="23"/>
  <c r="BJ501" i="23"/>
  <c r="BJ500" i="23"/>
  <c r="BJ499" i="23"/>
  <c r="BJ498" i="23"/>
  <c r="BJ497" i="23"/>
  <c r="BJ496" i="23"/>
  <c r="BJ495" i="23"/>
  <c r="BJ494" i="23"/>
  <c r="BJ493" i="23"/>
  <c r="BJ492" i="23"/>
  <c r="BJ491" i="23"/>
  <c r="BQ506" i="23"/>
  <c r="BQ505" i="23"/>
  <c r="BQ504" i="23"/>
  <c r="BQ503" i="23"/>
  <c r="BQ502" i="23"/>
  <c r="BQ501" i="23"/>
  <c r="BQ500" i="23"/>
  <c r="BQ499" i="23"/>
  <c r="BQ498" i="23"/>
  <c r="BQ497" i="23"/>
  <c r="BQ496" i="23"/>
  <c r="BQ495" i="23"/>
  <c r="BQ494" i="23"/>
  <c r="BQ493" i="23"/>
  <c r="BQ492" i="23"/>
  <c r="BQ491" i="23"/>
  <c r="BX506" i="23"/>
  <c r="BX505" i="23"/>
  <c r="BX504" i="23"/>
  <c r="BX503" i="23"/>
  <c r="BX502" i="23"/>
  <c r="BX501" i="23"/>
  <c r="BX500" i="23"/>
  <c r="BX499" i="23"/>
  <c r="BX498" i="23"/>
  <c r="BX497" i="23"/>
  <c r="BX496" i="23"/>
  <c r="BX495" i="23"/>
  <c r="BX494" i="23"/>
  <c r="BX493" i="23"/>
  <c r="BX492" i="23"/>
  <c r="BX491" i="23"/>
  <c r="BX480" i="23"/>
  <c r="BX479" i="23"/>
  <c r="BX478" i="23"/>
  <c r="BX477" i="23"/>
  <c r="BX476" i="23"/>
  <c r="BX475" i="23"/>
  <c r="BX474" i="23"/>
  <c r="BX473" i="23"/>
  <c r="BX472" i="23"/>
  <c r="BX471" i="23"/>
  <c r="BX470" i="23"/>
  <c r="BX469" i="23"/>
  <c r="BX468" i="23"/>
  <c r="BX467" i="23"/>
  <c r="BX466" i="23"/>
  <c r="BX465" i="23"/>
  <c r="BQ480" i="23"/>
  <c r="BQ479" i="23"/>
  <c r="BQ478" i="23"/>
  <c r="BQ477" i="23"/>
  <c r="BQ476" i="23"/>
  <c r="BQ475" i="23"/>
  <c r="BQ474" i="23"/>
  <c r="BQ473" i="23"/>
  <c r="BQ472" i="23"/>
  <c r="BQ471" i="23"/>
  <c r="BQ470" i="23"/>
  <c r="BQ469" i="23"/>
  <c r="BQ468" i="23"/>
  <c r="BQ467" i="23"/>
  <c r="BQ466" i="23"/>
  <c r="BQ465" i="23"/>
  <c r="BJ480" i="23"/>
  <c r="BJ479" i="23"/>
  <c r="BJ478" i="23"/>
  <c r="BJ477" i="23"/>
  <c r="BJ476" i="23"/>
  <c r="BJ475" i="23"/>
  <c r="BJ474" i="23"/>
  <c r="BJ473" i="23"/>
  <c r="BJ472" i="23"/>
  <c r="BJ471" i="23"/>
  <c r="BJ470" i="23"/>
  <c r="BJ469" i="23"/>
  <c r="BJ468" i="23"/>
  <c r="BJ467" i="23"/>
  <c r="BJ466" i="23"/>
  <c r="BJ465" i="23"/>
  <c r="BC480" i="23"/>
  <c r="BC479" i="23"/>
  <c r="BC478" i="23"/>
  <c r="BC477" i="23"/>
  <c r="BC476" i="23"/>
  <c r="BC475" i="23"/>
  <c r="BC474" i="23"/>
  <c r="BC473" i="23"/>
  <c r="BC472" i="23"/>
  <c r="BC471" i="23"/>
  <c r="BC470" i="23"/>
  <c r="BC469" i="23"/>
  <c r="BC468" i="23"/>
  <c r="BC467" i="23"/>
  <c r="BC466" i="23"/>
  <c r="BC465" i="23"/>
  <c r="BC454" i="23"/>
  <c r="BC453" i="23"/>
  <c r="BC452" i="23"/>
  <c r="BC451" i="23"/>
  <c r="BC450" i="23"/>
  <c r="BC449" i="23"/>
  <c r="BC448" i="23"/>
  <c r="BC447" i="23"/>
  <c r="BC446" i="23"/>
  <c r="BC445" i="23"/>
  <c r="BC444" i="23"/>
  <c r="BC443" i="23"/>
  <c r="BC442" i="23"/>
  <c r="BC441" i="23"/>
  <c r="BC440" i="23"/>
  <c r="BC439" i="23"/>
  <c r="BJ454" i="23"/>
  <c r="BJ453" i="23"/>
  <c r="BJ452" i="23"/>
  <c r="BJ451" i="23"/>
  <c r="BJ450" i="23"/>
  <c r="BJ449" i="23"/>
  <c r="BJ448" i="23"/>
  <c r="BJ447" i="23"/>
  <c r="BJ446" i="23"/>
  <c r="BJ445" i="23"/>
  <c r="BJ444" i="23"/>
  <c r="BJ443" i="23"/>
  <c r="BJ442" i="23"/>
  <c r="BJ441" i="23"/>
  <c r="BJ440" i="23"/>
  <c r="BJ439" i="23"/>
  <c r="BQ454" i="23"/>
  <c r="BQ453" i="23"/>
  <c r="BQ452" i="23"/>
  <c r="BQ451" i="23"/>
  <c r="BQ450" i="23"/>
  <c r="BQ449" i="23"/>
  <c r="BQ448" i="23"/>
  <c r="BQ447" i="23"/>
  <c r="BQ446" i="23"/>
  <c r="BQ445" i="23"/>
  <c r="BQ444" i="23"/>
  <c r="BQ443" i="23"/>
  <c r="BQ442" i="23"/>
  <c r="BQ441" i="23"/>
  <c r="BQ440" i="23"/>
  <c r="BQ439" i="23"/>
  <c r="BX454" i="23"/>
  <c r="BX453" i="23"/>
  <c r="BX452" i="23"/>
  <c r="BX451" i="23"/>
  <c r="BX450" i="23"/>
  <c r="BX449" i="23"/>
  <c r="BX448" i="23"/>
  <c r="BX447" i="23"/>
  <c r="BX446" i="23"/>
  <c r="BX445" i="23"/>
  <c r="BX444" i="23"/>
  <c r="BX443" i="23"/>
  <c r="BX442" i="23"/>
  <c r="BX441" i="23"/>
  <c r="BX440" i="23"/>
  <c r="BX439" i="23"/>
  <c r="BX428" i="23"/>
  <c r="BX427" i="23"/>
  <c r="BX426" i="23"/>
  <c r="BX425" i="23"/>
  <c r="BX424" i="23"/>
  <c r="BX423" i="23"/>
  <c r="BX422" i="23"/>
  <c r="BX421" i="23"/>
  <c r="BX420" i="23"/>
  <c r="BX419" i="23"/>
  <c r="BX418" i="23"/>
  <c r="BX417" i="23"/>
  <c r="BX416" i="23"/>
  <c r="BX415" i="23"/>
  <c r="BX414" i="23"/>
  <c r="BX413" i="23"/>
  <c r="BQ428" i="23"/>
  <c r="BQ427" i="23"/>
  <c r="BQ426" i="23"/>
  <c r="BQ425" i="23"/>
  <c r="BQ424" i="23"/>
  <c r="BQ423" i="23"/>
  <c r="BQ422" i="23"/>
  <c r="BQ421" i="23"/>
  <c r="BQ420" i="23"/>
  <c r="BQ419" i="23"/>
  <c r="BQ418" i="23"/>
  <c r="BQ417" i="23"/>
  <c r="BQ416" i="23"/>
  <c r="BQ415" i="23"/>
  <c r="BQ414" i="23"/>
  <c r="BJ428" i="23"/>
  <c r="BJ427" i="23"/>
  <c r="BJ426" i="23"/>
  <c r="BJ425" i="23"/>
  <c r="BJ424" i="23"/>
  <c r="BJ423" i="23"/>
  <c r="BJ422" i="23"/>
  <c r="BJ421" i="23"/>
  <c r="BJ420" i="23"/>
  <c r="BJ419" i="23"/>
  <c r="BJ418" i="23"/>
  <c r="BJ417" i="23"/>
  <c r="BJ416" i="23"/>
  <c r="BJ415" i="23"/>
  <c r="BJ414" i="23"/>
  <c r="BJ413" i="23"/>
  <c r="BC428" i="23"/>
  <c r="BC427" i="23"/>
  <c r="BC426" i="23"/>
  <c r="BC425" i="23"/>
  <c r="BC424" i="23"/>
  <c r="BC423" i="23"/>
  <c r="BC422" i="23"/>
  <c r="BC421" i="23"/>
  <c r="BC420" i="23"/>
  <c r="BC419" i="23"/>
  <c r="BC418" i="23"/>
  <c r="BC417" i="23"/>
  <c r="BC416" i="23"/>
  <c r="BC415" i="23"/>
  <c r="BC414" i="23"/>
  <c r="BC402" i="23"/>
  <c r="BC401" i="23"/>
  <c r="BC400" i="23"/>
  <c r="BC399" i="23"/>
  <c r="BC398" i="23"/>
  <c r="BC397" i="23"/>
  <c r="BC396" i="23"/>
  <c r="BC395" i="23"/>
  <c r="BC394" i="23"/>
  <c r="BC393" i="23"/>
  <c r="BC392" i="23"/>
  <c r="BC391" i="23"/>
  <c r="BC390" i="23"/>
  <c r="BC389" i="23"/>
  <c r="BC388" i="23"/>
  <c r="BC387" i="23"/>
  <c r="BJ402" i="23"/>
  <c r="BJ401" i="23"/>
  <c r="BJ400" i="23"/>
  <c r="BJ399" i="23"/>
  <c r="BJ398" i="23"/>
  <c r="BJ397" i="23"/>
  <c r="BJ396" i="23"/>
  <c r="BJ395" i="23"/>
  <c r="BJ394" i="23"/>
  <c r="BJ393" i="23"/>
  <c r="BJ392" i="23"/>
  <c r="BJ391" i="23"/>
  <c r="BJ390" i="23"/>
  <c r="BJ389" i="23"/>
  <c r="BJ388" i="23"/>
  <c r="BJ387" i="23"/>
  <c r="BQ402" i="23"/>
  <c r="BQ401" i="23"/>
  <c r="BQ400" i="23"/>
  <c r="BQ399" i="23"/>
  <c r="BQ398" i="23"/>
  <c r="BQ397" i="23"/>
  <c r="BQ396" i="23"/>
  <c r="BQ395" i="23"/>
  <c r="BQ394" i="23"/>
  <c r="BQ393" i="23"/>
  <c r="BQ392" i="23"/>
  <c r="BQ391" i="23"/>
  <c r="BQ390" i="23"/>
  <c r="BQ389" i="23"/>
  <c r="BQ388" i="23"/>
  <c r="BQ387" i="23"/>
  <c r="BX402" i="23"/>
  <c r="BX401" i="23"/>
  <c r="BX400" i="23"/>
  <c r="BX399" i="23"/>
  <c r="BX398" i="23"/>
  <c r="BX397" i="23"/>
  <c r="BX396" i="23"/>
  <c r="BX395" i="23"/>
  <c r="BX394" i="23"/>
  <c r="BX393" i="23"/>
  <c r="BX392" i="23"/>
  <c r="BX391" i="23"/>
  <c r="BX390" i="23"/>
  <c r="BX389" i="23"/>
  <c r="BX388" i="23"/>
  <c r="BX387" i="23"/>
  <c r="BX376" i="23"/>
  <c r="BX375" i="23"/>
  <c r="BX374" i="23"/>
  <c r="BX373" i="23"/>
  <c r="BX372" i="23"/>
  <c r="BX371" i="23"/>
  <c r="BX370" i="23"/>
  <c r="BX369" i="23"/>
  <c r="BX368" i="23"/>
  <c r="BX367" i="23"/>
  <c r="BX366" i="23"/>
  <c r="BX365" i="23"/>
  <c r="BX364" i="23"/>
  <c r="BX363" i="23"/>
  <c r="BX362" i="23"/>
  <c r="BQ376" i="23"/>
  <c r="BQ375" i="23"/>
  <c r="BQ374" i="23"/>
  <c r="BQ373" i="23"/>
  <c r="BQ372" i="23"/>
  <c r="BQ371" i="23"/>
  <c r="BQ370" i="23"/>
  <c r="BQ369" i="23"/>
  <c r="BQ368" i="23"/>
  <c r="BQ367" i="23"/>
  <c r="BQ366" i="23"/>
  <c r="BQ365" i="23"/>
  <c r="BQ364" i="23"/>
  <c r="BQ363" i="23"/>
  <c r="BQ362" i="23"/>
  <c r="BQ361" i="23"/>
  <c r="BJ376" i="23"/>
  <c r="BJ375" i="23"/>
  <c r="BJ374" i="23"/>
  <c r="BJ373" i="23"/>
  <c r="BJ372" i="23"/>
  <c r="BJ371" i="23"/>
  <c r="BJ370" i="23"/>
  <c r="BJ369" i="23"/>
  <c r="BJ368" i="23"/>
  <c r="BJ367" i="23"/>
  <c r="BJ366" i="23"/>
  <c r="BJ365" i="23"/>
  <c r="BJ364" i="23"/>
  <c r="BJ363" i="23"/>
  <c r="BJ362" i="23"/>
  <c r="BJ361" i="23"/>
  <c r="BC376" i="23"/>
  <c r="BC375" i="23"/>
  <c r="BC374" i="23"/>
  <c r="BC373" i="23"/>
  <c r="BC372" i="23"/>
  <c r="BC371" i="23"/>
  <c r="BC370" i="23"/>
  <c r="BC369" i="23"/>
  <c r="BC368" i="23"/>
  <c r="BC367" i="23"/>
  <c r="BC366" i="23"/>
  <c r="BC364" i="23"/>
  <c r="BC363" i="23"/>
  <c r="BC362" i="23"/>
  <c r="BC361" i="23"/>
  <c r="BC350" i="23"/>
  <c r="BC349" i="23"/>
  <c r="BC348" i="23"/>
  <c r="BC347" i="23"/>
  <c r="BC346" i="23"/>
  <c r="BC345" i="23"/>
  <c r="BC344" i="23"/>
  <c r="BC343" i="23"/>
  <c r="BC342" i="23"/>
  <c r="BC341" i="23"/>
  <c r="BC340" i="23"/>
  <c r="BC339" i="23"/>
  <c r="BC338" i="23"/>
  <c r="BC337" i="23"/>
  <c r="BC336" i="23"/>
  <c r="BJ350" i="23"/>
  <c r="BJ349" i="23"/>
  <c r="BJ348" i="23"/>
  <c r="BJ347" i="23"/>
  <c r="BJ346" i="23"/>
  <c r="BJ345" i="23"/>
  <c r="BJ344" i="23"/>
  <c r="BJ343" i="23"/>
  <c r="BJ342" i="23"/>
  <c r="BJ341" i="23"/>
  <c r="BJ340" i="23"/>
  <c r="BJ339" i="23"/>
  <c r="BJ338" i="23"/>
  <c r="BJ337" i="23"/>
  <c r="BJ336" i="23"/>
  <c r="BJ335" i="23"/>
  <c r="BQ350" i="23"/>
  <c r="BQ349" i="23"/>
  <c r="BQ348" i="23"/>
  <c r="BQ347" i="23"/>
  <c r="BQ346" i="23"/>
  <c r="BQ345" i="23"/>
  <c r="BQ344" i="23"/>
  <c r="BQ343" i="23"/>
  <c r="BQ342" i="23"/>
  <c r="BQ341" i="23"/>
  <c r="BQ340" i="23"/>
  <c r="BQ339" i="23"/>
  <c r="BQ338" i="23"/>
  <c r="BQ337" i="23"/>
  <c r="BQ336" i="23"/>
  <c r="BQ335" i="23"/>
  <c r="BX350" i="23"/>
  <c r="BX349" i="23"/>
  <c r="BX348" i="23"/>
  <c r="BX347" i="23"/>
  <c r="BX346" i="23"/>
  <c r="BX345" i="23"/>
  <c r="BX344" i="23"/>
  <c r="BX343" i="23"/>
  <c r="BX342" i="23"/>
  <c r="BX341" i="23"/>
  <c r="BX340" i="23"/>
  <c r="BX339" i="23"/>
  <c r="BX338" i="23"/>
  <c r="BX337" i="23"/>
  <c r="BX336" i="23"/>
  <c r="BX335" i="23"/>
  <c r="BX322" i="23"/>
  <c r="BX321" i="23"/>
  <c r="BX320" i="23"/>
  <c r="BX319" i="23"/>
  <c r="BX318" i="23"/>
  <c r="BX317" i="23"/>
  <c r="BX316" i="23"/>
  <c r="BX315" i="23"/>
  <c r="BX314" i="23"/>
  <c r="BX313" i="23"/>
  <c r="BX312" i="23"/>
  <c r="BX311" i="23"/>
  <c r="BX310" i="23"/>
  <c r="BX309" i="23"/>
  <c r="BX307" i="23"/>
  <c r="BQ322" i="23"/>
  <c r="BQ321" i="23"/>
  <c r="BQ320" i="23"/>
  <c r="BQ319" i="23"/>
  <c r="BQ318" i="23"/>
  <c r="BQ317" i="23"/>
  <c r="BQ316" i="23"/>
  <c r="BQ315" i="23"/>
  <c r="BQ314" i="23"/>
  <c r="BQ313" i="23"/>
  <c r="BQ312" i="23"/>
  <c r="BQ311" i="23"/>
  <c r="BQ310" i="23"/>
  <c r="BQ309" i="23"/>
  <c r="BQ308" i="23"/>
  <c r="BQ307" i="23"/>
  <c r="BJ322" i="23"/>
  <c r="BJ321" i="23"/>
  <c r="BJ320" i="23"/>
  <c r="BJ319" i="23"/>
  <c r="BJ318" i="23"/>
  <c r="BJ317" i="23"/>
  <c r="BJ316" i="23"/>
  <c r="BJ315" i="23"/>
  <c r="BJ314" i="23"/>
  <c r="BJ313" i="23"/>
  <c r="BJ312" i="23"/>
  <c r="BJ311" i="23"/>
  <c r="BJ310" i="23"/>
  <c r="BJ309" i="23"/>
  <c r="BJ308" i="23"/>
  <c r="BC322" i="23"/>
  <c r="BC321" i="23"/>
  <c r="BC320" i="23"/>
  <c r="BC319" i="23"/>
  <c r="BC318" i="23"/>
  <c r="BC317" i="23"/>
  <c r="BC316" i="23"/>
  <c r="BC315" i="23"/>
  <c r="BC314" i="23"/>
  <c r="BC313" i="23"/>
  <c r="BC312" i="23"/>
  <c r="BC311" i="23"/>
  <c r="BC310" i="23"/>
  <c r="BC309" i="23"/>
  <c r="BC308" i="23"/>
  <c r="BC307" i="23"/>
  <c r="BC294" i="23"/>
  <c r="BC293" i="23"/>
  <c r="BC292" i="23"/>
  <c r="BC291" i="23"/>
  <c r="BC290" i="23"/>
  <c r="BC289" i="23"/>
  <c r="BC288" i="23"/>
  <c r="BC287" i="23"/>
  <c r="BC286" i="23"/>
  <c r="BC285" i="23"/>
  <c r="BC284" i="23"/>
  <c r="BC283" i="23"/>
  <c r="BC282" i="23"/>
  <c r="BC281" i="23"/>
  <c r="BC280" i="23"/>
  <c r="BC279" i="23"/>
  <c r="BJ294" i="23"/>
  <c r="BJ293" i="23"/>
  <c r="BJ292" i="23"/>
  <c r="BJ291" i="23"/>
  <c r="BJ290" i="23"/>
  <c r="BJ289" i="23"/>
  <c r="BJ288" i="23"/>
  <c r="BJ287" i="23"/>
  <c r="BJ286" i="23"/>
  <c r="BJ285" i="23"/>
  <c r="BJ284" i="23"/>
  <c r="BJ283" i="23"/>
  <c r="BJ282" i="23"/>
  <c r="BJ281" i="23"/>
  <c r="BJ280" i="23"/>
  <c r="BJ279" i="23"/>
  <c r="BQ294" i="23"/>
  <c r="BQ293" i="23"/>
  <c r="BQ292" i="23"/>
  <c r="BQ291" i="23"/>
  <c r="BQ290" i="23"/>
  <c r="BQ289" i="23"/>
  <c r="BQ288" i="23"/>
  <c r="BQ287" i="23"/>
  <c r="BQ286" i="23"/>
  <c r="BQ285" i="23"/>
  <c r="BQ284" i="23"/>
  <c r="BQ283" i="23"/>
  <c r="BQ282" i="23"/>
  <c r="BQ281" i="23"/>
  <c r="BQ280" i="23"/>
  <c r="BQ279" i="23"/>
  <c r="BX294" i="23"/>
  <c r="BX293" i="23"/>
  <c r="BX292" i="23"/>
  <c r="BX291" i="23"/>
  <c r="BX290" i="23"/>
  <c r="BX289" i="23"/>
  <c r="BX288" i="23"/>
  <c r="BX287" i="23"/>
  <c r="BX286" i="23"/>
  <c r="BX285" i="23"/>
  <c r="BX284" i="23"/>
  <c r="BX283" i="23"/>
  <c r="BX282" i="23"/>
  <c r="BX281" i="23"/>
  <c r="BX280" i="23"/>
  <c r="BX279" i="23"/>
  <c r="BX266" i="23"/>
  <c r="BX265" i="23"/>
  <c r="BX264" i="23"/>
  <c r="BX263" i="23"/>
  <c r="BX262" i="23"/>
  <c r="BX261" i="23"/>
  <c r="BX260" i="23"/>
  <c r="BX259" i="23"/>
  <c r="BX258" i="23"/>
  <c r="BX257" i="23"/>
  <c r="BX256" i="23"/>
  <c r="BX255" i="23"/>
  <c r="BX254" i="23"/>
  <c r="BX253" i="23"/>
  <c r="BX252" i="23"/>
  <c r="BX251" i="23"/>
  <c r="BQ266" i="23"/>
  <c r="BQ265" i="23"/>
  <c r="BQ264" i="23"/>
  <c r="BQ263" i="23"/>
  <c r="BQ262" i="23"/>
  <c r="BQ261" i="23"/>
  <c r="BQ260" i="23"/>
  <c r="BQ259" i="23"/>
  <c r="BQ258" i="23"/>
  <c r="BQ257" i="23"/>
  <c r="BQ256" i="23"/>
  <c r="BQ255" i="23"/>
  <c r="BQ254" i="23"/>
  <c r="BQ253" i="23"/>
  <c r="BQ252" i="23"/>
  <c r="BQ251" i="23"/>
  <c r="BJ266" i="23"/>
  <c r="BJ265" i="23"/>
  <c r="BJ264" i="23"/>
  <c r="BJ263" i="23"/>
  <c r="BJ262" i="23"/>
  <c r="BJ261" i="23"/>
  <c r="BJ260" i="23"/>
  <c r="BJ259" i="23"/>
  <c r="BJ258" i="23"/>
  <c r="BJ257" i="23"/>
  <c r="BJ256" i="23"/>
  <c r="BJ255" i="23"/>
  <c r="BJ254" i="23"/>
  <c r="BJ253" i="23"/>
  <c r="BJ252" i="23"/>
  <c r="BJ251" i="23"/>
  <c r="BC266" i="23"/>
  <c r="BC265" i="23"/>
  <c r="BC264" i="23"/>
  <c r="BC263" i="23"/>
  <c r="BC262" i="23"/>
  <c r="BC261" i="23"/>
  <c r="BC260" i="23"/>
  <c r="BC259" i="23"/>
  <c r="BC258" i="23"/>
  <c r="BC257" i="23"/>
  <c r="BC256" i="23"/>
  <c r="BC255" i="23"/>
  <c r="BC254" i="23"/>
  <c r="BC253" i="23"/>
  <c r="BC252" i="23"/>
  <c r="BC251" i="23"/>
  <c r="BC240" i="23"/>
  <c r="BC239" i="23"/>
  <c r="BC238" i="23"/>
  <c r="BC237" i="23"/>
  <c r="BC236" i="23"/>
  <c r="BC235" i="23"/>
  <c r="BC234" i="23"/>
  <c r="BC233" i="23"/>
  <c r="BC232" i="23"/>
  <c r="BC231" i="23"/>
  <c r="BC230" i="23"/>
  <c r="BC229" i="23"/>
  <c r="BC228" i="23"/>
  <c r="BC227" i="23"/>
  <c r="BC226" i="23"/>
  <c r="BC225" i="23"/>
  <c r="BJ240" i="23"/>
  <c r="BJ239" i="23"/>
  <c r="BJ238" i="23"/>
  <c r="BJ237" i="23"/>
  <c r="BJ236" i="23"/>
  <c r="BJ235" i="23"/>
  <c r="BJ234" i="23"/>
  <c r="BJ233" i="23"/>
  <c r="BJ232" i="23"/>
  <c r="BJ231" i="23"/>
  <c r="BJ230" i="23"/>
  <c r="BJ229" i="23"/>
  <c r="BJ228" i="23"/>
  <c r="BJ227" i="23"/>
  <c r="BJ226" i="23"/>
  <c r="BJ225" i="23"/>
  <c r="BQ240" i="23"/>
  <c r="BQ239" i="23"/>
  <c r="BQ238" i="23"/>
  <c r="BQ237" i="23"/>
  <c r="BQ236" i="23"/>
  <c r="BQ235" i="23"/>
  <c r="BQ234" i="23"/>
  <c r="BQ233" i="23"/>
  <c r="BQ232" i="23"/>
  <c r="BQ231" i="23"/>
  <c r="BQ230" i="23"/>
  <c r="BQ229" i="23"/>
  <c r="BQ228" i="23"/>
  <c r="BQ227" i="23"/>
  <c r="BQ226" i="23"/>
  <c r="BQ225" i="23"/>
  <c r="BX240" i="23"/>
  <c r="BX239" i="23"/>
  <c r="BX238" i="23"/>
  <c r="BX237" i="23"/>
  <c r="BX236" i="23"/>
  <c r="BX235" i="23"/>
  <c r="BX234" i="23"/>
  <c r="BX233" i="23"/>
  <c r="BX232" i="23"/>
  <c r="BX231" i="23"/>
  <c r="BX230" i="23"/>
  <c r="BX229" i="23"/>
  <c r="BX228" i="23"/>
  <c r="BX227" i="23"/>
  <c r="BX226" i="23"/>
  <c r="BX225" i="23"/>
  <c r="BC213" i="23"/>
  <c r="BC212" i="23"/>
  <c r="BC211" i="23"/>
  <c r="BC210" i="23"/>
  <c r="BC209" i="23"/>
  <c r="BC208" i="23"/>
  <c r="BC207" i="23"/>
  <c r="BC206" i="23"/>
  <c r="BC205" i="23"/>
  <c r="BC204" i="23"/>
  <c r="BC203" i="23"/>
  <c r="BC202" i="23"/>
  <c r="BC201" i="23"/>
  <c r="BC200" i="23"/>
  <c r="BC199" i="23"/>
  <c r="BC198" i="23"/>
  <c r="BJ213" i="23"/>
  <c r="BJ212" i="23"/>
  <c r="BJ211" i="23"/>
  <c r="BJ210" i="23"/>
  <c r="BJ209" i="23"/>
  <c r="BJ208" i="23"/>
  <c r="BJ207" i="23"/>
  <c r="BJ206" i="23"/>
  <c r="BJ205" i="23"/>
  <c r="BJ204" i="23"/>
  <c r="BJ203" i="23"/>
  <c r="BJ202" i="23"/>
  <c r="BJ201" i="23"/>
  <c r="BJ200" i="23"/>
  <c r="BJ199" i="23"/>
  <c r="BJ198" i="23"/>
  <c r="BQ213" i="23"/>
  <c r="BQ212" i="23"/>
  <c r="BQ211" i="23"/>
  <c r="BQ210" i="23"/>
  <c r="BQ209" i="23"/>
  <c r="BQ208" i="23"/>
  <c r="BQ207" i="23"/>
  <c r="BQ206" i="23"/>
  <c r="BQ205" i="23"/>
  <c r="BQ204" i="23"/>
  <c r="BQ203" i="23"/>
  <c r="BQ202" i="23"/>
  <c r="BQ201" i="23"/>
  <c r="BQ200" i="23"/>
  <c r="BQ199" i="23"/>
  <c r="BQ198" i="23"/>
  <c r="BX213" i="23"/>
  <c r="BX212" i="23"/>
  <c r="BX211" i="23"/>
  <c r="BX210" i="23"/>
  <c r="BX209" i="23"/>
  <c r="BX208" i="23"/>
  <c r="BX207" i="23"/>
  <c r="BX206" i="23"/>
  <c r="BX205" i="23"/>
  <c r="BX204" i="23"/>
  <c r="BX203" i="23"/>
  <c r="BX202" i="23"/>
  <c r="BX201" i="23"/>
  <c r="BX200" i="23"/>
  <c r="BX199" i="23"/>
  <c r="BX198" i="23"/>
  <c r="BX187" i="23"/>
  <c r="BX186" i="23"/>
  <c r="BX185" i="23"/>
  <c r="BX184" i="23"/>
  <c r="BX183" i="23"/>
  <c r="BX182" i="23"/>
  <c r="BX181" i="23"/>
  <c r="BX180" i="23"/>
  <c r="BX179" i="23"/>
  <c r="BX178" i="23"/>
  <c r="BX177" i="23"/>
  <c r="BX176" i="23"/>
  <c r="BX175" i="23"/>
  <c r="BX174" i="23"/>
  <c r="BX173" i="23"/>
  <c r="BX172" i="23"/>
  <c r="BQ187" i="23"/>
  <c r="BQ186" i="23"/>
  <c r="BQ185" i="23"/>
  <c r="BQ184" i="23"/>
  <c r="BQ183" i="23"/>
  <c r="BQ182" i="23"/>
  <c r="BQ181" i="23"/>
  <c r="BQ180" i="23"/>
  <c r="BQ179" i="23"/>
  <c r="BQ178" i="23"/>
  <c r="BQ177" i="23"/>
  <c r="BQ176" i="23"/>
  <c r="BQ175" i="23"/>
  <c r="BQ174" i="23"/>
  <c r="BQ173" i="23"/>
  <c r="BQ172" i="23"/>
  <c r="BJ187" i="23"/>
  <c r="BJ186" i="23"/>
  <c r="BJ185" i="23"/>
  <c r="BJ184" i="23"/>
  <c r="BJ183" i="23"/>
  <c r="BJ182" i="23"/>
  <c r="BJ181" i="23"/>
  <c r="BJ180" i="23"/>
  <c r="BJ179" i="23"/>
  <c r="BJ178" i="23"/>
  <c r="BJ177" i="23"/>
  <c r="BJ176" i="23"/>
  <c r="BJ175" i="23"/>
  <c r="BJ174" i="23"/>
  <c r="BJ173" i="23"/>
  <c r="BJ172" i="23"/>
  <c r="BC187" i="23"/>
  <c r="BC186" i="23"/>
  <c r="BC185" i="23"/>
  <c r="BC184" i="23"/>
  <c r="BC183" i="23"/>
  <c r="BC182" i="23"/>
  <c r="BC181" i="23"/>
  <c r="BC180" i="23"/>
  <c r="BC179" i="23"/>
  <c r="BC178" i="23"/>
  <c r="BC177" i="23"/>
  <c r="BC176" i="23"/>
  <c r="BC175" i="23"/>
  <c r="BC174" i="23"/>
  <c r="BC173" i="23"/>
  <c r="BC172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J160" i="23"/>
  <c r="BJ159" i="23"/>
  <c r="BJ158" i="23"/>
  <c r="BJ157" i="23"/>
  <c r="BJ156" i="23"/>
  <c r="BJ155" i="23"/>
  <c r="BJ154" i="23"/>
  <c r="BJ153" i="23"/>
  <c r="BJ152" i="23"/>
  <c r="BJ151" i="23"/>
  <c r="BJ150" i="23"/>
  <c r="BJ149" i="23"/>
  <c r="BJ148" i="23"/>
  <c r="BJ147" i="23"/>
  <c r="BJ146" i="23"/>
  <c r="BJ145" i="23"/>
  <c r="BQ160" i="23"/>
  <c r="BQ159" i="23"/>
  <c r="BQ158" i="23"/>
  <c r="BQ157" i="23"/>
  <c r="BQ156" i="23"/>
  <c r="BQ155" i="23"/>
  <c r="BQ154" i="23"/>
  <c r="BQ153" i="23"/>
  <c r="BQ152" i="23"/>
  <c r="BQ151" i="23"/>
  <c r="BQ150" i="23"/>
  <c r="BQ149" i="23"/>
  <c r="BQ148" i="23"/>
  <c r="BQ147" i="23"/>
  <c r="BQ146" i="23"/>
  <c r="BQ145" i="23"/>
  <c r="BX160" i="23"/>
  <c r="BX159" i="23"/>
  <c r="BX158" i="23"/>
  <c r="BX157" i="23"/>
  <c r="BX156" i="23"/>
  <c r="BX155" i="23"/>
  <c r="BX154" i="23"/>
  <c r="BX153" i="23"/>
  <c r="BX152" i="23"/>
  <c r="BX151" i="23"/>
  <c r="BX150" i="23"/>
  <c r="BX149" i="23"/>
  <c r="BX148" i="23"/>
  <c r="BX147" i="23"/>
  <c r="BX146" i="23"/>
  <c r="BX145" i="23"/>
  <c r="BX131" i="23"/>
  <c r="BX130" i="23"/>
  <c r="BX129" i="23"/>
  <c r="BX128" i="23"/>
  <c r="BX127" i="23"/>
  <c r="BX126" i="23"/>
  <c r="BX125" i="23"/>
  <c r="BX124" i="23"/>
  <c r="BX123" i="23"/>
  <c r="BX122" i="23"/>
  <c r="BX121" i="23"/>
  <c r="BX120" i="23"/>
  <c r="BX119" i="23"/>
  <c r="BX118" i="23"/>
  <c r="BX117" i="23"/>
  <c r="BX116" i="23"/>
  <c r="BQ131" i="23"/>
  <c r="BQ130" i="23"/>
  <c r="BQ129" i="23"/>
  <c r="BQ128" i="23"/>
  <c r="BQ127" i="23"/>
  <c r="BQ126" i="23"/>
  <c r="BQ125" i="23"/>
  <c r="BQ124" i="23"/>
  <c r="BQ123" i="23"/>
  <c r="BQ122" i="23"/>
  <c r="BQ121" i="23"/>
  <c r="BQ120" i="23"/>
  <c r="BQ119" i="23"/>
  <c r="BQ118" i="23"/>
  <c r="BQ117" i="23"/>
  <c r="BQ116" i="23"/>
  <c r="BJ131" i="23"/>
  <c r="BJ130" i="23"/>
  <c r="BJ129" i="23"/>
  <c r="BJ128" i="23"/>
  <c r="BJ127" i="23"/>
  <c r="BJ126" i="23"/>
  <c r="BJ125" i="23"/>
  <c r="BJ124" i="23"/>
  <c r="BJ123" i="23"/>
  <c r="BJ122" i="23"/>
  <c r="BJ121" i="23"/>
  <c r="BJ120" i="23"/>
  <c r="BJ119" i="23"/>
  <c r="BJ118" i="23"/>
  <c r="BJ117" i="23"/>
  <c r="BJ116" i="23"/>
  <c r="BC131" i="23"/>
  <c r="BC130" i="23"/>
  <c r="BC129" i="23"/>
  <c r="BC128" i="23"/>
  <c r="BC127" i="23"/>
  <c r="BC126" i="23"/>
  <c r="BC125" i="23"/>
  <c r="BC124" i="23"/>
  <c r="BC123" i="23"/>
  <c r="BC122" i="23"/>
  <c r="BC121" i="23"/>
  <c r="BC120" i="23"/>
  <c r="BC119" i="23"/>
  <c r="BC118" i="23"/>
  <c r="BC117" i="23"/>
  <c r="BC116" i="23"/>
  <c r="BC102" i="23"/>
  <c r="BC101" i="23"/>
  <c r="BC100" i="23"/>
  <c r="BC99" i="23"/>
  <c r="BC98" i="23"/>
  <c r="BC97" i="23"/>
  <c r="BC96" i="23"/>
  <c r="BC95" i="23"/>
  <c r="BC94" i="23"/>
  <c r="BC93" i="23"/>
  <c r="BC92" i="23"/>
  <c r="BC91" i="23"/>
  <c r="BC90" i="23"/>
  <c r="BC89" i="23"/>
  <c r="BC88" i="23"/>
  <c r="BC87" i="23"/>
  <c r="BJ102" i="23"/>
  <c r="BJ101" i="23"/>
  <c r="BJ100" i="23"/>
  <c r="BJ99" i="23"/>
  <c r="BJ98" i="23"/>
  <c r="BJ97" i="23"/>
  <c r="BJ96" i="23"/>
  <c r="BJ95" i="23"/>
  <c r="BJ94" i="23"/>
  <c r="BJ93" i="23"/>
  <c r="BJ92" i="23"/>
  <c r="BJ91" i="23"/>
  <c r="BJ90" i="23"/>
  <c r="BJ89" i="23"/>
  <c r="BJ88" i="23"/>
  <c r="BJ87" i="23"/>
  <c r="BQ102" i="23"/>
  <c r="BQ101" i="23"/>
  <c r="BQ100" i="23"/>
  <c r="BQ99" i="23"/>
  <c r="BQ98" i="23"/>
  <c r="BQ97" i="23"/>
  <c r="BQ96" i="23"/>
  <c r="BQ95" i="23"/>
  <c r="BQ94" i="23"/>
  <c r="BQ93" i="23"/>
  <c r="BQ92" i="23"/>
  <c r="BQ91" i="23"/>
  <c r="BQ90" i="23"/>
  <c r="BQ89" i="23"/>
  <c r="BQ88" i="23"/>
  <c r="BQ87" i="23"/>
  <c r="BX102" i="23"/>
  <c r="BX101" i="23"/>
  <c r="BX100" i="23"/>
  <c r="BX99" i="23"/>
  <c r="BX98" i="23"/>
  <c r="BX97" i="23"/>
  <c r="BX96" i="23"/>
  <c r="BX95" i="23"/>
  <c r="BX94" i="23"/>
  <c r="BX93" i="23"/>
  <c r="BX92" i="23"/>
  <c r="BX91" i="23"/>
  <c r="BX90" i="23"/>
  <c r="BX89" i="23"/>
  <c r="BX88" i="23"/>
  <c r="BX87" i="23"/>
  <c r="BX75" i="23"/>
  <c r="BX74" i="23"/>
  <c r="BX73" i="23"/>
  <c r="BX72" i="23"/>
  <c r="BX71" i="23"/>
  <c r="BX70" i="23"/>
  <c r="BX69" i="23"/>
  <c r="BX68" i="23"/>
  <c r="BX67" i="23"/>
  <c r="BX66" i="23"/>
  <c r="BX65" i="23"/>
  <c r="BX64" i="23"/>
  <c r="BX63" i="23"/>
  <c r="BX62" i="23"/>
  <c r="BX61" i="23"/>
  <c r="BX60" i="23"/>
  <c r="BQ33" i="23"/>
  <c r="BQ75" i="23"/>
  <c r="BQ74" i="23"/>
  <c r="BQ73" i="23"/>
  <c r="BQ72" i="23"/>
  <c r="BQ71" i="23"/>
  <c r="BQ70" i="23"/>
  <c r="BQ69" i="23"/>
  <c r="BQ68" i="23"/>
  <c r="BQ67" i="23"/>
  <c r="BQ66" i="23"/>
  <c r="BQ65" i="23"/>
  <c r="BQ64" i="23"/>
  <c r="BQ63" i="23"/>
  <c r="BQ62" i="23"/>
  <c r="BQ61" i="23"/>
  <c r="BQ60" i="23"/>
  <c r="BJ75" i="23"/>
  <c r="BJ74" i="23"/>
  <c r="BJ73" i="23"/>
  <c r="BJ72" i="23"/>
  <c r="BJ71" i="23"/>
  <c r="BJ70" i="23"/>
  <c r="BJ69" i="23"/>
  <c r="BJ68" i="23"/>
  <c r="BJ67" i="23"/>
  <c r="BJ66" i="23"/>
  <c r="BJ65" i="23"/>
  <c r="BJ64" i="23"/>
  <c r="BJ63" i="23"/>
  <c r="BJ62" i="23"/>
  <c r="BJ61" i="23"/>
  <c r="BJ60" i="23"/>
  <c r="BC75" i="23"/>
  <c r="BC74" i="23"/>
  <c r="BC73" i="23"/>
  <c r="BC72" i="23"/>
  <c r="BC71" i="23"/>
  <c r="BC70" i="23"/>
  <c r="BC69" i="23"/>
  <c r="BC68" i="23"/>
  <c r="BC67" i="23"/>
  <c r="BC66" i="23"/>
  <c r="BC65" i="23"/>
  <c r="BC64" i="23"/>
  <c r="BC63" i="23"/>
  <c r="BC62" i="23"/>
  <c r="BC61" i="23"/>
  <c r="BC60" i="23"/>
  <c r="AF19" i="21" l="1"/>
  <c r="AE20" i="21"/>
  <c r="AE19" i="21"/>
  <c r="AF8" i="21"/>
  <c r="S7" i="21"/>
  <c r="AE8" i="21"/>
  <c r="BE465" i="23" l="1"/>
  <c r="BW507" i="23"/>
  <c r="BP507" i="23"/>
  <c r="BI507" i="23"/>
  <c r="BB507" i="23"/>
  <c r="BZ506" i="23"/>
  <c r="BS506" i="23"/>
  <c r="BL506" i="23"/>
  <c r="BE506" i="23"/>
  <c r="AT506" i="23"/>
  <c r="AX506" i="23" s="1"/>
  <c r="AM506" i="23"/>
  <c r="AQ506" i="23" s="1"/>
  <c r="AF506" i="23"/>
  <c r="AJ506" i="23" s="1"/>
  <c r="Y506" i="23"/>
  <c r="AC506" i="23" s="1"/>
  <c r="BZ505" i="23"/>
  <c r="BS505" i="23"/>
  <c r="BL505" i="23"/>
  <c r="BE505" i="23"/>
  <c r="AT505" i="23"/>
  <c r="AX505" i="23" s="1"/>
  <c r="AM505" i="23"/>
  <c r="AQ505" i="23" s="1"/>
  <c r="AF505" i="23"/>
  <c r="AJ505" i="23" s="1"/>
  <c r="Y505" i="23"/>
  <c r="AC505" i="23" s="1"/>
  <c r="BZ504" i="23"/>
  <c r="BS504" i="23"/>
  <c r="BL504" i="23"/>
  <c r="BE504" i="23"/>
  <c r="AT504" i="23"/>
  <c r="AX504" i="23" s="1"/>
  <c r="AM504" i="23"/>
  <c r="AQ504" i="23" s="1"/>
  <c r="AF504" i="23"/>
  <c r="AJ504" i="23" s="1"/>
  <c r="Y504" i="23"/>
  <c r="AC504" i="23" s="1"/>
  <c r="BZ503" i="23"/>
  <c r="BS503" i="23"/>
  <c r="BL503" i="23"/>
  <c r="BE503" i="23"/>
  <c r="AT503" i="23"/>
  <c r="AX503" i="23" s="1"/>
  <c r="AM503" i="23"/>
  <c r="AQ503" i="23" s="1"/>
  <c r="AF503" i="23"/>
  <c r="AJ503" i="23" s="1"/>
  <c r="Y503" i="23"/>
  <c r="AC503" i="23" s="1"/>
  <c r="BZ502" i="23"/>
  <c r="BS502" i="23"/>
  <c r="BL502" i="23"/>
  <c r="BE502" i="23"/>
  <c r="AT502" i="23"/>
  <c r="AX502" i="23" s="1"/>
  <c r="AM502" i="23"/>
  <c r="AP502" i="23" s="1"/>
  <c r="AF502" i="23"/>
  <c r="AJ502" i="23" s="1"/>
  <c r="Y502" i="23"/>
  <c r="AB502" i="23" s="1"/>
  <c r="BZ501" i="23"/>
  <c r="BS501" i="23"/>
  <c r="BL501" i="23"/>
  <c r="BE501" i="23"/>
  <c r="AT501" i="23"/>
  <c r="AX501" i="23" s="1"/>
  <c r="AM501" i="23"/>
  <c r="AP501" i="23" s="1"/>
  <c r="AF501" i="23"/>
  <c r="AJ501" i="23" s="1"/>
  <c r="Y501" i="23"/>
  <c r="AB501" i="23" s="1"/>
  <c r="BZ500" i="23"/>
  <c r="BS500" i="23"/>
  <c r="BL500" i="23"/>
  <c r="BE500" i="23"/>
  <c r="AT500" i="23"/>
  <c r="AX500" i="23" s="1"/>
  <c r="AM500" i="23"/>
  <c r="AP500" i="23" s="1"/>
  <c r="AF500" i="23"/>
  <c r="AJ500" i="23" s="1"/>
  <c r="Y500" i="23"/>
  <c r="AB500" i="23" s="1"/>
  <c r="BZ499" i="23"/>
  <c r="BS499" i="23"/>
  <c r="BL499" i="23"/>
  <c r="BE499" i="23"/>
  <c r="AT499" i="23"/>
  <c r="AW499" i="23" s="1"/>
  <c r="AM499" i="23"/>
  <c r="AF499" i="23"/>
  <c r="AJ499" i="23" s="1"/>
  <c r="Y499" i="23"/>
  <c r="AB499" i="23" s="1"/>
  <c r="BZ498" i="23"/>
  <c r="BS498" i="23"/>
  <c r="BL498" i="23"/>
  <c r="BE498" i="23"/>
  <c r="AT498" i="23"/>
  <c r="AX498" i="23" s="1"/>
  <c r="AM498" i="23"/>
  <c r="AF498" i="23"/>
  <c r="AJ498" i="23" s="1"/>
  <c r="Y498" i="23"/>
  <c r="AB498" i="23" s="1"/>
  <c r="BZ497" i="23"/>
  <c r="BS497" i="23"/>
  <c r="BL497" i="23"/>
  <c r="BE497" i="23"/>
  <c r="AT497" i="23"/>
  <c r="AX497" i="23" s="1"/>
  <c r="AM497" i="23"/>
  <c r="AF497" i="23"/>
  <c r="AJ497" i="23" s="1"/>
  <c r="AC497" i="23"/>
  <c r="Y497" i="23"/>
  <c r="AB497" i="23" s="1"/>
  <c r="BZ496" i="23"/>
  <c r="BS496" i="23"/>
  <c r="BL496" i="23"/>
  <c r="BE496" i="23"/>
  <c r="AT496" i="23"/>
  <c r="AX496" i="23" s="1"/>
  <c r="AM496" i="23"/>
  <c r="AQ496" i="23" s="1"/>
  <c r="AF496" i="23"/>
  <c r="AI496" i="23" s="1"/>
  <c r="Y496" i="23"/>
  <c r="AC496" i="23" s="1"/>
  <c r="BZ495" i="23"/>
  <c r="BS495" i="23"/>
  <c r="BL495" i="23"/>
  <c r="BE495" i="23"/>
  <c r="AT495" i="23"/>
  <c r="AX495" i="23" s="1"/>
  <c r="AM495" i="23"/>
  <c r="AP495" i="23" s="1"/>
  <c r="AF495" i="23"/>
  <c r="AJ495" i="23" s="1"/>
  <c r="Y495" i="23"/>
  <c r="AB495" i="23" s="1"/>
  <c r="BZ494" i="23"/>
  <c r="BS494" i="23"/>
  <c r="BL494" i="23"/>
  <c r="BE494" i="23"/>
  <c r="AT494" i="23"/>
  <c r="AX494" i="23" s="1"/>
  <c r="AM494" i="23"/>
  <c r="AQ494" i="23" s="1"/>
  <c r="AJ494" i="23"/>
  <c r="AF494" i="23"/>
  <c r="AI494" i="23" s="1"/>
  <c r="Y494" i="23"/>
  <c r="AB494" i="23" s="1"/>
  <c r="BZ493" i="23"/>
  <c r="BS493" i="23"/>
  <c r="BL493" i="23"/>
  <c r="BE493" i="23"/>
  <c r="AT493" i="23"/>
  <c r="AX493" i="23" s="1"/>
  <c r="AM493" i="23"/>
  <c r="AQ493" i="23" s="1"/>
  <c r="AF493" i="23"/>
  <c r="AJ493" i="23" s="1"/>
  <c r="Y493" i="23"/>
  <c r="AB493" i="23" s="1"/>
  <c r="BZ492" i="23"/>
  <c r="BS492" i="23"/>
  <c r="BL492" i="23"/>
  <c r="BE492" i="23"/>
  <c r="AT492" i="23"/>
  <c r="AX492" i="23" s="1"/>
  <c r="AM492" i="23"/>
  <c r="AP492" i="23" s="1"/>
  <c r="AF492" i="23"/>
  <c r="AJ492" i="23" s="1"/>
  <c r="Y492" i="23"/>
  <c r="AC492" i="23" s="1"/>
  <c r="BZ491" i="23"/>
  <c r="BS491" i="23"/>
  <c r="BL491" i="23"/>
  <c r="BE491" i="23"/>
  <c r="AT491" i="23"/>
  <c r="AW491" i="23" s="1"/>
  <c r="AM491" i="23"/>
  <c r="AQ491" i="23" s="1"/>
  <c r="AF491" i="23"/>
  <c r="AI491" i="23" s="1"/>
  <c r="Y491" i="23"/>
  <c r="AC491" i="23" s="1"/>
  <c r="BW481" i="23"/>
  <c r="BP481" i="23"/>
  <c r="BI481" i="23"/>
  <c r="BB481" i="23"/>
  <c r="BZ480" i="23"/>
  <c r="BS480" i="23"/>
  <c r="BL480" i="23"/>
  <c r="BE480" i="23"/>
  <c r="BZ479" i="23"/>
  <c r="BS479" i="23"/>
  <c r="BL479" i="23"/>
  <c r="BE479" i="23"/>
  <c r="AP479" i="23"/>
  <c r="AI479" i="23"/>
  <c r="BZ478" i="23"/>
  <c r="BS478" i="23"/>
  <c r="BL478" i="23"/>
  <c r="BE478" i="23"/>
  <c r="AT478" i="23"/>
  <c r="AW478" i="23" s="1"/>
  <c r="AP478" i="23"/>
  <c r="AI478" i="23"/>
  <c r="BZ477" i="23"/>
  <c r="BS477" i="23"/>
  <c r="BL477" i="23"/>
  <c r="BE477" i="23"/>
  <c r="AT477" i="23"/>
  <c r="AW477" i="23" s="1"/>
  <c r="AM477" i="23"/>
  <c r="AP477" i="23" s="1"/>
  <c r="AF477" i="23"/>
  <c r="AI477" i="23" s="1"/>
  <c r="BZ476" i="23"/>
  <c r="BS476" i="23"/>
  <c r="BL476" i="23"/>
  <c r="BE476" i="23"/>
  <c r="AT476" i="23"/>
  <c r="AW476" i="23" s="1"/>
  <c r="AM476" i="23"/>
  <c r="AP476" i="23" s="1"/>
  <c r="AF476" i="23"/>
  <c r="AI476" i="23" s="1"/>
  <c r="BZ475" i="23"/>
  <c r="BS475" i="23"/>
  <c r="BL475" i="23"/>
  <c r="BE475" i="23"/>
  <c r="AT475" i="23"/>
  <c r="AW475" i="23" s="1"/>
  <c r="AM475" i="23"/>
  <c r="AP475" i="23" s="1"/>
  <c r="AF475" i="23"/>
  <c r="AI475" i="23" s="1"/>
  <c r="BZ474" i="23"/>
  <c r="BS474" i="23"/>
  <c r="BL474" i="23"/>
  <c r="BE474" i="23"/>
  <c r="AT474" i="23"/>
  <c r="AW474" i="23" s="1"/>
  <c r="AM474" i="23"/>
  <c r="AP474" i="23" s="1"/>
  <c r="AF474" i="23"/>
  <c r="AI474" i="23" s="1"/>
  <c r="BZ473" i="23"/>
  <c r="BS473" i="23"/>
  <c r="BL473" i="23"/>
  <c r="BE473" i="23"/>
  <c r="AT473" i="23"/>
  <c r="AW473" i="23" s="1"/>
  <c r="AM473" i="23"/>
  <c r="AP473" i="23" s="1"/>
  <c r="AF473" i="23"/>
  <c r="AI473" i="23" s="1"/>
  <c r="BZ472" i="23"/>
  <c r="BS472" i="23"/>
  <c r="BL472" i="23"/>
  <c r="BE472" i="23"/>
  <c r="AT472" i="23"/>
  <c r="AW472" i="23" s="1"/>
  <c r="AM472" i="23"/>
  <c r="AQ472" i="23" s="1"/>
  <c r="AF472" i="23"/>
  <c r="AJ472" i="23" s="1"/>
  <c r="AC472" i="23"/>
  <c r="BZ471" i="23"/>
  <c r="BS471" i="23"/>
  <c r="BL471" i="23"/>
  <c r="BE471" i="23"/>
  <c r="AT471" i="23"/>
  <c r="AW471" i="23" s="1"/>
  <c r="AM471" i="23"/>
  <c r="AQ471" i="23" s="1"/>
  <c r="AF471" i="23"/>
  <c r="AJ471" i="23" s="1"/>
  <c r="AC471" i="23"/>
  <c r="BZ470" i="23"/>
  <c r="BS470" i="23"/>
  <c r="BL470" i="23"/>
  <c r="BE470" i="23"/>
  <c r="AT470" i="23"/>
  <c r="AW470" i="23" s="1"/>
  <c r="AM470" i="23"/>
  <c r="AP470" i="23" s="1"/>
  <c r="AF470" i="23"/>
  <c r="AI470" i="23" s="1"/>
  <c r="BZ469" i="23"/>
  <c r="BS469" i="23"/>
  <c r="BL469" i="23"/>
  <c r="BE469" i="23"/>
  <c r="AT469" i="23"/>
  <c r="AW469" i="23" s="1"/>
  <c r="AM469" i="23"/>
  <c r="AP469" i="23" s="1"/>
  <c r="AF469" i="23"/>
  <c r="AI469" i="23" s="1"/>
  <c r="BZ468" i="23"/>
  <c r="BS468" i="23"/>
  <c r="BL468" i="23"/>
  <c r="BE468" i="23"/>
  <c r="AT468" i="23"/>
  <c r="AW468" i="23" s="1"/>
  <c r="AM468" i="23"/>
  <c r="AP468" i="23" s="1"/>
  <c r="AF468" i="23"/>
  <c r="AI468" i="23" s="1"/>
  <c r="BZ467" i="23"/>
  <c r="BS467" i="23"/>
  <c r="BL467" i="23"/>
  <c r="BE467" i="23"/>
  <c r="AT467" i="23"/>
  <c r="AW467" i="23" s="1"/>
  <c r="AM467" i="23"/>
  <c r="AP467" i="23" s="1"/>
  <c r="AF467" i="23"/>
  <c r="AI467" i="23" s="1"/>
  <c r="BZ466" i="23"/>
  <c r="BS466" i="23"/>
  <c r="BL466" i="23"/>
  <c r="BE466" i="23"/>
  <c r="AT466" i="23"/>
  <c r="AW466" i="23" s="1"/>
  <c r="AM466" i="23"/>
  <c r="AP466" i="23" s="1"/>
  <c r="AF466" i="23"/>
  <c r="AI466" i="23" s="1"/>
  <c r="BZ465" i="23"/>
  <c r="BS465" i="23"/>
  <c r="BL465" i="23"/>
  <c r="AT465" i="23"/>
  <c r="AW465" i="23" s="1"/>
  <c r="AM465" i="23"/>
  <c r="AP465" i="23" s="1"/>
  <c r="AF465" i="23"/>
  <c r="AI465" i="23" s="1"/>
  <c r="Y465" i="23"/>
  <c r="AB465" i="23" s="1"/>
  <c r="BW455" i="23"/>
  <c r="BP455" i="23"/>
  <c r="BI455" i="23"/>
  <c r="BB455" i="23"/>
  <c r="BZ454" i="23"/>
  <c r="BS454" i="23"/>
  <c r="BL454" i="23"/>
  <c r="BE454" i="23"/>
  <c r="AT454" i="23"/>
  <c r="AX454" i="23" s="1"/>
  <c r="AM454" i="23"/>
  <c r="AF454" i="23"/>
  <c r="AJ454" i="23" s="1"/>
  <c r="BZ453" i="23"/>
  <c r="BS453" i="23"/>
  <c r="BL453" i="23"/>
  <c r="BE453" i="23"/>
  <c r="AT453" i="23"/>
  <c r="AX453" i="23" s="1"/>
  <c r="AM453" i="23"/>
  <c r="AF453" i="23"/>
  <c r="AJ453" i="23" s="1"/>
  <c r="Y453" i="23"/>
  <c r="BZ452" i="23"/>
  <c r="BS452" i="23"/>
  <c r="BL452" i="23"/>
  <c r="BE452" i="23"/>
  <c r="AT452" i="23"/>
  <c r="AX452" i="23" s="1"/>
  <c r="AM452" i="23"/>
  <c r="AF452" i="23"/>
  <c r="AJ452" i="23" s="1"/>
  <c r="Y452" i="23"/>
  <c r="BZ451" i="23"/>
  <c r="BS451" i="23"/>
  <c r="BL451" i="23"/>
  <c r="BE451" i="23"/>
  <c r="AT451" i="23"/>
  <c r="AX451" i="23" s="1"/>
  <c r="AM451" i="23"/>
  <c r="AF451" i="23"/>
  <c r="AJ451" i="23" s="1"/>
  <c r="Y451" i="23"/>
  <c r="BZ450" i="23"/>
  <c r="BS450" i="23"/>
  <c r="BL450" i="23"/>
  <c r="BE450" i="23"/>
  <c r="AT450" i="23"/>
  <c r="AX450" i="23" s="1"/>
  <c r="AM450" i="23"/>
  <c r="AF450" i="23"/>
  <c r="AJ450" i="23" s="1"/>
  <c r="Y450" i="23"/>
  <c r="BZ449" i="23"/>
  <c r="BS449" i="23"/>
  <c r="BL449" i="23"/>
  <c r="BE449" i="23"/>
  <c r="AT449" i="23"/>
  <c r="AX449" i="23" s="1"/>
  <c r="AM449" i="23"/>
  <c r="AF449" i="23"/>
  <c r="AJ449" i="23" s="1"/>
  <c r="Y449" i="23"/>
  <c r="BZ448" i="23"/>
  <c r="BS448" i="23"/>
  <c r="BL448" i="23"/>
  <c r="BE448" i="23"/>
  <c r="AT448" i="23"/>
  <c r="AX448" i="23" s="1"/>
  <c r="AM448" i="23"/>
  <c r="AF448" i="23"/>
  <c r="AJ448" i="23" s="1"/>
  <c r="Y448" i="23"/>
  <c r="BZ447" i="23"/>
  <c r="BS447" i="23"/>
  <c r="BL447" i="23"/>
  <c r="BE447" i="23"/>
  <c r="AT447" i="23"/>
  <c r="AX447" i="23" s="1"/>
  <c r="AM447" i="23"/>
  <c r="AF447" i="23"/>
  <c r="AJ447" i="23" s="1"/>
  <c r="Y447" i="23"/>
  <c r="BZ446" i="23"/>
  <c r="BS446" i="23"/>
  <c r="BL446" i="23"/>
  <c r="BE446" i="23"/>
  <c r="AT446" i="23"/>
  <c r="AX446" i="23" s="1"/>
  <c r="AM446" i="23"/>
  <c r="AF446" i="23"/>
  <c r="AJ446" i="23" s="1"/>
  <c r="Y446" i="23"/>
  <c r="BZ445" i="23"/>
  <c r="BS445" i="23"/>
  <c r="BL445" i="23"/>
  <c r="BE445" i="23"/>
  <c r="AT445" i="23"/>
  <c r="AX445" i="23" s="1"/>
  <c r="AM445" i="23"/>
  <c r="AF445" i="23"/>
  <c r="AJ445" i="23" s="1"/>
  <c r="Y445" i="23"/>
  <c r="BZ444" i="23"/>
  <c r="BS444" i="23"/>
  <c r="BL444" i="23"/>
  <c r="BE444" i="23"/>
  <c r="AT444" i="23"/>
  <c r="AX444" i="23" s="1"/>
  <c r="AM444" i="23"/>
  <c r="AP444" i="23" s="1"/>
  <c r="AF444" i="23"/>
  <c r="AI444" i="23" s="1"/>
  <c r="Y444" i="23"/>
  <c r="AB444" i="23" s="1"/>
  <c r="BZ443" i="23"/>
  <c r="BS443" i="23"/>
  <c r="BL443" i="23"/>
  <c r="BE443" i="23"/>
  <c r="AT443" i="23"/>
  <c r="AW443" i="23" s="1"/>
  <c r="AM443" i="23"/>
  <c r="AP443" i="23" s="1"/>
  <c r="AF443" i="23"/>
  <c r="AI443" i="23" s="1"/>
  <c r="Y443" i="23"/>
  <c r="AB443" i="23" s="1"/>
  <c r="BZ442" i="23"/>
  <c r="BS442" i="23"/>
  <c r="BL442" i="23"/>
  <c r="BE442" i="23"/>
  <c r="AT442" i="23"/>
  <c r="AW442" i="23" s="1"/>
  <c r="AM442" i="23"/>
  <c r="AP442" i="23" s="1"/>
  <c r="AF442" i="23"/>
  <c r="AI442" i="23" s="1"/>
  <c r="Y442" i="23"/>
  <c r="AB442" i="23" s="1"/>
  <c r="BZ441" i="23"/>
  <c r="BS441" i="23"/>
  <c r="BL441" i="23"/>
  <c r="BE441" i="23"/>
  <c r="AT441" i="23"/>
  <c r="AW441" i="23" s="1"/>
  <c r="AM441" i="23"/>
  <c r="AP441" i="23" s="1"/>
  <c r="AF441" i="23"/>
  <c r="AI441" i="23" s="1"/>
  <c r="Y441" i="23"/>
  <c r="AB441" i="23" s="1"/>
  <c r="BZ440" i="23"/>
  <c r="BS440" i="23"/>
  <c r="BL440" i="23"/>
  <c r="BE440" i="23"/>
  <c r="AT440" i="23"/>
  <c r="AW440" i="23" s="1"/>
  <c r="AM440" i="23"/>
  <c r="AP440" i="23" s="1"/>
  <c r="AF440" i="23"/>
  <c r="AI440" i="23" s="1"/>
  <c r="Y440" i="23"/>
  <c r="AB440" i="23" s="1"/>
  <c r="BZ439" i="23"/>
  <c r="BS439" i="23"/>
  <c r="BL439" i="23"/>
  <c r="BE439" i="23"/>
  <c r="AT439" i="23"/>
  <c r="AW439" i="23" s="1"/>
  <c r="AM439" i="23"/>
  <c r="AP439" i="23" s="1"/>
  <c r="AF439" i="23"/>
  <c r="AI439" i="23" s="1"/>
  <c r="Y439" i="23"/>
  <c r="AB439" i="23" s="1"/>
  <c r="BW429" i="23"/>
  <c r="BP429" i="23"/>
  <c r="BI429" i="23"/>
  <c r="BB429" i="23"/>
  <c r="BZ428" i="23"/>
  <c r="BS428" i="23"/>
  <c r="BL428" i="23"/>
  <c r="BE428" i="23"/>
  <c r="AT428" i="23"/>
  <c r="AX428" i="23" s="1"/>
  <c r="AM428" i="23"/>
  <c r="AQ428" i="23" s="1"/>
  <c r="AF428" i="23"/>
  <c r="AJ428" i="23" s="1"/>
  <c r="Y428" i="23"/>
  <c r="AC428" i="23" s="1"/>
  <c r="BZ427" i="23"/>
  <c r="BS427" i="23"/>
  <c r="BL427" i="23"/>
  <c r="BE427" i="23"/>
  <c r="AT427" i="23"/>
  <c r="AX427" i="23" s="1"/>
  <c r="AM427" i="23"/>
  <c r="AQ427" i="23" s="1"/>
  <c r="AF427" i="23"/>
  <c r="AJ427" i="23" s="1"/>
  <c r="Y427" i="23"/>
  <c r="AC427" i="23" s="1"/>
  <c r="BZ426" i="23"/>
  <c r="BS426" i="23"/>
  <c r="BL426" i="23"/>
  <c r="BE426" i="23"/>
  <c r="AT426" i="23"/>
  <c r="AX426" i="23" s="1"/>
  <c r="AM426" i="23"/>
  <c r="AQ426" i="23" s="1"/>
  <c r="AF426" i="23"/>
  <c r="AJ426" i="23" s="1"/>
  <c r="Y426" i="23"/>
  <c r="AC426" i="23" s="1"/>
  <c r="BZ425" i="23"/>
  <c r="BS425" i="23"/>
  <c r="BL425" i="23"/>
  <c r="BE425" i="23"/>
  <c r="AT425" i="23"/>
  <c r="AX425" i="23" s="1"/>
  <c r="AM425" i="23"/>
  <c r="AQ425" i="23" s="1"/>
  <c r="AF425" i="23"/>
  <c r="AJ425" i="23" s="1"/>
  <c r="Y425" i="23"/>
  <c r="AC425" i="23" s="1"/>
  <c r="BZ424" i="23"/>
  <c r="BS424" i="23"/>
  <c r="BL424" i="23"/>
  <c r="BE424" i="23"/>
  <c r="AT424" i="23"/>
  <c r="AX424" i="23" s="1"/>
  <c r="AM424" i="23"/>
  <c r="AQ424" i="23" s="1"/>
  <c r="AF424" i="23"/>
  <c r="AJ424" i="23" s="1"/>
  <c r="Y424" i="23"/>
  <c r="AC424" i="23" s="1"/>
  <c r="BZ423" i="23"/>
  <c r="BS423" i="23"/>
  <c r="BL423" i="23"/>
  <c r="BE423" i="23"/>
  <c r="AT423" i="23"/>
  <c r="AX423" i="23" s="1"/>
  <c r="AM423" i="23"/>
  <c r="AQ423" i="23" s="1"/>
  <c r="AF423" i="23"/>
  <c r="AJ423" i="23" s="1"/>
  <c r="Y423" i="23"/>
  <c r="AC423" i="23" s="1"/>
  <c r="BZ422" i="23"/>
  <c r="BS422" i="23"/>
  <c r="BL422" i="23"/>
  <c r="BE422" i="23"/>
  <c r="AT422" i="23"/>
  <c r="AX422" i="23" s="1"/>
  <c r="AM422" i="23"/>
  <c r="AQ422" i="23" s="1"/>
  <c r="AF422" i="23"/>
  <c r="AJ422" i="23" s="1"/>
  <c r="Y422" i="23"/>
  <c r="AC422" i="23" s="1"/>
  <c r="BZ421" i="23"/>
  <c r="BS421" i="23"/>
  <c r="BL421" i="23"/>
  <c r="BE421" i="23"/>
  <c r="AT421" i="23"/>
  <c r="AX421" i="23" s="1"/>
  <c r="AM421" i="23"/>
  <c r="AQ421" i="23" s="1"/>
  <c r="AF421" i="23"/>
  <c r="AJ421" i="23" s="1"/>
  <c r="Y421" i="23"/>
  <c r="AC421" i="23" s="1"/>
  <c r="BZ420" i="23"/>
  <c r="BS420" i="23"/>
  <c r="BL420" i="23"/>
  <c r="BE420" i="23"/>
  <c r="AT420" i="23"/>
  <c r="AX420" i="23" s="1"/>
  <c r="AM420" i="23"/>
  <c r="AQ420" i="23" s="1"/>
  <c r="AF420" i="23"/>
  <c r="AJ420" i="23" s="1"/>
  <c r="Y420" i="23"/>
  <c r="AC420" i="23" s="1"/>
  <c r="BZ419" i="23"/>
  <c r="BS419" i="23"/>
  <c r="BL419" i="23"/>
  <c r="BE419" i="23"/>
  <c r="AT419" i="23"/>
  <c r="AX419" i="23" s="1"/>
  <c r="AM419" i="23"/>
  <c r="AQ419" i="23" s="1"/>
  <c r="AF419" i="23"/>
  <c r="AJ419" i="23" s="1"/>
  <c r="Y419" i="23"/>
  <c r="AC419" i="23" s="1"/>
  <c r="BZ418" i="23"/>
  <c r="BS418" i="23"/>
  <c r="BL418" i="23"/>
  <c r="BE418" i="23"/>
  <c r="AT418" i="23"/>
  <c r="AW418" i="23" s="1"/>
  <c r="AM418" i="23"/>
  <c r="AP418" i="23" s="1"/>
  <c r="AF418" i="23"/>
  <c r="AI418" i="23" s="1"/>
  <c r="Y418" i="23"/>
  <c r="AB418" i="23" s="1"/>
  <c r="BZ417" i="23"/>
  <c r="BS417" i="23"/>
  <c r="BL417" i="23"/>
  <c r="BE417" i="23"/>
  <c r="AT417" i="23"/>
  <c r="AW417" i="23" s="1"/>
  <c r="AM417" i="23"/>
  <c r="AP417" i="23" s="1"/>
  <c r="AF417" i="23"/>
  <c r="AI417" i="23" s="1"/>
  <c r="Y417" i="23"/>
  <c r="AB417" i="23" s="1"/>
  <c r="BZ416" i="23"/>
  <c r="BS416" i="23"/>
  <c r="BL416" i="23"/>
  <c r="BE416" i="23"/>
  <c r="AT416" i="23"/>
  <c r="AW416" i="23" s="1"/>
  <c r="AM416" i="23"/>
  <c r="AP416" i="23" s="1"/>
  <c r="AF416" i="23"/>
  <c r="AI416" i="23" s="1"/>
  <c r="Y416" i="23"/>
  <c r="AB416" i="23" s="1"/>
  <c r="BZ415" i="23"/>
  <c r="BS415" i="23"/>
  <c r="BL415" i="23"/>
  <c r="BE415" i="23"/>
  <c r="AT415" i="23"/>
  <c r="AW415" i="23" s="1"/>
  <c r="AM415" i="23"/>
  <c r="AP415" i="23" s="1"/>
  <c r="AF415" i="23"/>
  <c r="AI415" i="23" s="1"/>
  <c r="Y415" i="23"/>
  <c r="AB415" i="23" s="1"/>
  <c r="BZ414" i="23"/>
  <c r="BS414" i="23"/>
  <c r="BL414" i="23"/>
  <c r="BE414" i="23"/>
  <c r="AT414" i="23"/>
  <c r="AW414" i="23" s="1"/>
  <c r="AM414" i="23"/>
  <c r="AP414" i="23" s="1"/>
  <c r="AF414" i="23"/>
  <c r="AI414" i="23" s="1"/>
  <c r="Y414" i="23"/>
  <c r="AB414" i="23" s="1"/>
  <c r="BZ413" i="23"/>
  <c r="BS413" i="23"/>
  <c r="BL413" i="23"/>
  <c r="BE413" i="23"/>
  <c r="AT413" i="23"/>
  <c r="AW413" i="23" s="1"/>
  <c r="AM413" i="23"/>
  <c r="AP413" i="23" s="1"/>
  <c r="AF413" i="23"/>
  <c r="AI413" i="23" s="1"/>
  <c r="AC413" i="23"/>
  <c r="Y413" i="23"/>
  <c r="AB413" i="23" s="1"/>
  <c r="S313" i="23"/>
  <c r="S312" i="23"/>
  <c r="S311" i="23"/>
  <c r="S310" i="23"/>
  <c r="S309" i="23"/>
  <c r="S308" i="23"/>
  <c r="S307" i="23"/>
  <c r="N313" i="23"/>
  <c r="N312" i="23"/>
  <c r="N311" i="23"/>
  <c r="N310" i="23"/>
  <c r="N309" i="23"/>
  <c r="N308" i="23"/>
  <c r="N307" i="23"/>
  <c r="I313" i="23"/>
  <c r="I312" i="23"/>
  <c r="I311" i="23"/>
  <c r="I310" i="23"/>
  <c r="I309" i="23"/>
  <c r="I308" i="23"/>
  <c r="I307" i="23"/>
  <c r="D313" i="23"/>
  <c r="D312" i="23"/>
  <c r="D311" i="23"/>
  <c r="D310" i="23"/>
  <c r="D309" i="23"/>
  <c r="D308" i="23"/>
  <c r="D307" i="23"/>
  <c r="S387" i="23"/>
  <c r="BY387" i="23" s="1"/>
  <c r="N387" i="23"/>
  <c r="BR387" i="23" s="1"/>
  <c r="I387" i="23"/>
  <c r="BK387" i="23" s="1"/>
  <c r="D387" i="23"/>
  <c r="BD387" i="23" s="1"/>
  <c r="BZ402" i="23"/>
  <c r="BS402" i="23"/>
  <c r="BL402" i="23"/>
  <c r="BE402" i="23"/>
  <c r="BF402" i="23" s="1"/>
  <c r="BG402" i="23" s="1"/>
  <c r="AT402" i="23"/>
  <c r="AM402" i="23"/>
  <c r="AF402" i="23"/>
  <c r="Y402" i="23"/>
  <c r="BZ401" i="23"/>
  <c r="BS401" i="23"/>
  <c r="BL401" i="23"/>
  <c r="BE401" i="23"/>
  <c r="AT401" i="23"/>
  <c r="AM401" i="23"/>
  <c r="AF401" i="23"/>
  <c r="Y401" i="23"/>
  <c r="BZ400" i="23"/>
  <c r="BS400" i="23"/>
  <c r="BL400" i="23"/>
  <c r="BE400" i="23"/>
  <c r="BF400" i="23" s="1"/>
  <c r="BG400" i="23" s="1"/>
  <c r="AT400" i="23"/>
  <c r="AM400" i="23"/>
  <c r="AF400" i="23"/>
  <c r="Y400" i="23"/>
  <c r="BZ399" i="23"/>
  <c r="BS399" i="23"/>
  <c r="BT399" i="23" s="1"/>
  <c r="BU399" i="23" s="1"/>
  <c r="BL399" i="23"/>
  <c r="BE399" i="23"/>
  <c r="AT399" i="23"/>
  <c r="AM399" i="23"/>
  <c r="AF399" i="23"/>
  <c r="Y399" i="23"/>
  <c r="BZ398" i="23"/>
  <c r="CA398" i="23" s="1"/>
  <c r="CB398" i="23" s="1"/>
  <c r="BS398" i="23"/>
  <c r="BL398" i="23"/>
  <c r="BE398" i="23"/>
  <c r="BF398" i="23" s="1"/>
  <c r="BG398" i="23" s="1"/>
  <c r="AT398" i="23"/>
  <c r="AM398" i="23"/>
  <c r="AF398" i="23"/>
  <c r="Y398" i="23"/>
  <c r="BZ397" i="23"/>
  <c r="BS397" i="23"/>
  <c r="BT397" i="23" s="1"/>
  <c r="BU397" i="23" s="1"/>
  <c r="BL397" i="23"/>
  <c r="BE397" i="23"/>
  <c r="AT397" i="23"/>
  <c r="AM397" i="23"/>
  <c r="AF397" i="23"/>
  <c r="Y397" i="23"/>
  <c r="BZ396" i="23"/>
  <c r="CA396" i="23" s="1"/>
  <c r="CB396" i="23" s="1"/>
  <c r="BS396" i="23"/>
  <c r="BL396" i="23"/>
  <c r="BE396" i="23"/>
  <c r="BF396" i="23" s="1"/>
  <c r="BG396" i="23" s="1"/>
  <c r="AT396" i="23"/>
  <c r="AM396" i="23"/>
  <c r="AF396" i="23"/>
  <c r="Y396" i="23"/>
  <c r="BZ395" i="23"/>
  <c r="BS395" i="23"/>
  <c r="BT395" i="23" s="1"/>
  <c r="BU395" i="23" s="1"/>
  <c r="BL395" i="23"/>
  <c r="BE395" i="23"/>
  <c r="AT395" i="23"/>
  <c r="AM395" i="23"/>
  <c r="AF395" i="23"/>
  <c r="Y395" i="23"/>
  <c r="BZ394" i="23"/>
  <c r="CA394" i="23" s="1"/>
  <c r="CB394" i="23" s="1"/>
  <c r="BS394" i="23"/>
  <c r="BL394" i="23"/>
  <c r="BE394" i="23"/>
  <c r="BF394" i="23" s="1"/>
  <c r="BG394" i="23" s="1"/>
  <c r="AT394" i="23"/>
  <c r="AM394" i="23"/>
  <c r="AF394" i="23"/>
  <c r="Y394" i="23"/>
  <c r="BZ393" i="23"/>
  <c r="BS393" i="23"/>
  <c r="BT393" i="23" s="1"/>
  <c r="BU393" i="23" s="1"/>
  <c r="BL393" i="23"/>
  <c r="BE393" i="23"/>
  <c r="AT393" i="23"/>
  <c r="AX393" i="23" s="1"/>
  <c r="AM393" i="23"/>
  <c r="AQ393" i="23" s="1"/>
  <c r="AF393" i="23"/>
  <c r="AJ393" i="23" s="1"/>
  <c r="Y393" i="23"/>
  <c r="AC393" i="23" s="1"/>
  <c r="BZ392" i="23"/>
  <c r="CA392" i="23" s="1"/>
  <c r="CB392" i="23" s="1"/>
  <c r="BS392" i="23"/>
  <c r="BL392" i="23"/>
  <c r="BE392" i="23"/>
  <c r="BF392" i="23" s="1"/>
  <c r="BG392" i="23" s="1"/>
  <c r="AT392" i="23"/>
  <c r="AX392" i="23" s="1"/>
  <c r="AM392" i="23"/>
  <c r="AP392" i="23" s="1"/>
  <c r="AF392" i="23"/>
  <c r="AI392" i="23" s="1"/>
  <c r="Y392" i="23"/>
  <c r="AB392" i="23" s="1"/>
  <c r="BZ391" i="23"/>
  <c r="BS391" i="23"/>
  <c r="BT391" i="23" s="1"/>
  <c r="BU391" i="23" s="1"/>
  <c r="BL391" i="23"/>
  <c r="BE391" i="23"/>
  <c r="AT391" i="23"/>
  <c r="AW391" i="23" s="1"/>
  <c r="AM391" i="23"/>
  <c r="AP391" i="23" s="1"/>
  <c r="AF391" i="23"/>
  <c r="AI391" i="23" s="1"/>
  <c r="Y391" i="23"/>
  <c r="AB391" i="23" s="1"/>
  <c r="BZ390" i="23"/>
  <c r="CA390" i="23" s="1"/>
  <c r="CB390" i="23" s="1"/>
  <c r="BS390" i="23"/>
  <c r="BT390" i="23" s="1"/>
  <c r="BU390" i="23" s="1"/>
  <c r="BL390" i="23"/>
  <c r="BE390" i="23"/>
  <c r="BF390" i="23" s="1"/>
  <c r="BG390" i="23" s="1"/>
  <c r="AT390" i="23"/>
  <c r="AW390" i="23" s="1"/>
  <c r="AM390" i="23"/>
  <c r="AP390" i="23" s="1"/>
  <c r="AF390" i="23"/>
  <c r="AI390" i="23" s="1"/>
  <c r="Y390" i="23"/>
  <c r="AB390" i="23" s="1"/>
  <c r="BZ389" i="23"/>
  <c r="BS389" i="23"/>
  <c r="BT389" i="23" s="1"/>
  <c r="BU389" i="23" s="1"/>
  <c r="BL389" i="23"/>
  <c r="BE389" i="23"/>
  <c r="BF389" i="23" s="1"/>
  <c r="BG389" i="23" s="1"/>
  <c r="AT389" i="23"/>
  <c r="AW389" i="23" s="1"/>
  <c r="AM389" i="23"/>
  <c r="AP389" i="23" s="1"/>
  <c r="AF389" i="23"/>
  <c r="AI389" i="23" s="1"/>
  <c r="AB389" i="23"/>
  <c r="BZ388" i="23"/>
  <c r="BS388" i="23"/>
  <c r="BL388" i="23"/>
  <c r="BE388" i="23"/>
  <c r="AT388" i="23"/>
  <c r="AW388" i="23" s="1"/>
  <c r="AM388" i="23"/>
  <c r="AP388" i="23" s="1"/>
  <c r="AF388" i="23"/>
  <c r="AI388" i="23" s="1"/>
  <c r="AB388" i="23"/>
  <c r="BZ387" i="23"/>
  <c r="BS387" i="23"/>
  <c r="BL387" i="23"/>
  <c r="AT387" i="23"/>
  <c r="AW387" i="23" s="1"/>
  <c r="AM387" i="23"/>
  <c r="AP387" i="23" s="1"/>
  <c r="AF387" i="23"/>
  <c r="AI387" i="23" s="1"/>
  <c r="Y387" i="23"/>
  <c r="AB387" i="23" s="1"/>
  <c r="S335" i="23"/>
  <c r="BY335" i="23" s="1"/>
  <c r="N335" i="23"/>
  <c r="I335" i="23"/>
  <c r="D335" i="23"/>
  <c r="BD335" i="23" s="1"/>
  <c r="BY337" i="23"/>
  <c r="BY340" i="23"/>
  <c r="BY345" i="23"/>
  <c r="BY348" i="23"/>
  <c r="BZ376" i="23"/>
  <c r="BS376" i="23"/>
  <c r="BL376" i="23"/>
  <c r="BE376" i="23"/>
  <c r="AT376" i="23"/>
  <c r="AM376" i="23"/>
  <c r="AF376" i="23"/>
  <c r="Y376" i="23"/>
  <c r="BZ375" i="23"/>
  <c r="BS375" i="23"/>
  <c r="BL375" i="23"/>
  <c r="BE375" i="23"/>
  <c r="BF375" i="23" s="1"/>
  <c r="BG375" i="23" s="1"/>
  <c r="AT375" i="23"/>
  <c r="AM375" i="23"/>
  <c r="AF375" i="23"/>
  <c r="Y375" i="23"/>
  <c r="BZ374" i="23"/>
  <c r="BS374" i="23"/>
  <c r="BL374" i="23"/>
  <c r="BM374" i="23" s="1"/>
  <c r="BN374" i="23" s="1"/>
  <c r="BE374" i="23"/>
  <c r="AT374" i="23"/>
  <c r="AM374" i="23"/>
  <c r="AF374" i="23"/>
  <c r="Y374" i="23"/>
  <c r="BZ373" i="23"/>
  <c r="BS373" i="23"/>
  <c r="BL373" i="23"/>
  <c r="BE373" i="23"/>
  <c r="AT373" i="23"/>
  <c r="AM373" i="23"/>
  <c r="AF373" i="23"/>
  <c r="Y373" i="23"/>
  <c r="BZ372" i="23"/>
  <c r="BS372" i="23"/>
  <c r="BT372" i="23" s="1"/>
  <c r="BU372" i="23" s="1"/>
  <c r="BL372" i="23"/>
  <c r="BE372" i="23"/>
  <c r="AT372" i="23"/>
  <c r="AM372" i="23"/>
  <c r="AF372" i="23"/>
  <c r="Y372" i="23"/>
  <c r="BZ371" i="23"/>
  <c r="BS371" i="23"/>
  <c r="BL371" i="23"/>
  <c r="BE371" i="23"/>
  <c r="AT371" i="23"/>
  <c r="AM371" i="23"/>
  <c r="AF371" i="23"/>
  <c r="Y371" i="23"/>
  <c r="BZ370" i="23"/>
  <c r="BS370" i="23"/>
  <c r="BL370" i="23"/>
  <c r="BE370" i="23"/>
  <c r="AT370" i="23"/>
  <c r="AM370" i="23"/>
  <c r="AF370" i="23"/>
  <c r="Y370" i="23"/>
  <c r="BZ369" i="23"/>
  <c r="BS369" i="23"/>
  <c r="BL369" i="23"/>
  <c r="BE369" i="23"/>
  <c r="BF369" i="23" s="1"/>
  <c r="BG369" i="23" s="1"/>
  <c r="AT369" i="23"/>
  <c r="AM369" i="23"/>
  <c r="AF369" i="23"/>
  <c r="Y369" i="23"/>
  <c r="BZ368" i="23"/>
  <c r="BS368" i="23"/>
  <c r="BL368" i="23"/>
  <c r="BE368" i="23"/>
  <c r="AT368" i="23"/>
  <c r="AM368" i="23"/>
  <c r="AF368" i="23"/>
  <c r="Y368" i="23"/>
  <c r="AB368" i="23" s="1"/>
  <c r="BZ367" i="23"/>
  <c r="BS367" i="23"/>
  <c r="BL367" i="23"/>
  <c r="BE367" i="23"/>
  <c r="AT367" i="23"/>
  <c r="AW367" i="23" s="1"/>
  <c r="AM367" i="23"/>
  <c r="AP367" i="23" s="1"/>
  <c r="AF367" i="23"/>
  <c r="AI367" i="23" s="1"/>
  <c r="AB367" i="23"/>
  <c r="BZ366" i="23"/>
  <c r="BS366" i="23"/>
  <c r="BL366" i="23"/>
  <c r="BE366" i="23"/>
  <c r="AT366" i="23"/>
  <c r="AX366" i="23" s="1"/>
  <c r="AM366" i="23"/>
  <c r="AQ366" i="23" s="1"/>
  <c r="AF366" i="23"/>
  <c r="AJ366" i="23" s="1"/>
  <c r="Y366" i="23"/>
  <c r="AC366" i="23" s="1"/>
  <c r="BZ365" i="23"/>
  <c r="BS365" i="23"/>
  <c r="BL365" i="23"/>
  <c r="BE365" i="23"/>
  <c r="AT365" i="23"/>
  <c r="AX365" i="23" s="1"/>
  <c r="AM365" i="23"/>
  <c r="AQ365" i="23" s="1"/>
  <c r="AF365" i="23"/>
  <c r="AJ365" i="23" s="1"/>
  <c r="Y365" i="23"/>
  <c r="AC365" i="23" s="1"/>
  <c r="BZ364" i="23"/>
  <c r="BS364" i="23"/>
  <c r="BL364" i="23"/>
  <c r="BE364" i="23"/>
  <c r="AT364" i="23"/>
  <c r="AX364" i="23" s="1"/>
  <c r="AM364" i="23"/>
  <c r="AQ364" i="23" s="1"/>
  <c r="AF364" i="23"/>
  <c r="AJ364" i="23" s="1"/>
  <c r="Y364" i="23"/>
  <c r="AC364" i="23" s="1"/>
  <c r="BZ363" i="23"/>
  <c r="BS363" i="23"/>
  <c r="BL363" i="23"/>
  <c r="BE363" i="23"/>
  <c r="BF363" i="23" s="1"/>
  <c r="BG363" i="23" s="1"/>
  <c r="AT363" i="23"/>
  <c r="AX363" i="23" s="1"/>
  <c r="AM363" i="23"/>
  <c r="AQ363" i="23" s="1"/>
  <c r="AF363" i="23"/>
  <c r="AJ363" i="23" s="1"/>
  <c r="Y363" i="23"/>
  <c r="AC363" i="23" s="1"/>
  <c r="BZ362" i="23"/>
  <c r="BS362" i="23"/>
  <c r="BL362" i="23"/>
  <c r="BE362" i="23"/>
  <c r="AT362" i="23"/>
  <c r="AX362" i="23" s="1"/>
  <c r="AM362" i="23"/>
  <c r="AQ362" i="23" s="1"/>
  <c r="AF362" i="23"/>
  <c r="AJ362" i="23" s="1"/>
  <c r="Y362" i="23"/>
  <c r="AC362" i="23" s="1"/>
  <c r="BZ361" i="23"/>
  <c r="BS361" i="23"/>
  <c r="BL361" i="23"/>
  <c r="BE361" i="23"/>
  <c r="AT361" i="23"/>
  <c r="AX361" i="23" s="1"/>
  <c r="AM361" i="23"/>
  <c r="AQ361" i="23" s="1"/>
  <c r="AF361" i="23"/>
  <c r="AJ361" i="23" s="1"/>
  <c r="Y361" i="23"/>
  <c r="AC361" i="23" s="1"/>
  <c r="BE335" i="23"/>
  <c r="BY341" i="23"/>
  <c r="BP351" i="23"/>
  <c r="BI351" i="23"/>
  <c r="BZ350" i="23"/>
  <c r="BS350" i="23"/>
  <c r="BL350" i="23"/>
  <c r="BE350" i="23"/>
  <c r="AT350" i="23"/>
  <c r="AM350" i="23"/>
  <c r="Y350" i="23"/>
  <c r="BZ349" i="23"/>
  <c r="BS349" i="23"/>
  <c r="BL349" i="23"/>
  <c r="BE349" i="23"/>
  <c r="AT349" i="23"/>
  <c r="AM349" i="23"/>
  <c r="Y349" i="23"/>
  <c r="BZ348" i="23"/>
  <c r="BS348" i="23"/>
  <c r="BL348" i="23"/>
  <c r="BE348" i="23"/>
  <c r="AT348" i="23"/>
  <c r="AM348" i="23"/>
  <c r="Y348" i="23"/>
  <c r="BZ347" i="23"/>
  <c r="BS347" i="23"/>
  <c r="BL347" i="23"/>
  <c r="BE347" i="23"/>
  <c r="AT347" i="23"/>
  <c r="AM347" i="23"/>
  <c r="Y347" i="23"/>
  <c r="BZ346" i="23"/>
  <c r="BS346" i="23"/>
  <c r="BL346" i="23"/>
  <c r="BE346" i="23"/>
  <c r="AT346" i="23"/>
  <c r="AM346" i="23"/>
  <c r="Y346" i="23"/>
  <c r="BZ345" i="23"/>
  <c r="BS345" i="23"/>
  <c r="BL345" i="23"/>
  <c r="BE345" i="23"/>
  <c r="AT345" i="23"/>
  <c r="AM345" i="23"/>
  <c r="Y345" i="23"/>
  <c r="BZ344" i="23"/>
  <c r="BS344" i="23"/>
  <c r="BL344" i="23"/>
  <c r="BE344" i="23"/>
  <c r="AT344" i="23"/>
  <c r="AM344" i="23"/>
  <c r="Y344" i="23"/>
  <c r="BZ343" i="23"/>
  <c r="BS343" i="23"/>
  <c r="BL343" i="23"/>
  <c r="BE343" i="23"/>
  <c r="AT343" i="23"/>
  <c r="AM343" i="23"/>
  <c r="Y343" i="23"/>
  <c r="BZ342" i="23"/>
  <c r="BS342" i="23"/>
  <c r="BL342" i="23"/>
  <c r="BE342" i="23"/>
  <c r="AT342" i="23"/>
  <c r="AM342" i="23"/>
  <c r="Y342" i="23"/>
  <c r="BZ341" i="23"/>
  <c r="BS341" i="23"/>
  <c r="BL341" i="23"/>
  <c r="BE341" i="23"/>
  <c r="AT341" i="23"/>
  <c r="AM341" i="23"/>
  <c r="AJ341" i="23"/>
  <c r="Y341" i="23"/>
  <c r="AC341" i="23" s="1"/>
  <c r="BZ340" i="23"/>
  <c r="BS340" i="23"/>
  <c r="BL340" i="23"/>
  <c r="BE340" i="23"/>
  <c r="AT340" i="23"/>
  <c r="AX340" i="23" s="1"/>
  <c r="AM340" i="23"/>
  <c r="AQ340" i="23" s="1"/>
  <c r="AJ340" i="23"/>
  <c r="Y340" i="23"/>
  <c r="AC340" i="23" s="1"/>
  <c r="BZ339" i="23"/>
  <c r="BS339" i="23"/>
  <c r="BL339" i="23"/>
  <c r="BE339" i="23"/>
  <c r="AT339" i="23"/>
  <c r="AX339" i="23" s="1"/>
  <c r="AM339" i="23"/>
  <c r="AQ339" i="23" s="1"/>
  <c r="AJ339" i="23"/>
  <c r="Y339" i="23"/>
  <c r="AC339" i="23" s="1"/>
  <c r="BZ338" i="23"/>
  <c r="BS338" i="23"/>
  <c r="BL338" i="23"/>
  <c r="BE338" i="23"/>
  <c r="AT338" i="23"/>
  <c r="AX338" i="23" s="1"/>
  <c r="AM338" i="23"/>
  <c r="AQ338" i="23" s="1"/>
  <c r="AJ338" i="23"/>
  <c r="Y338" i="23"/>
  <c r="AC338" i="23" s="1"/>
  <c r="BZ337" i="23"/>
  <c r="BS337" i="23"/>
  <c r="BL337" i="23"/>
  <c r="BE337" i="23"/>
  <c r="AT337" i="23"/>
  <c r="AX337" i="23" s="1"/>
  <c r="AM337" i="23"/>
  <c r="AQ337" i="23" s="1"/>
  <c r="AJ337" i="23"/>
  <c r="Y337" i="23"/>
  <c r="AC337" i="23" s="1"/>
  <c r="BZ336" i="23"/>
  <c r="BS336" i="23"/>
  <c r="BL336" i="23"/>
  <c r="BE336" i="23"/>
  <c r="AT336" i="23"/>
  <c r="AX336" i="23" s="1"/>
  <c r="AM336" i="23"/>
  <c r="AQ336" i="23" s="1"/>
  <c r="AJ336" i="23"/>
  <c r="Y336" i="23"/>
  <c r="AC336" i="23" s="1"/>
  <c r="BZ335" i="23"/>
  <c r="BS335" i="23"/>
  <c r="BL335" i="23"/>
  <c r="AT335" i="23"/>
  <c r="AX335" i="23" s="1"/>
  <c r="AM335" i="23"/>
  <c r="AQ335" i="23" s="1"/>
  <c r="AF335" i="23"/>
  <c r="AJ335" i="23" s="1"/>
  <c r="Y335" i="23"/>
  <c r="AC335" i="23" s="1"/>
  <c r="Z3" i="28"/>
  <c r="AQ389" i="23" l="1"/>
  <c r="AX367" i="23"/>
  <c r="BR335" i="23"/>
  <c r="BT335" i="23" s="1"/>
  <c r="BU335" i="23" s="1"/>
  <c r="BD451" i="23"/>
  <c r="BD443" i="23"/>
  <c r="BF443" i="23" s="1"/>
  <c r="BG443" i="23" s="1"/>
  <c r="BD450" i="23"/>
  <c r="BF450" i="23" s="1"/>
  <c r="BG450" i="23" s="1"/>
  <c r="BD442" i="23"/>
  <c r="BD449" i="23"/>
  <c r="BD441" i="23"/>
  <c r="BD448" i="23"/>
  <c r="BD440" i="23"/>
  <c r="BD447" i="23"/>
  <c r="BD439" i="23"/>
  <c r="BF439" i="23" s="1"/>
  <c r="BG439" i="23" s="1"/>
  <c r="BD453" i="23"/>
  <c r="BF453" i="23" s="1"/>
  <c r="BG453" i="23" s="1"/>
  <c r="BD445" i="23"/>
  <c r="BD452" i="23"/>
  <c r="BD444" i="23"/>
  <c r="BD454" i="23"/>
  <c r="BD446" i="23"/>
  <c r="BD426" i="23"/>
  <c r="BD418" i="23"/>
  <c r="BD425" i="23"/>
  <c r="BF425" i="23" s="1"/>
  <c r="BG425" i="23" s="1"/>
  <c r="BD417" i="23"/>
  <c r="BD424" i="23"/>
  <c r="BF424" i="23" s="1"/>
  <c r="BG424" i="23" s="1"/>
  <c r="BD416" i="23"/>
  <c r="BD423" i="23"/>
  <c r="BF423" i="23" s="1"/>
  <c r="BG423" i="23" s="1"/>
  <c r="BD415" i="23"/>
  <c r="BF415" i="23" s="1"/>
  <c r="BG415" i="23" s="1"/>
  <c r="BD414" i="23"/>
  <c r="BD422" i="23"/>
  <c r="BF422" i="23" s="1"/>
  <c r="BG422" i="23" s="1"/>
  <c r="BD419" i="23"/>
  <c r="BF419" i="23" s="1"/>
  <c r="BG419" i="23" s="1"/>
  <c r="BD413" i="23"/>
  <c r="BD421" i="23"/>
  <c r="BF421" i="23" s="1"/>
  <c r="BG421" i="23" s="1"/>
  <c r="BD428" i="23"/>
  <c r="BD420" i="23"/>
  <c r="BF420" i="23" s="1"/>
  <c r="BG420" i="23" s="1"/>
  <c r="BD427" i="23"/>
  <c r="BF427" i="23" s="1"/>
  <c r="BG427" i="23" s="1"/>
  <c r="BK335" i="23"/>
  <c r="BK451" i="23"/>
  <c r="BM451" i="23" s="1"/>
  <c r="BN451" i="23" s="1"/>
  <c r="BK443" i="23"/>
  <c r="BK450" i="23"/>
  <c r="BK442" i="23"/>
  <c r="BK449" i="23"/>
  <c r="BK441" i="23"/>
  <c r="BK448" i="23"/>
  <c r="BM448" i="23" s="1"/>
  <c r="BN448" i="23" s="1"/>
  <c r="BK440" i="23"/>
  <c r="BM440" i="23" s="1"/>
  <c r="BN440" i="23" s="1"/>
  <c r="BK447" i="23"/>
  <c r="BM447" i="23" s="1"/>
  <c r="BN447" i="23" s="1"/>
  <c r="BK439" i="23"/>
  <c r="BK453" i="23"/>
  <c r="BK445" i="23"/>
  <c r="BK452" i="23"/>
  <c r="BK444" i="23"/>
  <c r="BK454" i="23"/>
  <c r="BM454" i="23" s="1"/>
  <c r="BN454" i="23" s="1"/>
  <c r="BK446" i="23"/>
  <c r="BM446" i="23" s="1"/>
  <c r="BN446" i="23" s="1"/>
  <c r="BR451" i="23"/>
  <c r="BT451" i="23" s="1"/>
  <c r="BU451" i="23" s="1"/>
  <c r="BR443" i="23"/>
  <c r="BT443" i="23" s="1"/>
  <c r="BU443" i="23" s="1"/>
  <c r="BR450" i="23"/>
  <c r="BR442" i="23"/>
  <c r="BR449" i="23"/>
  <c r="BR441" i="23"/>
  <c r="BT441" i="23" s="1"/>
  <c r="BU441" i="23" s="1"/>
  <c r="BR448" i="23"/>
  <c r="BT448" i="23" s="1"/>
  <c r="BU448" i="23" s="1"/>
  <c r="BR440" i="23"/>
  <c r="BR447" i="23"/>
  <c r="BR439" i="23"/>
  <c r="BR453" i="23"/>
  <c r="BR445" i="23"/>
  <c r="BR452" i="23"/>
  <c r="BR444" i="23"/>
  <c r="BT444" i="23" s="1"/>
  <c r="BU444" i="23" s="1"/>
  <c r="BR446" i="23"/>
  <c r="BT446" i="23" s="1"/>
  <c r="BU446" i="23" s="1"/>
  <c r="BR454" i="23"/>
  <c r="BF426" i="23"/>
  <c r="BG426" i="23" s="1"/>
  <c r="BK424" i="23"/>
  <c r="BM424" i="23" s="1"/>
  <c r="BN424" i="23" s="1"/>
  <c r="BK416" i="23"/>
  <c r="BK423" i="23"/>
  <c r="BM423" i="23" s="1"/>
  <c r="BN423" i="23" s="1"/>
  <c r="BK415" i="23"/>
  <c r="BK422" i="23"/>
  <c r="BK414" i="23"/>
  <c r="BK421" i="23"/>
  <c r="BM421" i="23" s="1"/>
  <c r="BN421" i="23" s="1"/>
  <c r="BK413" i="23"/>
  <c r="BM413" i="23" s="1"/>
  <c r="BN413" i="23" s="1"/>
  <c r="BK417" i="23"/>
  <c r="BM417" i="23" s="1"/>
  <c r="BN417" i="23" s="1"/>
  <c r="BK425" i="23"/>
  <c r="BK420" i="23"/>
  <c r="BK428" i="23"/>
  <c r="BK419" i="23"/>
  <c r="BM419" i="23" s="1"/>
  <c r="BN419" i="23" s="1"/>
  <c r="BK426" i="23"/>
  <c r="BK427" i="23"/>
  <c r="BK418" i="23"/>
  <c r="BM418" i="23" s="1"/>
  <c r="BN418" i="23" s="1"/>
  <c r="BY452" i="23"/>
  <c r="BY444" i="23"/>
  <c r="BY451" i="23"/>
  <c r="BY443" i="23"/>
  <c r="CA443" i="23" s="1"/>
  <c r="CB443" i="23" s="1"/>
  <c r="BY450" i="23"/>
  <c r="BY442" i="23"/>
  <c r="CA442" i="23" s="1"/>
  <c r="CB442" i="23" s="1"/>
  <c r="BY449" i="23"/>
  <c r="BY441" i="23"/>
  <c r="CA441" i="23" s="1"/>
  <c r="CB441" i="23" s="1"/>
  <c r="BY448" i="23"/>
  <c r="CA448" i="23" s="1"/>
  <c r="CB448" i="23" s="1"/>
  <c r="BY440" i="23"/>
  <c r="BY454" i="23"/>
  <c r="BY446" i="23"/>
  <c r="BY453" i="23"/>
  <c r="BY445" i="23"/>
  <c r="CA445" i="23" s="1"/>
  <c r="CB445" i="23" s="1"/>
  <c r="BY447" i="23"/>
  <c r="BY439" i="23"/>
  <c r="BK345" i="23"/>
  <c r="BK337" i="23"/>
  <c r="BK346" i="23"/>
  <c r="BK344" i="23"/>
  <c r="BK336" i="23"/>
  <c r="BM336" i="23" s="1"/>
  <c r="BN336" i="23" s="1"/>
  <c r="BK343" i="23"/>
  <c r="BK350" i="23"/>
  <c r="BK342" i="23"/>
  <c r="BK349" i="23"/>
  <c r="BK341" i="23"/>
  <c r="BK348" i="23"/>
  <c r="BK340" i="23"/>
  <c r="BK347" i="23"/>
  <c r="BM347" i="23" s="1"/>
  <c r="BN347" i="23" s="1"/>
  <c r="BK339" i="23"/>
  <c r="BM339" i="23" s="1"/>
  <c r="BN339" i="23" s="1"/>
  <c r="BK338" i="23"/>
  <c r="BR425" i="23"/>
  <c r="BT425" i="23" s="1"/>
  <c r="BU425" i="23" s="1"/>
  <c r="BR417" i="23"/>
  <c r="BT417" i="23" s="1"/>
  <c r="BU417" i="23" s="1"/>
  <c r="BR424" i="23"/>
  <c r="BR416" i="23"/>
  <c r="BR423" i="23"/>
  <c r="BR415" i="23"/>
  <c r="BR422" i="23"/>
  <c r="BR414" i="23"/>
  <c r="BR421" i="23"/>
  <c r="BT421" i="23" s="1"/>
  <c r="BU421" i="23" s="1"/>
  <c r="BR413" i="23"/>
  <c r="BT413" i="23" s="1"/>
  <c r="BU413" i="23" s="1"/>
  <c r="BR427" i="23"/>
  <c r="BT427" i="23" s="1"/>
  <c r="BU427" i="23" s="1"/>
  <c r="BR419" i="23"/>
  <c r="BT419" i="23" s="1"/>
  <c r="BU419" i="23" s="1"/>
  <c r="BR426" i="23"/>
  <c r="BT426" i="23" s="1"/>
  <c r="BU426" i="23" s="1"/>
  <c r="BR418" i="23"/>
  <c r="BR428" i="23"/>
  <c r="BT428" i="23" s="1"/>
  <c r="BU428" i="23" s="1"/>
  <c r="BR420" i="23"/>
  <c r="BR346" i="23"/>
  <c r="BR345" i="23"/>
  <c r="BR344" i="23"/>
  <c r="BR343" i="23"/>
  <c r="BR350" i="23"/>
  <c r="BR342" i="23"/>
  <c r="BR348" i="23"/>
  <c r="BR340" i="23"/>
  <c r="BT340" i="23" s="1"/>
  <c r="BU340" i="23" s="1"/>
  <c r="BR347" i="23"/>
  <c r="BR337" i="23"/>
  <c r="BR336" i="23"/>
  <c r="BR349" i="23"/>
  <c r="BR341" i="23"/>
  <c r="BR339" i="23"/>
  <c r="BR338" i="23"/>
  <c r="BY428" i="23"/>
  <c r="BY413" i="23"/>
  <c r="CA413" i="23" s="1"/>
  <c r="CB413" i="23" s="1"/>
  <c r="BY425" i="23"/>
  <c r="BY417" i="23"/>
  <c r="BY424" i="23"/>
  <c r="BY416" i="23"/>
  <c r="BY423" i="23"/>
  <c r="BY415" i="23"/>
  <c r="BY422" i="23"/>
  <c r="BY414" i="23"/>
  <c r="CA414" i="23" s="1"/>
  <c r="CB414" i="23" s="1"/>
  <c r="BY421" i="23"/>
  <c r="BY427" i="23"/>
  <c r="BY419" i="23"/>
  <c r="CA419" i="23" s="1"/>
  <c r="CB419" i="23" s="1"/>
  <c r="BY426" i="23"/>
  <c r="BY418" i="23"/>
  <c r="BY420" i="23"/>
  <c r="AW502" i="23"/>
  <c r="AY502" i="23" s="1"/>
  <c r="BM416" i="23"/>
  <c r="BN416" i="23" s="1"/>
  <c r="BY499" i="23"/>
  <c r="CA499" i="23" s="1"/>
  <c r="CB499" i="23" s="1"/>
  <c r="BY491" i="23"/>
  <c r="CA491" i="23" s="1"/>
  <c r="CB491" i="23" s="1"/>
  <c r="BY506" i="23"/>
  <c r="CA506" i="23" s="1"/>
  <c r="CB506" i="23" s="1"/>
  <c r="BY505" i="23"/>
  <c r="CA505" i="23" s="1"/>
  <c r="CB505" i="23" s="1"/>
  <c r="BY497" i="23"/>
  <c r="CA497" i="23" s="1"/>
  <c r="CB497" i="23" s="1"/>
  <c r="BY504" i="23"/>
  <c r="CA504" i="23" s="1"/>
  <c r="CB504" i="23" s="1"/>
  <c r="BY496" i="23"/>
  <c r="CA496" i="23" s="1"/>
  <c r="CB496" i="23" s="1"/>
  <c r="BY503" i="23"/>
  <c r="CA503" i="23" s="1"/>
  <c r="CB503" i="23" s="1"/>
  <c r="BY495" i="23"/>
  <c r="BY502" i="23"/>
  <c r="CA502" i="23" s="1"/>
  <c r="CB502" i="23" s="1"/>
  <c r="BY494" i="23"/>
  <c r="CA494" i="23" s="1"/>
  <c r="CB494" i="23" s="1"/>
  <c r="BY501" i="23"/>
  <c r="CA501" i="23" s="1"/>
  <c r="CB501" i="23" s="1"/>
  <c r="BY493" i="23"/>
  <c r="BY500" i="23"/>
  <c r="CA500" i="23" s="1"/>
  <c r="CB500" i="23" s="1"/>
  <c r="BY492" i="23"/>
  <c r="CA492" i="23" s="1"/>
  <c r="CB492" i="23" s="1"/>
  <c r="BY498" i="23"/>
  <c r="CA498" i="23" s="1"/>
  <c r="CB498" i="23" s="1"/>
  <c r="BR500" i="23"/>
  <c r="BT500" i="23" s="1"/>
  <c r="BU500" i="23" s="1"/>
  <c r="BR492" i="23"/>
  <c r="BR499" i="23"/>
  <c r="BT499" i="23" s="1"/>
  <c r="BU499" i="23" s="1"/>
  <c r="BR491" i="23"/>
  <c r="BT491" i="23" s="1"/>
  <c r="BU491" i="23" s="1"/>
  <c r="BR506" i="23"/>
  <c r="BT506" i="23" s="1"/>
  <c r="BU506" i="23" s="1"/>
  <c r="BR498" i="23"/>
  <c r="BT498" i="23" s="1"/>
  <c r="BU498" i="23" s="1"/>
  <c r="BR505" i="23"/>
  <c r="BT505" i="23" s="1"/>
  <c r="BU505" i="23" s="1"/>
  <c r="BR497" i="23"/>
  <c r="BT497" i="23" s="1"/>
  <c r="BU497" i="23" s="1"/>
  <c r="BR504" i="23"/>
  <c r="BT504" i="23" s="1"/>
  <c r="BU504" i="23" s="1"/>
  <c r="BR496" i="23"/>
  <c r="BT496" i="23" s="1"/>
  <c r="BU496" i="23" s="1"/>
  <c r="BR503" i="23"/>
  <c r="BT503" i="23" s="1"/>
  <c r="BU503" i="23" s="1"/>
  <c r="BR495" i="23"/>
  <c r="BT495" i="23" s="1"/>
  <c r="BU495" i="23" s="1"/>
  <c r="BR502" i="23"/>
  <c r="BT502" i="23" s="1"/>
  <c r="BU502" i="23" s="1"/>
  <c r="BR494" i="23"/>
  <c r="BT494" i="23" s="1"/>
  <c r="BU494" i="23" s="1"/>
  <c r="BR501" i="23"/>
  <c r="BT501" i="23" s="1"/>
  <c r="BU501" i="23" s="1"/>
  <c r="BR493" i="23"/>
  <c r="BT493" i="23" s="1"/>
  <c r="BU493" i="23" s="1"/>
  <c r="BK500" i="23"/>
  <c r="BM500" i="23" s="1"/>
  <c r="BN500" i="23" s="1"/>
  <c r="BK492" i="23"/>
  <c r="BK499" i="23"/>
  <c r="BM499" i="23" s="1"/>
  <c r="BN499" i="23" s="1"/>
  <c r="BK491" i="23"/>
  <c r="BM491" i="23" s="1"/>
  <c r="BN491" i="23" s="1"/>
  <c r="BK506" i="23"/>
  <c r="BM506" i="23" s="1"/>
  <c r="BN506" i="23" s="1"/>
  <c r="BK498" i="23"/>
  <c r="BM498" i="23" s="1"/>
  <c r="BN498" i="23" s="1"/>
  <c r="BK505" i="23"/>
  <c r="BM505" i="23" s="1"/>
  <c r="BN505" i="23" s="1"/>
  <c r="BK497" i="23"/>
  <c r="BM497" i="23" s="1"/>
  <c r="BN497" i="23" s="1"/>
  <c r="BK504" i="23"/>
  <c r="BM504" i="23" s="1"/>
  <c r="BN504" i="23" s="1"/>
  <c r="BK496" i="23"/>
  <c r="BK503" i="23"/>
  <c r="BM503" i="23" s="1"/>
  <c r="BN503" i="23" s="1"/>
  <c r="BK495" i="23"/>
  <c r="BK502" i="23"/>
  <c r="BM502" i="23" s="1"/>
  <c r="BN502" i="23" s="1"/>
  <c r="BK494" i="23"/>
  <c r="BM494" i="23" s="1"/>
  <c r="BN494" i="23" s="1"/>
  <c r="BK501" i="23"/>
  <c r="BM501" i="23" s="1"/>
  <c r="BN501" i="23" s="1"/>
  <c r="BK493" i="23"/>
  <c r="BM493" i="23" s="1"/>
  <c r="BN493" i="23" s="1"/>
  <c r="BD500" i="23"/>
  <c r="BD492" i="23"/>
  <c r="BD499" i="23"/>
  <c r="BF499" i="23" s="1"/>
  <c r="BG499" i="23" s="1"/>
  <c r="BD491" i="23"/>
  <c r="BF491" i="23" s="1"/>
  <c r="BG491" i="23" s="1"/>
  <c r="BD506" i="23"/>
  <c r="BF506" i="23" s="1"/>
  <c r="BG506" i="23" s="1"/>
  <c r="BD498" i="23"/>
  <c r="BF498" i="23" s="1"/>
  <c r="BG498" i="23" s="1"/>
  <c r="BD505" i="23"/>
  <c r="BF505" i="23" s="1"/>
  <c r="BG505" i="23" s="1"/>
  <c r="BD497" i="23"/>
  <c r="BF497" i="23" s="1"/>
  <c r="BG497" i="23" s="1"/>
  <c r="BD504" i="23"/>
  <c r="BF504" i="23" s="1"/>
  <c r="BG504" i="23" s="1"/>
  <c r="BD496" i="23"/>
  <c r="BF496" i="23" s="1"/>
  <c r="BG496" i="23" s="1"/>
  <c r="BD503" i="23"/>
  <c r="BF503" i="23" s="1"/>
  <c r="BG503" i="23" s="1"/>
  <c r="BD495" i="23"/>
  <c r="BF495" i="23" s="1"/>
  <c r="BG495" i="23" s="1"/>
  <c r="BD502" i="23"/>
  <c r="BF502" i="23" s="1"/>
  <c r="BG502" i="23" s="1"/>
  <c r="BD494" i="23"/>
  <c r="BF494" i="23" s="1"/>
  <c r="BG494" i="23" s="1"/>
  <c r="BD501" i="23"/>
  <c r="BF501" i="23" s="1"/>
  <c r="BG501" i="23" s="1"/>
  <c r="BD493" i="23"/>
  <c r="BF493" i="23" s="1"/>
  <c r="BG493" i="23" s="1"/>
  <c r="BF500" i="23"/>
  <c r="BG500" i="23" s="1"/>
  <c r="BY473" i="23"/>
  <c r="CA473" i="23" s="1"/>
  <c r="CB473" i="23" s="1"/>
  <c r="BY465" i="23"/>
  <c r="CA465" i="23" s="1"/>
  <c r="BY480" i="23"/>
  <c r="CA480" i="23" s="1"/>
  <c r="CB480" i="23" s="1"/>
  <c r="BY472" i="23"/>
  <c r="CA472" i="23" s="1"/>
  <c r="CB472" i="23" s="1"/>
  <c r="BY479" i="23"/>
  <c r="CA479" i="23" s="1"/>
  <c r="CB479" i="23" s="1"/>
  <c r="BY471" i="23"/>
  <c r="CA471" i="23" s="1"/>
  <c r="CB471" i="23" s="1"/>
  <c r="BY478" i="23"/>
  <c r="CA478" i="23" s="1"/>
  <c r="CB478" i="23" s="1"/>
  <c r="BY470" i="23"/>
  <c r="CA470" i="23" s="1"/>
  <c r="CB470" i="23" s="1"/>
  <c r="BY477" i="23"/>
  <c r="CA477" i="23" s="1"/>
  <c r="CB477" i="23" s="1"/>
  <c r="BY469" i="23"/>
  <c r="BY476" i="23"/>
  <c r="CA476" i="23" s="1"/>
  <c r="CB476" i="23" s="1"/>
  <c r="BY468" i="23"/>
  <c r="CA468" i="23" s="1"/>
  <c r="CB468" i="23" s="1"/>
  <c r="BY475" i="23"/>
  <c r="CA475" i="23" s="1"/>
  <c r="CB475" i="23" s="1"/>
  <c r="BY467" i="23"/>
  <c r="CA467" i="23" s="1"/>
  <c r="CB467" i="23" s="1"/>
  <c r="BY474" i="23"/>
  <c r="CA474" i="23" s="1"/>
  <c r="CB474" i="23" s="1"/>
  <c r="BY466" i="23"/>
  <c r="CA466" i="23" s="1"/>
  <c r="CB466" i="23" s="1"/>
  <c r="BR474" i="23"/>
  <c r="BT474" i="23" s="1"/>
  <c r="BU474" i="23" s="1"/>
  <c r="BR466" i="23"/>
  <c r="BT466" i="23" s="1"/>
  <c r="BU466" i="23" s="1"/>
  <c r="BR473" i="23"/>
  <c r="BT473" i="23" s="1"/>
  <c r="BU473" i="23" s="1"/>
  <c r="BR465" i="23"/>
  <c r="BT465" i="23" s="1"/>
  <c r="BU465" i="23" s="1"/>
  <c r="BR480" i="23"/>
  <c r="BT480" i="23" s="1"/>
  <c r="BU480" i="23" s="1"/>
  <c r="BR472" i="23"/>
  <c r="BT472" i="23" s="1"/>
  <c r="BU472" i="23" s="1"/>
  <c r="BR479" i="23"/>
  <c r="BT479" i="23" s="1"/>
  <c r="BU479" i="23" s="1"/>
  <c r="BR471" i="23"/>
  <c r="BR478" i="23"/>
  <c r="BT478" i="23" s="1"/>
  <c r="BU478" i="23" s="1"/>
  <c r="BR470" i="23"/>
  <c r="BT470" i="23" s="1"/>
  <c r="BU470" i="23" s="1"/>
  <c r="BR477" i="23"/>
  <c r="BT477" i="23" s="1"/>
  <c r="BU477" i="23" s="1"/>
  <c r="BR469" i="23"/>
  <c r="BT469" i="23" s="1"/>
  <c r="BU469" i="23" s="1"/>
  <c r="BR476" i="23"/>
  <c r="BT476" i="23" s="1"/>
  <c r="BU476" i="23" s="1"/>
  <c r="BR468" i="23"/>
  <c r="BT468" i="23" s="1"/>
  <c r="BU468" i="23" s="1"/>
  <c r="BR475" i="23"/>
  <c r="BT475" i="23" s="1"/>
  <c r="BU475" i="23" s="1"/>
  <c r="BR467" i="23"/>
  <c r="BK474" i="23"/>
  <c r="BN474" i="23" s="1"/>
  <c r="BK466" i="23"/>
  <c r="BK473" i="23"/>
  <c r="BN473" i="23" s="1"/>
  <c r="BK465" i="23"/>
  <c r="BM465" i="23" s="1"/>
  <c r="BN465" i="23" s="1"/>
  <c r="BK480" i="23"/>
  <c r="BN480" i="23" s="1"/>
  <c r="BK472" i="23"/>
  <c r="BN472" i="23" s="1"/>
  <c r="BK467" i="23"/>
  <c r="BN467" i="23" s="1"/>
  <c r="BK479" i="23"/>
  <c r="BK471" i="23"/>
  <c r="BN471" i="23" s="1"/>
  <c r="BK478" i="23"/>
  <c r="BN478" i="23" s="1"/>
  <c r="BK470" i="23"/>
  <c r="BN470" i="23" s="1"/>
  <c r="BK475" i="23"/>
  <c r="BN475" i="23" s="1"/>
  <c r="BN477" i="23"/>
  <c r="BK469" i="23"/>
  <c r="BN469" i="23" s="1"/>
  <c r="BK476" i="23"/>
  <c r="BN476" i="23" s="1"/>
  <c r="BK468" i="23"/>
  <c r="BD474" i="23"/>
  <c r="BF474" i="23" s="1"/>
  <c r="BG474" i="23" s="1"/>
  <c r="BD466" i="23"/>
  <c r="BF466" i="23" s="1"/>
  <c r="BG466" i="23" s="1"/>
  <c r="BD473" i="23"/>
  <c r="BF473" i="23" s="1"/>
  <c r="BG473" i="23" s="1"/>
  <c r="BD465" i="23"/>
  <c r="BF465" i="23" s="1"/>
  <c r="BG465" i="23" s="1"/>
  <c r="BD480" i="23"/>
  <c r="BF480" i="23" s="1"/>
  <c r="BG480" i="23" s="1"/>
  <c r="BD472" i="23"/>
  <c r="BD475" i="23"/>
  <c r="BF475" i="23" s="1"/>
  <c r="BG475" i="23" s="1"/>
  <c r="BD479" i="23"/>
  <c r="BF479" i="23" s="1"/>
  <c r="BG479" i="23" s="1"/>
  <c r="BD471" i="23"/>
  <c r="BF471" i="23" s="1"/>
  <c r="BG471" i="23" s="1"/>
  <c r="BD478" i="23"/>
  <c r="BF478" i="23" s="1"/>
  <c r="BG478" i="23" s="1"/>
  <c r="BD470" i="23"/>
  <c r="BF470" i="23" s="1"/>
  <c r="BG470" i="23" s="1"/>
  <c r="BD477" i="23"/>
  <c r="BF477" i="23" s="1"/>
  <c r="BG477" i="23" s="1"/>
  <c r="BD469" i="23"/>
  <c r="BF469" i="23" s="1"/>
  <c r="BG469" i="23" s="1"/>
  <c r="BD467" i="23"/>
  <c r="BF467" i="23" s="1"/>
  <c r="BG467" i="23" s="1"/>
  <c r="BD476" i="23"/>
  <c r="BF476" i="23" s="1"/>
  <c r="BG476" i="23" s="1"/>
  <c r="BD468" i="23"/>
  <c r="BF468" i="23" s="1"/>
  <c r="BG468" i="23" s="1"/>
  <c r="BT420" i="23"/>
  <c r="BU420" i="23" s="1"/>
  <c r="BT416" i="23"/>
  <c r="BU416" i="23" s="1"/>
  <c r="BT423" i="23"/>
  <c r="BU423" i="23" s="1"/>
  <c r="BT424" i="23"/>
  <c r="BU424" i="23" s="1"/>
  <c r="BT422" i="23"/>
  <c r="BU422" i="23" s="1"/>
  <c r="BM422" i="23"/>
  <c r="BN422" i="23" s="1"/>
  <c r="BM420" i="23"/>
  <c r="BN420" i="23" s="1"/>
  <c r="BF428" i="23"/>
  <c r="BG428" i="23" s="1"/>
  <c r="CA400" i="23"/>
  <c r="CB400" i="23" s="1"/>
  <c r="CA402" i="23"/>
  <c r="CB402" i="23" s="1"/>
  <c r="CA389" i="23"/>
  <c r="CB389" i="23" s="1"/>
  <c r="CA391" i="23"/>
  <c r="CB391" i="23" s="1"/>
  <c r="CA393" i="23"/>
  <c r="CB393" i="23" s="1"/>
  <c r="CA395" i="23"/>
  <c r="CB395" i="23" s="1"/>
  <c r="CA397" i="23"/>
  <c r="CB397" i="23" s="1"/>
  <c r="CA399" i="23"/>
  <c r="CB399" i="23" s="1"/>
  <c r="CA401" i="23"/>
  <c r="CB401" i="23" s="1"/>
  <c r="BT401" i="23"/>
  <c r="BU401" i="23" s="1"/>
  <c r="BT387" i="23"/>
  <c r="BU387" i="23" s="1"/>
  <c r="BM391" i="23"/>
  <c r="BN391" i="23" s="1"/>
  <c r="BM393" i="23"/>
  <c r="BN393" i="23" s="1"/>
  <c r="BM395" i="23"/>
  <c r="BN395" i="23" s="1"/>
  <c r="BM397" i="23"/>
  <c r="BN397" i="23" s="1"/>
  <c r="BM399" i="23"/>
  <c r="BN399" i="23" s="1"/>
  <c r="BM401" i="23"/>
  <c r="BN401" i="23" s="1"/>
  <c r="BM387" i="23"/>
  <c r="BN387" i="23" s="1"/>
  <c r="BM390" i="23"/>
  <c r="BN390" i="23" s="1"/>
  <c r="BM392" i="23"/>
  <c r="BN392" i="23" s="1"/>
  <c r="BM394" i="23"/>
  <c r="BN394" i="23" s="1"/>
  <c r="BM396" i="23"/>
  <c r="BN396" i="23" s="1"/>
  <c r="BM398" i="23"/>
  <c r="BN398" i="23" s="1"/>
  <c r="BM400" i="23"/>
  <c r="BN400" i="23" s="1"/>
  <c r="BM402" i="23"/>
  <c r="BN402" i="23" s="1"/>
  <c r="BF388" i="23"/>
  <c r="BG388" i="23" s="1"/>
  <c r="CA366" i="23"/>
  <c r="CB366" i="23" s="1"/>
  <c r="CA374" i="23"/>
  <c r="CB374" i="23" s="1"/>
  <c r="CA372" i="23"/>
  <c r="CB372" i="23" s="1"/>
  <c r="CA364" i="23"/>
  <c r="CB364" i="23" s="1"/>
  <c r="BT376" i="23"/>
  <c r="BU376" i="23" s="1"/>
  <c r="BT373" i="23"/>
  <c r="BU373" i="23" s="1"/>
  <c r="BT364" i="23"/>
  <c r="BU364" i="23" s="1"/>
  <c r="BT366" i="23"/>
  <c r="BU366" i="23" s="1"/>
  <c r="BT375" i="23"/>
  <c r="BU375" i="23" s="1"/>
  <c r="BM371" i="23"/>
  <c r="BN371" i="23" s="1"/>
  <c r="BM367" i="23"/>
  <c r="BN367" i="23" s="1"/>
  <c r="BM363" i="23"/>
  <c r="BN363" i="23" s="1"/>
  <c r="CA371" i="23"/>
  <c r="CB371" i="23" s="1"/>
  <c r="CA376" i="23"/>
  <c r="CB376" i="23" s="1"/>
  <c r="CA363" i="23"/>
  <c r="CB363" i="23" s="1"/>
  <c r="BT361" i="23"/>
  <c r="BU361" i="23" s="1"/>
  <c r="BT363" i="23"/>
  <c r="BU363" i="23" s="1"/>
  <c r="BT371" i="23"/>
  <c r="BU371" i="23" s="1"/>
  <c r="BF362" i="23"/>
  <c r="BG362" i="23" s="1"/>
  <c r="CA367" i="23"/>
  <c r="CB367" i="23" s="1"/>
  <c r="BM340" i="23"/>
  <c r="BN340" i="23" s="1"/>
  <c r="BF349" i="23"/>
  <c r="BG349" i="23" s="1"/>
  <c r="BF341" i="23"/>
  <c r="BG341" i="23" s="1"/>
  <c r="BF374" i="23"/>
  <c r="BG374" i="23" s="1"/>
  <c r="BM366" i="23"/>
  <c r="BN366" i="23" s="1"/>
  <c r="BT374" i="23"/>
  <c r="BU374" i="23" s="1"/>
  <c r="BY347" i="23"/>
  <c r="CA347" i="23" s="1"/>
  <c r="CB347" i="23" s="1"/>
  <c r="BY339" i="23"/>
  <c r="CA339" i="23" s="1"/>
  <c r="CB339" i="23" s="1"/>
  <c r="BF361" i="23"/>
  <c r="BG361" i="23" s="1"/>
  <c r="CA388" i="23"/>
  <c r="CB388" i="23" s="1"/>
  <c r="CA387" i="23"/>
  <c r="CB387" i="23" s="1"/>
  <c r="AI472" i="23"/>
  <c r="AP493" i="23"/>
  <c r="AR493" i="23" s="1"/>
  <c r="BM375" i="23"/>
  <c r="BN375" i="23" s="1"/>
  <c r="BF373" i="23"/>
  <c r="BG373" i="23" s="1"/>
  <c r="BF365" i="23"/>
  <c r="BG365" i="23" s="1"/>
  <c r="BM365" i="23"/>
  <c r="BN365" i="23" s="1"/>
  <c r="BT365" i="23"/>
  <c r="BU365" i="23" s="1"/>
  <c r="CA373" i="23"/>
  <c r="CB373" i="23" s="1"/>
  <c r="CA365" i="23"/>
  <c r="CB365" i="23" s="1"/>
  <c r="BY346" i="23"/>
  <c r="BY338" i="23"/>
  <c r="BM389" i="23"/>
  <c r="BN389" i="23" s="1"/>
  <c r="BF391" i="23"/>
  <c r="BG391" i="23" s="1"/>
  <c r="BT392" i="23"/>
  <c r="BU392" i="23" s="1"/>
  <c r="BF393" i="23"/>
  <c r="BG393" i="23" s="1"/>
  <c r="BT394" i="23"/>
  <c r="BU394" i="23" s="1"/>
  <c r="BF395" i="23"/>
  <c r="BG395" i="23" s="1"/>
  <c r="BT396" i="23"/>
  <c r="BU396" i="23" s="1"/>
  <c r="BF397" i="23"/>
  <c r="BG397" i="23" s="1"/>
  <c r="BT398" i="23"/>
  <c r="BU398" i="23" s="1"/>
  <c r="BF399" i="23"/>
  <c r="BG399" i="23" s="1"/>
  <c r="BT400" i="23"/>
  <c r="BU400" i="23" s="1"/>
  <c r="BF401" i="23"/>
  <c r="BG401" i="23" s="1"/>
  <c r="BT402" i="23"/>
  <c r="BU402" i="23" s="1"/>
  <c r="CA416" i="23"/>
  <c r="CB416" i="23" s="1"/>
  <c r="BT467" i="23"/>
  <c r="BU467" i="23" s="1"/>
  <c r="BT471" i="23"/>
  <c r="BU471" i="23" s="1"/>
  <c r="BN479" i="23"/>
  <c r="BF417" i="23"/>
  <c r="BG417" i="23" s="1"/>
  <c r="BF346" i="23"/>
  <c r="BG346" i="23" s="1"/>
  <c r="BT344" i="23"/>
  <c r="BU344" i="23" s="1"/>
  <c r="BF367" i="23"/>
  <c r="BG367" i="23" s="1"/>
  <c r="CA375" i="23"/>
  <c r="CB375" i="23" s="1"/>
  <c r="BY344" i="23"/>
  <c r="CA344" i="23" s="1"/>
  <c r="CB344" i="23" s="1"/>
  <c r="BY336" i="23"/>
  <c r="BN466" i="23"/>
  <c r="BN468" i="23"/>
  <c r="CA469" i="23"/>
  <c r="CB469" i="23" s="1"/>
  <c r="BF472" i="23"/>
  <c r="BG472" i="23" s="1"/>
  <c r="AQ492" i="23"/>
  <c r="AR492" i="23" s="1"/>
  <c r="AQ495" i="23"/>
  <c r="BM496" i="23"/>
  <c r="BN496" i="23" s="1"/>
  <c r="BT343" i="23"/>
  <c r="BU343" i="23" s="1"/>
  <c r="BT370" i="23"/>
  <c r="BU370" i="23" s="1"/>
  <c r="BY343" i="23"/>
  <c r="BM388" i="23"/>
  <c r="BN388" i="23" s="1"/>
  <c r="AK494" i="23"/>
  <c r="BT350" i="23"/>
  <c r="BU350" i="23" s="1"/>
  <c r="BM369" i="23"/>
  <c r="BN369" i="23" s="1"/>
  <c r="CA361" i="23"/>
  <c r="CB361" i="23" s="1"/>
  <c r="BY350" i="23"/>
  <c r="BY342" i="23"/>
  <c r="CA342" i="23" s="1"/>
  <c r="CB342" i="23" s="1"/>
  <c r="BM335" i="23"/>
  <c r="BN335" i="23" s="1"/>
  <c r="BM364" i="23"/>
  <c r="BN364" i="23" s="1"/>
  <c r="BT367" i="23"/>
  <c r="BU367" i="23" s="1"/>
  <c r="BF376" i="23"/>
  <c r="BG376" i="23" s="1"/>
  <c r="BM368" i="23"/>
  <c r="BN368" i="23" s="1"/>
  <c r="BY349" i="23"/>
  <c r="CA349" i="23" s="1"/>
  <c r="CB349" i="23" s="1"/>
  <c r="BT388" i="23"/>
  <c r="BU388" i="23" s="1"/>
  <c r="BF413" i="23"/>
  <c r="BG413" i="23" s="1"/>
  <c r="BM439" i="23"/>
  <c r="BN439" i="23" s="1"/>
  <c r="BT440" i="23"/>
  <c r="BU440" i="23" s="1"/>
  <c r="BT442" i="23"/>
  <c r="BU442" i="23" s="1"/>
  <c r="BF492" i="23"/>
  <c r="BG492" i="23" s="1"/>
  <c r="CA439" i="23"/>
  <c r="CB439" i="23" s="1"/>
  <c r="CA440" i="23"/>
  <c r="CB440" i="23" s="1"/>
  <c r="CA444" i="23"/>
  <c r="CB444" i="23" s="1"/>
  <c r="CA446" i="23"/>
  <c r="CB446" i="23" s="1"/>
  <c r="CA447" i="23"/>
  <c r="CB447" i="23" s="1"/>
  <c r="CA449" i="23"/>
  <c r="CB449" i="23" s="1"/>
  <c r="CA450" i="23"/>
  <c r="CB450" i="23" s="1"/>
  <c r="CA451" i="23"/>
  <c r="CB451" i="23" s="1"/>
  <c r="CA452" i="23"/>
  <c r="CB452" i="23" s="1"/>
  <c r="CA453" i="23"/>
  <c r="CB453" i="23" s="1"/>
  <c r="CA454" i="23"/>
  <c r="CB454" i="23" s="1"/>
  <c r="BT445" i="23"/>
  <c r="BU445" i="23" s="1"/>
  <c r="BT447" i="23"/>
  <c r="BU447" i="23" s="1"/>
  <c r="BT449" i="23"/>
  <c r="BU449" i="23" s="1"/>
  <c r="BT450" i="23"/>
  <c r="BU450" i="23" s="1"/>
  <c r="BT452" i="23"/>
  <c r="BU452" i="23" s="1"/>
  <c r="BT453" i="23"/>
  <c r="BU453" i="23" s="1"/>
  <c r="BT454" i="23"/>
  <c r="BU454" i="23" s="1"/>
  <c r="BT439" i="23"/>
  <c r="BU439" i="23" s="1"/>
  <c r="BM441" i="23"/>
  <c r="BN441" i="23" s="1"/>
  <c r="BM442" i="23"/>
  <c r="BN442" i="23" s="1"/>
  <c r="BM443" i="23"/>
  <c r="BN443" i="23" s="1"/>
  <c r="BM444" i="23"/>
  <c r="BN444" i="23" s="1"/>
  <c r="BM445" i="23"/>
  <c r="BN445" i="23" s="1"/>
  <c r="BM449" i="23"/>
  <c r="BN449" i="23" s="1"/>
  <c r="BM450" i="23"/>
  <c r="BN450" i="23" s="1"/>
  <c r="BM452" i="23"/>
  <c r="BN452" i="23" s="1"/>
  <c r="BM453" i="23"/>
  <c r="BN453" i="23" s="1"/>
  <c r="BF444" i="23"/>
  <c r="BG444" i="23" s="1"/>
  <c r="BF445" i="23"/>
  <c r="BG445" i="23" s="1"/>
  <c r="BF446" i="23"/>
  <c r="BG446" i="23" s="1"/>
  <c r="BF447" i="23"/>
  <c r="BG447" i="23" s="1"/>
  <c r="BF448" i="23"/>
  <c r="BG448" i="23" s="1"/>
  <c r="BF449" i="23"/>
  <c r="BG449" i="23" s="1"/>
  <c r="BF451" i="23"/>
  <c r="BG451" i="23" s="1"/>
  <c r="BF452" i="23"/>
  <c r="BG452" i="23" s="1"/>
  <c r="BF454" i="23"/>
  <c r="BG454" i="23" s="1"/>
  <c r="BF440" i="23"/>
  <c r="BG440" i="23" s="1"/>
  <c r="BF441" i="23"/>
  <c r="BG441" i="23" s="1"/>
  <c r="BF442" i="23"/>
  <c r="BG442" i="23" s="1"/>
  <c r="AI502" i="23"/>
  <c r="AC502" i="23"/>
  <c r="AD502" i="23" s="1"/>
  <c r="AW501" i="23"/>
  <c r="AY501" i="23" s="1"/>
  <c r="AI501" i="23"/>
  <c r="AK501" i="23" s="1"/>
  <c r="AC501" i="23"/>
  <c r="AD501" i="23" s="1"/>
  <c r="AW500" i="23"/>
  <c r="AY500" i="23" s="1"/>
  <c r="AI500" i="23"/>
  <c r="AC500" i="23"/>
  <c r="AX499" i="23"/>
  <c r="AY499" i="23" s="1"/>
  <c r="AI499" i="23"/>
  <c r="AK499" i="23" s="1"/>
  <c r="AC499" i="23"/>
  <c r="AD499" i="23" s="1"/>
  <c r="AW498" i="23"/>
  <c r="AY498" i="23" s="1"/>
  <c r="AI498" i="23"/>
  <c r="AK498" i="23" s="1"/>
  <c r="AC498" i="23"/>
  <c r="AD498" i="23" s="1"/>
  <c r="AW497" i="23"/>
  <c r="AY497" i="23" s="1"/>
  <c r="AI497" i="23"/>
  <c r="AK497" i="23" s="1"/>
  <c r="AW496" i="23"/>
  <c r="AY496" i="23" s="1"/>
  <c r="AP496" i="23"/>
  <c r="AR496" i="23" s="1"/>
  <c r="AJ496" i="23"/>
  <c r="AK496" i="23" s="1"/>
  <c r="AB496" i="23"/>
  <c r="AD496" i="23" s="1"/>
  <c r="AW495" i="23"/>
  <c r="AY495" i="23" s="1"/>
  <c r="CA495" i="23"/>
  <c r="CB495" i="23" s="1"/>
  <c r="AR495" i="23"/>
  <c r="AI495" i="23"/>
  <c r="AK495" i="23" s="1"/>
  <c r="BM495" i="23"/>
  <c r="BN495" i="23" s="1"/>
  <c r="AC495" i="23"/>
  <c r="AD495" i="23" s="1"/>
  <c r="AW494" i="23"/>
  <c r="AY494" i="23" s="1"/>
  <c r="AP494" i="23"/>
  <c r="AR494" i="23" s="1"/>
  <c r="AC494" i="23"/>
  <c r="AD494" i="23" s="1"/>
  <c r="AW493" i="23"/>
  <c r="AY493" i="23" s="1"/>
  <c r="CA493" i="23"/>
  <c r="CB493" i="23" s="1"/>
  <c r="AI493" i="23"/>
  <c r="AK493" i="23" s="1"/>
  <c r="AC493" i="23"/>
  <c r="AD493" i="23" s="1"/>
  <c r="AW492" i="23"/>
  <c r="AY492" i="23" s="1"/>
  <c r="BT492" i="23"/>
  <c r="BU492" i="23" s="1"/>
  <c r="AI492" i="23"/>
  <c r="AK492" i="23" s="1"/>
  <c r="BM492" i="23"/>
  <c r="BN492" i="23" s="1"/>
  <c r="AB492" i="23"/>
  <c r="AD492" i="23" s="1"/>
  <c r="AX491" i="23"/>
  <c r="AY491" i="23" s="1"/>
  <c r="AP491" i="23"/>
  <c r="AR491" i="23" s="1"/>
  <c r="AJ491" i="23"/>
  <c r="AK491" i="23" s="1"/>
  <c r="AB491" i="23"/>
  <c r="AD491" i="23" s="1"/>
  <c r="AQ479" i="23"/>
  <c r="AR479" i="23" s="1"/>
  <c r="AJ479" i="23"/>
  <c r="AK479" i="23" s="1"/>
  <c r="AC479" i="23"/>
  <c r="AD479" i="23" s="1"/>
  <c r="AX478" i="23"/>
  <c r="AY478" i="23" s="1"/>
  <c r="AQ478" i="23"/>
  <c r="AR478" i="23" s="1"/>
  <c r="AJ478" i="23"/>
  <c r="AK478" i="23" s="1"/>
  <c r="AX477" i="23"/>
  <c r="AY477" i="23" s="1"/>
  <c r="AJ477" i="23"/>
  <c r="AK477" i="23" s="1"/>
  <c r="AX476" i="23"/>
  <c r="AY476" i="23" s="1"/>
  <c r="AJ476" i="23"/>
  <c r="AK476" i="23" s="1"/>
  <c r="AX475" i="23"/>
  <c r="AY475" i="23" s="1"/>
  <c r="AJ475" i="23"/>
  <c r="AK475" i="23" s="1"/>
  <c r="AJ474" i="23"/>
  <c r="AJ473" i="23"/>
  <c r="AP472" i="23"/>
  <c r="AR472" i="23" s="1"/>
  <c r="AP471" i="23"/>
  <c r="AR471" i="23" s="1"/>
  <c r="AI471" i="23"/>
  <c r="CB465" i="23"/>
  <c r="AP499" i="23"/>
  <c r="AQ499" i="23"/>
  <c r="AP498" i="23"/>
  <c r="AQ498" i="23"/>
  <c r="AD500" i="23"/>
  <c r="AD497" i="23"/>
  <c r="AP497" i="23"/>
  <c r="AQ497" i="23"/>
  <c r="AK500" i="23"/>
  <c r="AQ500" i="23"/>
  <c r="AR500" i="23" s="1"/>
  <c r="AQ501" i="23"/>
  <c r="AR501" i="23" s="1"/>
  <c r="AK502" i="23"/>
  <c r="AQ502" i="23"/>
  <c r="AR502" i="23" s="1"/>
  <c r="AB503" i="23"/>
  <c r="AD503" i="23" s="1"/>
  <c r="AP503" i="23"/>
  <c r="AR503" i="23" s="1"/>
  <c r="AB504" i="23"/>
  <c r="AD504" i="23" s="1"/>
  <c r="AP504" i="23"/>
  <c r="AR504" i="23" s="1"/>
  <c r="AB505" i="23"/>
  <c r="AD505" i="23" s="1"/>
  <c r="AP505" i="23"/>
  <c r="AR505" i="23" s="1"/>
  <c r="AB506" i="23"/>
  <c r="AD506" i="23" s="1"/>
  <c r="AP506" i="23"/>
  <c r="AR506" i="23" s="1"/>
  <c r="AI503" i="23"/>
  <c r="AK503" i="23" s="1"/>
  <c r="AW503" i="23"/>
  <c r="AY503" i="23" s="1"/>
  <c r="AI504" i="23"/>
  <c r="AK504" i="23" s="1"/>
  <c r="AW504" i="23"/>
  <c r="AY504" i="23" s="1"/>
  <c r="AI505" i="23"/>
  <c r="AK505" i="23" s="1"/>
  <c r="AW505" i="23"/>
  <c r="AY505" i="23" s="1"/>
  <c r="AI506" i="23"/>
  <c r="AK506" i="23" s="1"/>
  <c r="AW506" i="23"/>
  <c r="AY506" i="23" s="1"/>
  <c r="AJ465" i="23"/>
  <c r="AK465" i="23" s="1"/>
  <c r="AX465" i="23"/>
  <c r="AY465" i="23" s="1"/>
  <c r="AC466" i="23"/>
  <c r="AD466" i="23" s="1"/>
  <c r="AQ466" i="23"/>
  <c r="AR466" i="23" s="1"/>
  <c r="AC467" i="23"/>
  <c r="AD467" i="23" s="1"/>
  <c r="AQ467" i="23"/>
  <c r="AR467" i="23" s="1"/>
  <c r="AC468" i="23"/>
  <c r="AD468" i="23" s="1"/>
  <c r="AQ468" i="23"/>
  <c r="AR468" i="23" s="1"/>
  <c r="AC469" i="23"/>
  <c r="AD469" i="23" s="1"/>
  <c r="AQ469" i="23"/>
  <c r="AR469" i="23" s="1"/>
  <c r="AC470" i="23"/>
  <c r="AD470" i="23" s="1"/>
  <c r="AQ470" i="23"/>
  <c r="AR470" i="23" s="1"/>
  <c r="AX471" i="23"/>
  <c r="AY471" i="23" s="1"/>
  <c r="AC465" i="23"/>
  <c r="AD465" i="23" s="1"/>
  <c r="AQ465" i="23"/>
  <c r="AR465" i="23" s="1"/>
  <c r="AJ466" i="23"/>
  <c r="AK466" i="23" s="1"/>
  <c r="AX466" i="23"/>
  <c r="AY466" i="23" s="1"/>
  <c r="AJ467" i="23"/>
  <c r="AK467" i="23" s="1"/>
  <c r="AX467" i="23"/>
  <c r="AY467" i="23" s="1"/>
  <c r="AJ468" i="23"/>
  <c r="AK468" i="23" s="1"/>
  <c r="AX468" i="23"/>
  <c r="AY468" i="23" s="1"/>
  <c r="AJ469" i="23"/>
  <c r="AK469" i="23" s="1"/>
  <c r="AX469" i="23"/>
  <c r="AY469" i="23" s="1"/>
  <c r="AJ470" i="23"/>
  <c r="AK470" i="23" s="1"/>
  <c r="AX470" i="23"/>
  <c r="AY470" i="23" s="1"/>
  <c r="AX472" i="23"/>
  <c r="AY472" i="23" s="1"/>
  <c r="AX473" i="23"/>
  <c r="AY473" i="23" s="1"/>
  <c r="AX474" i="23"/>
  <c r="AY474" i="23" s="1"/>
  <c r="AC480" i="23"/>
  <c r="AK471" i="23"/>
  <c r="AK472" i="23"/>
  <c r="AJ480" i="23"/>
  <c r="AI480" i="23"/>
  <c r="AC473" i="23"/>
  <c r="AD473" i="23" s="1"/>
  <c r="AC474" i="23"/>
  <c r="AD474" i="23" s="1"/>
  <c r="AQ475" i="23"/>
  <c r="AR475" i="23" s="1"/>
  <c r="AC476" i="23"/>
  <c r="AD476" i="23" s="1"/>
  <c r="AC477" i="23"/>
  <c r="AD477" i="23" s="1"/>
  <c r="AC478" i="23"/>
  <c r="AD478" i="23" s="1"/>
  <c r="AQ480" i="23"/>
  <c r="AP480" i="23"/>
  <c r="AR480" i="23" s="1"/>
  <c r="AD471" i="23"/>
  <c r="AD472" i="23"/>
  <c r="AQ473" i="23"/>
  <c r="AR473" i="23" s="1"/>
  <c r="AQ474" i="23"/>
  <c r="AR474" i="23" s="1"/>
  <c r="AC475" i="23"/>
  <c r="AD475" i="23" s="1"/>
  <c r="AQ476" i="23"/>
  <c r="AR476" i="23" s="1"/>
  <c r="AQ477" i="23"/>
  <c r="AR477" i="23" s="1"/>
  <c r="AK473" i="23"/>
  <c r="AK474" i="23"/>
  <c r="AX479" i="23"/>
  <c r="AW479" i="23"/>
  <c r="AX480" i="23"/>
  <c r="AW480" i="23"/>
  <c r="AX443" i="23"/>
  <c r="AY443" i="23" s="1"/>
  <c r="AX442" i="23"/>
  <c r="AY442" i="23" s="1"/>
  <c r="AX440" i="23"/>
  <c r="AY440" i="23" s="1"/>
  <c r="AQ443" i="23"/>
  <c r="AR443" i="23" s="1"/>
  <c r="AQ444" i="23"/>
  <c r="AR444" i="23" s="1"/>
  <c r="AQ442" i="23"/>
  <c r="AR442" i="23" s="1"/>
  <c r="AQ440" i="23"/>
  <c r="AR440" i="23" s="1"/>
  <c r="AJ444" i="23"/>
  <c r="AK444" i="23" s="1"/>
  <c r="AJ443" i="23"/>
  <c r="AK443" i="23" s="1"/>
  <c r="AJ441" i="23"/>
  <c r="AK441" i="23" s="1"/>
  <c r="AJ439" i="23"/>
  <c r="AK439" i="23" s="1"/>
  <c r="AC444" i="23"/>
  <c r="AC443" i="23"/>
  <c r="AD443" i="23" s="1"/>
  <c r="AC441" i="23"/>
  <c r="AD441" i="23" s="1"/>
  <c r="AC439" i="23"/>
  <c r="AD439" i="23" s="1"/>
  <c r="AQ439" i="23"/>
  <c r="AR439" i="23" s="1"/>
  <c r="AJ440" i="23"/>
  <c r="AK440" i="23" s="1"/>
  <c r="AQ441" i="23"/>
  <c r="AR441" i="23" s="1"/>
  <c r="AC442" i="23"/>
  <c r="AD442" i="23" s="1"/>
  <c r="AD444" i="23"/>
  <c r="AX439" i="23"/>
  <c r="AY439" i="23" s="1"/>
  <c r="AC440" i="23"/>
  <c r="AD440" i="23" s="1"/>
  <c r="AX441" i="23"/>
  <c r="AY441" i="23" s="1"/>
  <c r="AJ442" i="23"/>
  <c r="AK442" i="23" s="1"/>
  <c r="AC445" i="23"/>
  <c r="AB445" i="23"/>
  <c r="AC446" i="23"/>
  <c r="AB446" i="23"/>
  <c r="AC447" i="23"/>
  <c r="AB447" i="23"/>
  <c r="AC448" i="23"/>
  <c r="AB448" i="23"/>
  <c r="AC449" i="23"/>
  <c r="AB449" i="23"/>
  <c r="AC450" i="23"/>
  <c r="AB450" i="23"/>
  <c r="AC451" i="23"/>
  <c r="AB451" i="23"/>
  <c r="AC452" i="23"/>
  <c r="AB452" i="23"/>
  <c r="AC453" i="23"/>
  <c r="AB453" i="23"/>
  <c r="AC454" i="23"/>
  <c r="AB454" i="23"/>
  <c r="AQ445" i="23"/>
  <c r="AP445" i="23"/>
  <c r="AQ446" i="23"/>
  <c r="AP446" i="23"/>
  <c r="AQ447" i="23"/>
  <c r="AP447" i="23"/>
  <c r="AQ448" i="23"/>
  <c r="AP448" i="23"/>
  <c r="AQ449" i="23"/>
  <c r="AP449" i="23"/>
  <c r="AQ450" i="23"/>
  <c r="AP450" i="23"/>
  <c r="AQ451" i="23"/>
  <c r="AP451" i="23"/>
  <c r="AQ452" i="23"/>
  <c r="AP452" i="23"/>
  <c r="AQ453" i="23"/>
  <c r="AP453" i="23"/>
  <c r="AQ454" i="23"/>
  <c r="AP454" i="23"/>
  <c r="AW444" i="23"/>
  <c r="AY444" i="23" s="1"/>
  <c r="AI445" i="23"/>
  <c r="AK445" i="23" s="1"/>
  <c r="AW445" i="23"/>
  <c r="AY445" i="23" s="1"/>
  <c r="AI446" i="23"/>
  <c r="AK446" i="23" s="1"/>
  <c r="AW446" i="23"/>
  <c r="AY446" i="23" s="1"/>
  <c r="AI447" i="23"/>
  <c r="AK447" i="23" s="1"/>
  <c r="AW447" i="23"/>
  <c r="AY447" i="23" s="1"/>
  <c r="AI448" i="23"/>
  <c r="AK448" i="23" s="1"/>
  <c r="AW448" i="23"/>
  <c r="AY448" i="23" s="1"/>
  <c r="AI449" i="23"/>
  <c r="AK449" i="23" s="1"/>
  <c r="AW449" i="23"/>
  <c r="AY449" i="23" s="1"/>
  <c r="AI450" i="23"/>
  <c r="AK450" i="23" s="1"/>
  <c r="AW450" i="23"/>
  <c r="AY450" i="23" s="1"/>
  <c r="AI451" i="23"/>
  <c r="AK451" i="23" s="1"/>
  <c r="AW451" i="23"/>
  <c r="AY451" i="23" s="1"/>
  <c r="AI452" i="23"/>
  <c r="AK452" i="23" s="1"/>
  <c r="AW452" i="23"/>
  <c r="AY452" i="23" s="1"/>
  <c r="AI453" i="23"/>
  <c r="AK453" i="23" s="1"/>
  <c r="AW453" i="23"/>
  <c r="AY453" i="23" s="1"/>
  <c r="AI454" i="23"/>
  <c r="AK454" i="23" s="1"/>
  <c r="AW454" i="23"/>
  <c r="AY454" i="23" s="1"/>
  <c r="BT415" i="23"/>
  <c r="BU415" i="23" s="1"/>
  <c r="CA418" i="23"/>
  <c r="CB418" i="23" s="1"/>
  <c r="BT414" i="23"/>
  <c r="BU414" i="23" s="1"/>
  <c r="BM415" i="23"/>
  <c r="BN415" i="23" s="1"/>
  <c r="BM414" i="23"/>
  <c r="BN414" i="23" s="1"/>
  <c r="AX413" i="23"/>
  <c r="AY413" i="23" s="1"/>
  <c r="AQ413" i="23"/>
  <c r="AR413" i="23" s="1"/>
  <c r="AJ413" i="23"/>
  <c r="AK413" i="23" s="1"/>
  <c r="CA417" i="23"/>
  <c r="CB417" i="23" s="1"/>
  <c r="CA420" i="23"/>
  <c r="CB420" i="23" s="1"/>
  <c r="CA421" i="23"/>
  <c r="CB421" i="23" s="1"/>
  <c r="CA422" i="23"/>
  <c r="CB422" i="23" s="1"/>
  <c r="CA423" i="23"/>
  <c r="CB423" i="23" s="1"/>
  <c r="CA424" i="23"/>
  <c r="CB424" i="23" s="1"/>
  <c r="CA425" i="23"/>
  <c r="CB425" i="23" s="1"/>
  <c r="CA426" i="23"/>
  <c r="CB426" i="23" s="1"/>
  <c r="CA427" i="23"/>
  <c r="CB427" i="23" s="1"/>
  <c r="CA415" i="23"/>
  <c r="CB415" i="23" s="1"/>
  <c r="BT418" i="23"/>
  <c r="BU418" i="23" s="1"/>
  <c r="BM425" i="23"/>
  <c r="BN425" i="23" s="1"/>
  <c r="BM426" i="23"/>
  <c r="BN426" i="23" s="1"/>
  <c r="BM427" i="23"/>
  <c r="BN427" i="23" s="1"/>
  <c r="BF414" i="23"/>
  <c r="BG414" i="23" s="1"/>
  <c r="BF416" i="23"/>
  <c r="BG416" i="23" s="1"/>
  <c r="AD413" i="23"/>
  <c r="AC414" i="23"/>
  <c r="AD414" i="23" s="1"/>
  <c r="AQ414" i="23"/>
  <c r="AR414" i="23" s="1"/>
  <c r="AC415" i="23"/>
  <c r="AD415" i="23" s="1"/>
  <c r="AQ415" i="23"/>
  <c r="AC416" i="23"/>
  <c r="AD416" i="23" s="1"/>
  <c r="AQ416" i="23"/>
  <c r="AR416" i="23" s="1"/>
  <c r="AC417" i="23"/>
  <c r="AD417" i="23" s="1"/>
  <c r="AQ417" i="23"/>
  <c r="AR417" i="23" s="1"/>
  <c r="AC418" i="23"/>
  <c r="AD418" i="23" s="1"/>
  <c r="AQ418" i="23"/>
  <c r="AR418" i="23" s="1"/>
  <c r="BF418" i="23"/>
  <c r="BG418" i="23" s="1"/>
  <c r="AR415" i="23"/>
  <c r="AB419" i="23"/>
  <c r="AD419" i="23" s="1"/>
  <c r="AP419" i="23"/>
  <c r="AR419" i="23" s="1"/>
  <c r="AJ414" i="23"/>
  <c r="AK414" i="23" s="1"/>
  <c r="AX414" i="23"/>
  <c r="AY414" i="23" s="1"/>
  <c r="AJ415" i="23"/>
  <c r="AK415" i="23" s="1"/>
  <c r="AX415" i="23"/>
  <c r="AY415" i="23" s="1"/>
  <c r="AJ416" i="23"/>
  <c r="AK416" i="23" s="1"/>
  <c r="AX416" i="23"/>
  <c r="AY416" i="23" s="1"/>
  <c r="AJ417" i="23"/>
  <c r="AK417" i="23" s="1"/>
  <c r="AX417" i="23"/>
  <c r="AY417" i="23" s="1"/>
  <c r="AJ418" i="23"/>
  <c r="AK418" i="23" s="1"/>
  <c r="AX418" i="23"/>
  <c r="AY418" i="23" s="1"/>
  <c r="AI419" i="23"/>
  <c r="AK419" i="23" s="1"/>
  <c r="AB420" i="23"/>
  <c r="AD420" i="23" s="1"/>
  <c r="AP420" i="23"/>
  <c r="AR420" i="23" s="1"/>
  <c r="AB421" i="23"/>
  <c r="AD421" i="23" s="1"/>
  <c r="AP421" i="23"/>
  <c r="AR421" i="23" s="1"/>
  <c r="AB422" i="23"/>
  <c r="AD422" i="23" s="1"/>
  <c r="AP422" i="23"/>
  <c r="AR422" i="23" s="1"/>
  <c r="AB423" i="23"/>
  <c r="AD423" i="23" s="1"/>
  <c r="AP423" i="23"/>
  <c r="AR423" i="23" s="1"/>
  <c r="AB424" i="23"/>
  <c r="AD424" i="23" s="1"/>
  <c r="AP424" i="23"/>
  <c r="AR424" i="23" s="1"/>
  <c r="AB425" i="23"/>
  <c r="AD425" i="23" s="1"/>
  <c r="AP425" i="23"/>
  <c r="AR425" i="23" s="1"/>
  <c r="AB426" i="23"/>
  <c r="AD426" i="23" s="1"/>
  <c r="AP426" i="23"/>
  <c r="AR426" i="23" s="1"/>
  <c r="AB427" i="23"/>
  <c r="AD427" i="23" s="1"/>
  <c r="AP427" i="23"/>
  <c r="AR427" i="23" s="1"/>
  <c r="AB428" i="23"/>
  <c r="AD428" i="23" s="1"/>
  <c r="AP428" i="23"/>
  <c r="AR428" i="23" s="1"/>
  <c r="BM428" i="23"/>
  <c r="BN428" i="23" s="1"/>
  <c r="CA428" i="23"/>
  <c r="CB428" i="23" s="1"/>
  <c r="AW419" i="23"/>
  <c r="AY419" i="23" s="1"/>
  <c r="AI420" i="23"/>
  <c r="AK420" i="23" s="1"/>
  <c r="AW420" i="23"/>
  <c r="AY420" i="23" s="1"/>
  <c r="AI421" i="23"/>
  <c r="AK421" i="23" s="1"/>
  <c r="AW421" i="23"/>
  <c r="AY421" i="23" s="1"/>
  <c r="AI422" i="23"/>
  <c r="AK422" i="23" s="1"/>
  <c r="AW422" i="23"/>
  <c r="AY422" i="23" s="1"/>
  <c r="AI423" i="23"/>
  <c r="AK423" i="23" s="1"/>
  <c r="AW423" i="23"/>
  <c r="AY423" i="23" s="1"/>
  <c r="AI424" i="23"/>
  <c r="AK424" i="23" s="1"/>
  <c r="AW424" i="23"/>
  <c r="AY424" i="23" s="1"/>
  <c r="AI425" i="23"/>
  <c r="AK425" i="23" s="1"/>
  <c r="AW425" i="23"/>
  <c r="AY425" i="23" s="1"/>
  <c r="AI426" i="23"/>
  <c r="AK426" i="23" s="1"/>
  <c r="AW426" i="23"/>
  <c r="AY426" i="23" s="1"/>
  <c r="AI427" i="23"/>
  <c r="AK427" i="23" s="1"/>
  <c r="AW427" i="23"/>
  <c r="AY427" i="23" s="1"/>
  <c r="AI428" i="23"/>
  <c r="AK428" i="23" s="1"/>
  <c r="AW428" i="23"/>
  <c r="AY428" i="23" s="1"/>
  <c r="AQ388" i="23"/>
  <c r="AR388" i="23" s="1"/>
  <c r="AQ392" i="23"/>
  <c r="AR392" i="23" s="1"/>
  <c r="AJ392" i="23"/>
  <c r="AK392" i="23" s="1"/>
  <c r="AC392" i="23"/>
  <c r="AX391" i="23"/>
  <c r="AY391" i="23" s="1"/>
  <c r="AQ391" i="23"/>
  <c r="AR391" i="23" s="1"/>
  <c r="AJ391" i="23"/>
  <c r="AC391" i="23"/>
  <c r="AX390" i="23"/>
  <c r="AY390" i="23" s="1"/>
  <c r="AQ390" i="23"/>
  <c r="AR390" i="23" s="1"/>
  <c r="AJ390" i="23"/>
  <c r="AK390" i="23" s="1"/>
  <c r="AC390" i="23"/>
  <c r="AD390" i="23" s="1"/>
  <c r="AX389" i="23"/>
  <c r="AY389" i="23" s="1"/>
  <c r="AJ389" i="23"/>
  <c r="AK389" i="23" s="1"/>
  <c r="AC389" i="23"/>
  <c r="AD389" i="23" s="1"/>
  <c r="AX388" i="23"/>
  <c r="AY388" i="23" s="1"/>
  <c r="AJ388" i="23"/>
  <c r="AK388" i="23" s="1"/>
  <c r="AC388" i="23"/>
  <c r="AD388" i="23" s="1"/>
  <c r="BF387" i="23"/>
  <c r="BG387" i="23" s="1"/>
  <c r="AC387" i="23"/>
  <c r="AD387" i="23" s="1"/>
  <c r="AQ387" i="23"/>
  <c r="AR387" i="23" s="1"/>
  <c r="AR389" i="23"/>
  <c r="AD391" i="23"/>
  <c r="AD392" i="23"/>
  <c r="AJ387" i="23"/>
  <c r="AK387" i="23" s="1"/>
  <c r="AX387" i="23"/>
  <c r="AY387" i="23" s="1"/>
  <c r="AK391" i="23"/>
  <c r="AC394" i="23"/>
  <c r="AB394" i="23"/>
  <c r="AC395" i="23"/>
  <c r="AB395" i="23"/>
  <c r="AC397" i="23"/>
  <c r="AB397" i="23"/>
  <c r="AC398" i="23"/>
  <c r="AB398" i="23"/>
  <c r="AC399" i="23"/>
  <c r="AB399" i="23"/>
  <c r="AC400" i="23"/>
  <c r="AB400" i="23"/>
  <c r="AC401" i="23"/>
  <c r="AB401" i="23"/>
  <c r="AC402" i="23"/>
  <c r="AB402" i="23"/>
  <c r="AB393" i="23"/>
  <c r="AD393" i="23" s="1"/>
  <c r="AP393" i="23"/>
  <c r="AR393" i="23" s="1"/>
  <c r="AJ394" i="23"/>
  <c r="AI394" i="23"/>
  <c r="AJ395" i="23"/>
  <c r="AI395" i="23"/>
  <c r="AJ396" i="23"/>
  <c r="AI396" i="23"/>
  <c r="AJ397" i="23"/>
  <c r="AI397" i="23"/>
  <c r="AJ398" i="23"/>
  <c r="AI398" i="23"/>
  <c r="AJ399" i="23"/>
  <c r="AI399" i="23"/>
  <c r="AJ400" i="23"/>
  <c r="AI400" i="23"/>
  <c r="AJ401" i="23"/>
  <c r="AI401" i="23"/>
  <c r="AJ402" i="23"/>
  <c r="AI402" i="23"/>
  <c r="AQ394" i="23"/>
  <c r="AP394" i="23"/>
  <c r="AQ395" i="23"/>
  <c r="AP395" i="23"/>
  <c r="AQ396" i="23"/>
  <c r="AP396" i="23"/>
  <c r="AQ397" i="23"/>
  <c r="AP397" i="23"/>
  <c r="AQ398" i="23"/>
  <c r="AP398" i="23"/>
  <c r="AQ399" i="23"/>
  <c r="AP399" i="23"/>
  <c r="AQ400" i="23"/>
  <c r="AP400" i="23"/>
  <c r="AQ401" i="23"/>
  <c r="AP401" i="23"/>
  <c r="AQ402" i="23"/>
  <c r="AP402" i="23"/>
  <c r="AC396" i="23"/>
  <c r="AB396" i="23"/>
  <c r="AW392" i="23"/>
  <c r="AY392" i="23" s="1"/>
  <c r="AI393" i="23"/>
  <c r="AK393" i="23" s="1"/>
  <c r="AW393" i="23"/>
  <c r="AY393" i="23" s="1"/>
  <c r="AX394" i="23"/>
  <c r="AW394" i="23"/>
  <c r="AX395" i="23"/>
  <c r="AW395" i="23"/>
  <c r="AX396" i="23"/>
  <c r="AW396" i="23"/>
  <c r="AX397" i="23"/>
  <c r="AW397" i="23"/>
  <c r="AX398" i="23"/>
  <c r="AW398" i="23"/>
  <c r="AX399" i="23"/>
  <c r="AW399" i="23"/>
  <c r="AX400" i="23"/>
  <c r="AW400" i="23"/>
  <c r="AX401" i="23"/>
  <c r="AW401" i="23"/>
  <c r="AX402" i="23"/>
  <c r="AW402" i="23"/>
  <c r="BM376" i="23"/>
  <c r="BN376" i="23" s="1"/>
  <c r="BM372" i="23"/>
  <c r="BN372" i="23" s="1"/>
  <c r="BF372" i="23"/>
  <c r="BG372" i="23" s="1"/>
  <c r="BF371" i="23"/>
  <c r="BG371" i="23" s="1"/>
  <c r="CA370" i="23"/>
  <c r="CB370" i="23" s="1"/>
  <c r="BM370" i="23"/>
  <c r="BN370" i="23" s="1"/>
  <c r="BF370" i="23"/>
  <c r="BG370" i="23" s="1"/>
  <c r="CA368" i="23"/>
  <c r="CB368" i="23" s="1"/>
  <c r="BT368" i="23"/>
  <c r="BU368" i="23" s="1"/>
  <c r="AC368" i="23"/>
  <c r="AQ367" i="23"/>
  <c r="AR367" i="23" s="1"/>
  <c r="AJ367" i="23"/>
  <c r="AK367" i="23" s="1"/>
  <c r="AC367" i="23"/>
  <c r="BF366" i="23"/>
  <c r="BG366" i="23" s="1"/>
  <c r="CA362" i="23"/>
  <c r="CB362" i="23" s="1"/>
  <c r="BT362" i="23"/>
  <c r="BU362" i="23" s="1"/>
  <c r="BM362" i="23"/>
  <c r="BN362" i="23" s="1"/>
  <c r="CA369" i="23"/>
  <c r="CB369" i="23" s="1"/>
  <c r="BT369" i="23"/>
  <c r="BU369" i="23" s="1"/>
  <c r="BM361" i="23"/>
  <c r="BN361" i="23" s="1"/>
  <c r="BM373" i="23"/>
  <c r="BN373" i="23" s="1"/>
  <c r="BF368" i="23"/>
  <c r="BG368" i="23" s="1"/>
  <c r="BF364" i="23"/>
  <c r="BG364" i="23" s="1"/>
  <c r="AC369" i="23"/>
  <c r="AB369" i="23"/>
  <c r="AC371" i="23"/>
  <c r="AB371" i="23"/>
  <c r="AC372" i="23"/>
  <c r="AB372" i="23"/>
  <c r="AC373" i="23"/>
  <c r="AB373" i="23"/>
  <c r="AC374" i="23"/>
  <c r="AB374" i="23"/>
  <c r="AC375" i="23"/>
  <c r="AB375" i="23"/>
  <c r="AD375" i="23" s="1"/>
  <c r="AC376" i="23"/>
  <c r="AB376" i="23"/>
  <c r="AB361" i="23"/>
  <c r="AD361" i="23" s="1"/>
  <c r="AI361" i="23"/>
  <c r="AK361" i="23" s="1"/>
  <c r="AP361" i="23"/>
  <c r="AR361" i="23" s="1"/>
  <c r="AW361" i="23"/>
  <c r="AY361" i="23" s="1"/>
  <c r="AB362" i="23"/>
  <c r="AD362" i="23" s="1"/>
  <c r="AI362" i="23"/>
  <c r="AK362" i="23" s="1"/>
  <c r="AP362" i="23"/>
  <c r="AR362" i="23" s="1"/>
  <c r="AW362" i="23"/>
  <c r="AY362" i="23" s="1"/>
  <c r="AB363" i="23"/>
  <c r="AD363" i="23" s="1"/>
  <c r="AI363" i="23"/>
  <c r="AK363" i="23" s="1"/>
  <c r="AP363" i="23"/>
  <c r="AR363" i="23" s="1"/>
  <c r="AW363" i="23"/>
  <c r="AY363" i="23" s="1"/>
  <c r="AB364" i="23"/>
  <c r="AD364" i="23" s="1"/>
  <c r="AI364" i="23"/>
  <c r="AK364" i="23" s="1"/>
  <c r="AP364" i="23"/>
  <c r="AR364" i="23" s="1"/>
  <c r="AW364" i="23"/>
  <c r="AY364" i="23" s="1"/>
  <c r="AB365" i="23"/>
  <c r="AD365" i="23" s="1"/>
  <c r="AI365" i="23"/>
  <c r="AK365" i="23" s="1"/>
  <c r="AP365" i="23"/>
  <c r="AR365" i="23" s="1"/>
  <c r="AW365" i="23"/>
  <c r="AY365" i="23" s="1"/>
  <c r="AB366" i="23"/>
  <c r="AD366" i="23" s="1"/>
  <c r="AI366" i="23"/>
  <c r="AK366" i="23" s="1"/>
  <c r="AP366" i="23"/>
  <c r="AR366" i="23" s="1"/>
  <c r="AW366" i="23"/>
  <c r="AY366" i="23" s="1"/>
  <c r="AY367" i="23"/>
  <c r="AJ368" i="23"/>
  <c r="AI368" i="23"/>
  <c r="AJ369" i="23"/>
  <c r="AI369" i="23"/>
  <c r="AJ370" i="23"/>
  <c r="AI370" i="23"/>
  <c r="AJ371" i="23"/>
  <c r="AI371" i="23"/>
  <c r="AJ372" i="23"/>
  <c r="AI372" i="23"/>
  <c r="AJ373" i="23"/>
  <c r="AI373" i="23"/>
  <c r="AJ374" i="23"/>
  <c r="AI374" i="23"/>
  <c r="AJ375" i="23"/>
  <c r="AI375" i="23"/>
  <c r="AJ376" i="23"/>
  <c r="AI376" i="23"/>
  <c r="AC370" i="23"/>
  <c r="AB370" i="23"/>
  <c r="AQ368" i="23"/>
  <c r="AP368" i="23"/>
  <c r="AQ369" i="23"/>
  <c r="AP369" i="23"/>
  <c r="AQ370" i="23"/>
  <c r="AP370" i="23"/>
  <c r="AQ371" i="23"/>
  <c r="AP371" i="23"/>
  <c r="AQ372" i="23"/>
  <c r="AP372" i="23"/>
  <c r="AQ373" i="23"/>
  <c r="AP373" i="23"/>
  <c r="AQ374" i="23"/>
  <c r="AP374" i="23"/>
  <c r="AQ375" i="23"/>
  <c r="AP375" i="23"/>
  <c r="AQ376" i="23"/>
  <c r="AP376" i="23"/>
  <c r="AD367" i="23"/>
  <c r="AD368" i="23"/>
  <c r="AX368" i="23"/>
  <c r="AW368" i="23"/>
  <c r="AX369" i="23"/>
  <c r="AW369" i="23"/>
  <c r="AX370" i="23"/>
  <c r="AW370" i="23"/>
  <c r="AX371" i="23"/>
  <c r="AW371" i="23"/>
  <c r="AX372" i="23"/>
  <c r="AW372" i="23"/>
  <c r="AX373" i="23"/>
  <c r="AW373" i="23"/>
  <c r="AX374" i="23"/>
  <c r="AW374" i="23"/>
  <c r="AX375" i="23"/>
  <c r="AW375" i="23"/>
  <c r="AX376" i="23"/>
  <c r="AW376" i="23"/>
  <c r="BF340" i="23"/>
  <c r="BG340" i="23" s="1"/>
  <c r="CA335" i="23"/>
  <c r="CB335" i="23" s="1"/>
  <c r="CA336" i="23"/>
  <c r="CB336" i="23" s="1"/>
  <c r="CA337" i="23"/>
  <c r="CB337" i="23" s="1"/>
  <c r="CA338" i="23"/>
  <c r="CB338" i="23" s="1"/>
  <c r="CA340" i="23"/>
  <c r="CB340" i="23" s="1"/>
  <c r="CA341" i="23"/>
  <c r="CB341" i="23" s="1"/>
  <c r="CA343" i="23"/>
  <c r="CB343" i="23" s="1"/>
  <c r="CA345" i="23"/>
  <c r="CB345" i="23" s="1"/>
  <c r="CA346" i="23"/>
  <c r="CB346" i="23" s="1"/>
  <c r="CA348" i="23"/>
  <c r="CB348" i="23" s="1"/>
  <c r="CA350" i="23"/>
  <c r="CB350" i="23" s="1"/>
  <c r="BT336" i="23"/>
  <c r="BU336" i="23" s="1"/>
  <c r="BT337" i="23"/>
  <c r="BU337" i="23" s="1"/>
  <c r="BT338" i="23"/>
  <c r="BU338" i="23" s="1"/>
  <c r="BT339" i="23"/>
  <c r="BU339" i="23" s="1"/>
  <c r="BT341" i="23"/>
  <c r="BU341" i="23" s="1"/>
  <c r="BT342" i="23"/>
  <c r="BU342" i="23" s="1"/>
  <c r="BT345" i="23"/>
  <c r="BU345" i="23" s="1"/>
  <c r="BT346" i="23"/>
  <c r="BU346" i="23" s="1"/>
  <c r="BT347" i="23"/>
  <c r="BU347" i="23" s="1"/>
  <c r="BT348" i="23"/>
  <c r="BU348" i="23" s="1"/>
  <c r="BT349" i="23"/>
  <c r="BU349" i="23" s="1"/>
  <c r="BM341" i="23"/>
  <c r="BN341" i="23" s="1"/>
  <c r="BM342" i="23"/>
  <c r="BN342" i="23" s="1"/>
  <c r="BM343" i="23"/>
  <c r="BN343" i="23" s="1"/>
  <c r="BM344" i="23"/>
  <c r="BN344" i="23" s="1"/>
  <c r="BM345" i="23"/>
  <c r="BN345" i="23" s="1"/>
  <c r="BM346" i="23"/>
  <c r="BN346" i="23" s="1"/>
  <c r="BM348" i="23"/>
  <c r="BN348" i="23" s="1"/>
  <c r="BM349" i="23"/>
  <c r="BN349" i="23" s="1"/>
  <c r="BM350" i="23"/>
  <c r="BN350" i="23" s="1"/>
  <c r="BM337" i="23"/>
  <c r="BN337" i="23" s="1"/>
  <c r="BM338" i="23"/>
  <c r="BN338" i="23" s="1"/>
  <c r="BF342" i="23"/>
  <c r="BG342" i="23" s="1"/>
  <c r="BF343" i="23"/>
  <c r="BG343" i="23" s="1"/>
  <c r="BF344" i="23"/>
  <c r="BG344" i="23" s="1"/>
  <c r="BF345" i="23"/>
  <c r="BG345" i="23" s="1"/>
  <c r="BF347" i="23"/>
  <c r="BG347" i="23" s="1"/>
  <c r="BF348" i="23"/>
  <c r="BG348" i="23" s="1"/>
  <c r="BF350" i="23"/>
  <c r="BG350" i="23" s="1"/>
  <c r="BF335" i="23"/>
  <c r="BG335" i="23" s="1"/>
  <c r="BF336" i="23"/>
  <c r="BG336" i="23" s="1"/>
  <c r="BF337" i="23"/>
  <c r="BG337" i="23" s="1"/>
  <c r="BF338" i="23"/>
  <c r="BG338" i="23" s="1"/>
  <c r="BF339" i="23"/>
  <c r="BG339" i="23" s="1"/>
  <c r="AC346" i="23"/>
  <c r="AB346" i="23"/>
  <c r="AC348" i="23"/>
  <c r="AB348" i="23"/>
  <c r="AC349" i="23"/>
  <c r="AB349" i="23"/>
  <c r="AC350" i="23"/>
  <c r="AB350" i="23"/>
  <c r="AB335" i="23"/>
  <c r="AD335" i="23" s="1"/>
  <c r="AI335" i="23"/>
  <c r="AK335" i="23" s="1"/>
  <c r="AP335" i="23"/>
  <c r="AR335" i="23" s="1"/>
  <c r="AW335" i="23"/>
  <c r="AY335" i="23" s="1"/>
  <c r="AB336" i="23"/>
  <c r="AD336" i="23" s="1"/>
  <c r="AI336" i="23"/>
  <c r="AK336" i="23" s="1"/>
  <c r="AP336" i="23"/>
  <c r="AR336" i="23" s="1"/>
  <c r="AW336" i="23"/>
  <c r="AY336" i="23" s="1"/>
  <c r="AB337" i="23"/>
  <c r="AD337" i="23" s="1"/>
  <c r="AI337" i="23"/>
  <c r="AK337" i="23" s="1"/>
  <c r="AP337" i="23"/>
  <c r="AR337" i="23" s="1"/>
  <c r="AW337" i="23"/>
  <c r="AY337" i="23" s="1"/>
  <c r="AB338" i="23"/>
  <c r="AD338" i="23" s="1"/>
  <c r="AI338" i="23"/>
  <c r="AK338" i="23" s="1"/>
  <c r="AP338" i="23"/>
  <c r="AR338" i="23" s="1"/>
  <c r="AW338" i="23"/>
  <c r="AY338" i="23" s="1"/>
  <c r="AB339" i="23"/>
  <c r="AD339" i="23" s="1"/>
  <c r="AI339" i="23"/>
  <c r="AK339" i="23" s="1"/>
  <c r="AP339" i="23"/>
  <c r="AR339" i="23" s="1"/>
  <c r="AW339" i="23"/>
  <c r="AY339" i="23" s="1"/>
  <c r="AB340" i="23"/>
  <c r="AD340" i="23" s="1"/>
  <c r="AI340" i="23"/>
  <c r="AK340" i="23" s="1"/>
  <c r="AP340" i="23"/>
  <c r="AR340" i="23" s="1"/>
  <c r="AW340" i="23"/>
  <c r="AY340" i="23" s="1"/>
  <c r="AI341" i="23"/>
  <c r="AK341" i="23" s="1"/>
  <c r="AJ342" i="23"/>
  <c r="AI342" i="23"/>
  <c r="AJ343" i="23"/>
  <c r="AI343" i="23"/>
  <c r="AJ344" i="23"/>
  <c r="AI344" i="23"/>
  <c r="AJ345" i="23"/>
  <c r="AI345" i="23"/>
  <c r="AJ346" i="23"/>
  <c r="AI346" i="23"/>
  <c r="AJ347" i="23"/>
  <c r="AI347" i="23"/>
  <c r="AJ348" i="23"/>
  <c r="AI348" i="23"/>
  <c r="AJ349" i="23"/>
  <c r="AI349" i="23"/>
  <c r="AJ350" i="23"/>
  <c r="AI350" i="23"/>
  <c r="AC343" i="23"/>
  <c r="AB343" i="23"/>
  <c r="AC344" i="23"/>
  <c r="AB344" i="23"/>
  <c r="AC345" i="23"/>
  <c r="AB345" i="23"/>
  <c r="AQ343" i="23"/>
  <c r="AP343" i="23"/>
  <c r="AQ344" i="23"/>
  <c r="AP344" i="23"/>
  <c r="AQ345" i="23"/>
  <c r="AP345" i="23"/>
  <c r="AQ346" i="23"/>
  <c r="AP346" i="23"/>
  <c r="AQ347" i="23"/>
  <c r="AP347" i="23"/>
  <c r="AQ348" i="23"/>
  <c r="AP348" i="23"/>
  <c r="AQ349" i="23"/>
  <c r="AP349" i="23"/>
  <c r="AQ350" i="23"/>
  <c r="AP350" i="23"/>
  <c r="AC342" i="23"/>
  <c r="AB342" i="23"/>
  <c r="AC347" i="23"/>
  <c r="AB347" i="23"/>
  <c r="AQ341" i="23"/>
  <c r="AP341" i="23"/>
  <c r="AQ342" i="23"/>
  <c r="AP342" i="23"/>
  <c r="AB341" i="23"/>
  <c r="AD341" i="23" s="1"/>
  <c r="AX341" i="23"/>
  <c r="AW341" i="23"/>
  <c r="AX342" i="23"/>
  <c r="AW342" i="23"/>
  <c r="AX343" i="23"/>
  <c r="AW343" i="23"/>
  <c r="AX344" i="23"/>
  <c r="AW344" i="23"/>
  <c r="AX345" i="23"/>
  <c r="AW345" i="23"/>
  <c r="AX346" i="23"/>
  <c r="AW346" i="23"/>
  <c r="AX347" i="23"/>
  <c r="AW347" i="23"/>
  <c r="AX348" i="23"/>
  <c r="AW348" i="23"/>
  <c r="AX349" i="23"/>
  <c r="AW349" i="23"/>
  <c r="AX350" i="23"/>
  <c r="AW350" i="23"/>
  <c r="Z4" i="28"/>
  <c r="AA4" i="28"/>
  <c r="AB4" i="28"/>
  <c r="AC4" i="28"/>
  <c r="AD4" i="28"/>
  <c r="AE4" i="28"/>
  <c r="AF4" i="28"/>
  <c r="AG4" i="28"/>
  <c r="AH4" i="28"/>
  <c r="AI4" i="28"/>
  <c r="AJ4" i="28"/>
  <c r="Z5" i="28"/>
  <c r="AA5" i="28"/>
  <c r="AB5" i="28"/>
  <c r="AC5" i="28"/>
  <c r="AD5" i="28"/>
  <c r="AE5" i="28"/>
  <c r="AF5" i="28"/>
  <c r="AG5" i="28"/>
  <c r="AH5" i="28"/>
  <c r="AI5" i="28"/>
  <c r="AJ5" i="28"/>
  <c r="Z6" i="28"/>
  <c r="AA6" i="28"/>
  <c r="AB6" i="28"/>
  <c r="AC6" i="28"/>
  <c r="AD6" i="28"/>
  <c r="AE6" i="28"/>
  <c r="AF6" i="28"/>
  <c r="AG6" i="28"/>
  <c r="AH6" i="28"/>
  <c r="AI6" i="28"/>
  <c r="AJ6" i="28"/>
  <c r="Z7" i="28"/>
  <c r="AA7" i="28"/>
  <c r="AB7" i="28"/>
  <c r="AC7" i="28"/>
  <c r="AD7" i="28"/>
  <c r="AE7" i="28"/>
  <c r="AF7" i="28"/>
  <c r="AG7" i="28"/>
  <c r="AH7" i="28"/>
  <c r="AI7" i="28"/>
  <c r="AJ7" i="28"/>
  <c r="Z8" i="28"/>
  <c r="AA8" i="28"/>
  <c r="AB8" i="28"/>
  <c r="AC8" i="28"/>
  <c r="AD8" i="28"/>
  <c r="AE8" i="28"/>
  <c r="AF8" i="28"/>
  <c r="AG8" i="28"/>
  <c r="AH8" i="28"/>
  <c r="AI8" i="28"/>
  <c r="AJ8" i="28"/>
  <c r="Z9" i="28"/>
  <c r="AA9" i="28"/>
  <c r="AB9" i="28"/>
  <c r="AC9" i="28"/>
  <c r="AD9" i="28"/>
  <c r="AE9" i="28"/>
  <c r="AF9" i="28"/>
  <c r="AG9" i="28"/>
  <c r="AH9" i="28"/>
  <c r="AI9" i="28"/>
  <c r="AJ9" i="28"/>
  <c r="Z10" i="28"/>
  <c r="AA10" i="28"/>
  <c r="AB10" i="28"/>
  <c r="AC10" i="28"/>
  <c r="AD10" i="28"/>
  <c r="AE10" i="28"/>
  <c r="AF10" i="28"/>
  <c r="AG10" i="28"/>
  <c r="AH10" i="28"/>
  <c r="AI10" i="28"/>
  <c r="AJ10" i="28"/>
  <c r="Z11" i="28"/>
  <c r="AA11" i="28"/>
  <c r="AB11" i="28"/>
  <c r="AC11" i="28"/>
  <c r="AD11" i="28"/>
  <c r="AE11" i="28"/>
  <c r="AF11" i="28"/>
  <c r="AG11" i="28"/>
  <c r="AH11" i="28"/>
  <c r="AI11" i="28"/>
  <c r="AJ11" i="28"/>
  <c r="Z12" i="28"/>
  <c r="AA12" i="28"/>
  <c r="AB12" i="28"/>
  <c r="AC12" i="28"/>
  <c r="AD12" i="28"/>
  <c r="AE12" i="28"/>
  <c r="AF12" i="28"/>
  <c r="AG12" i="28"/>
  <c r="AH12" i="28"/>
  <c r="AI12" i="28"/>
  <c r="AJ12" i="28"/>
  <c r="Z13" i="28"/>
  <c r="AA13" i="28"/>
  <c r="AB13" i="28"/>
  <c r="AC13" i="28"/>
  <c r="AD13" i="28"/>
  <c r="AE13" i="28"/>
  <c r="AF13" i="28"/>
  <c r="AG13" i="28"/>
  <c r="AH13" i="28"/>
  <c r="AI13" i="28"/>
  <c r="AJ13" i="28"/>
  <c r="Z14" i="28"/>
  <c r="AA14" i="28"/>
  <c r="AB14" i="28"/>
  <c r="AC14" i="28"/>
  <c r="AD14" i="28"/>
  <c r="AE14" i="28"/>
  <c r="AF14" i="28"/>
  <c r="AG14" i="28"/>
  <c r="AH14" i="28"/>
  <c r="AI14" i="28"/>
  <c r="AJ14" i="28"/>
  <c r="Z15" i="28"/>
  <c r="AA15" i="28"/>
  <c r="AB15" i="28"/>
  <c r="AC15" i="28"/>
  <c r="AD15" i="28"/>
  <c r="AE15" i="28"/>
  <c r="AF15" i="28"/>
  <c r="AG15" i="28"/>
  <c r="AH15" i="28"/>
  <c r="AI15" i="28"/>
  <c r="AJ15" i="28"/>
  <c r="Z16" i="28"/>
  <c r="AA16" i="28"/>
  <c r="AB16" i="28"/>
  <c r="AC16" i="28"/>
  <c r="AD16" i="28"/>
  <c r="AE16" i="28"/>
  <c r="AF16" i="28"/>
  <c r="AG16" i="28"/>
  <c r="AH16" i="28"/>
  <c r="AI16" i="28"/>
  <c r="AJ16" i="28"/>
  <c r="AA3" i="28"/>
  <c r="AB3" i="28"/>
  <c r="AC3" i="28"/>
  <c r="AD3" i="28"/>
  <c r="AE3" i="28"/>
  <c r="AF3" i="28"/>
  <c r="AG3" i="28"/>
  <c r="AH3" i="28"/>
  <c r="AI3" i="28"/>
  <c r="AJ3" i="28"/>
  <c r="Y6" i="26"/>
  <c r="Y7" i="26"/>
  <c r="Z7" i="26"/>
  <c r="AA7" i="26"/>
  <c r="AB7" i="26"/>
  <c r="AC7" i="26"/>
  <c r="AD7" i="26"/>
  <c r="AE7" i="26"/>
  <c r="AF7" i="26"/>
  <c r="AG7" i="26"/>
  <c r="AH7" i="26"/>
  <c r="AI7" i="26"/>
  <c r="Y8" i="26"/>
  <c r="Z8" i="26"/>
  <c r="AA8" i="26"/>
  <c r="AB8" i="26"/>
  <c r="AC8" i="26"/>
  <c r="AD8" i="26"/>
  <c r="AE8" i="26"/>
  <c r="AF8" i="26"/>
  <c r="AG8" i="26"/>
  <c r="AH8" i="26"/>
  <c r="AI8" i="26"/>
  <c r="Y9" i="26"/>
  <c r="Z9" i="26"/>
  <c r="AA9" i="26"/>
  <c r="AB9" i="26"/>
  <c r="AC9" i="26"/>
  <c r="AD9" i="26"/>
  <c r="AE9" i="26"/>
  <c r="AF9" i="26"/>
  <c r="AG9" i="26"/>
  <c r="AH9" i="26"/>
  <c r="AI9" i="26"/>
  <c r="Y10" i="26"/>
  <c r="Z10" i="26"/>
  <c r="AA10" i="26"/>
  <c r="AB10" i="26"/>
  <c r="AC10" i="26"/>
  <c r="AD10" i="26"/>
  <c r="AE10" i="26"/>
  <c r="AF10" i="26"/>
  <c r="AG10" i="26"/>
  <c r="AH10" i="26"/>
  <c r="AI10" i="26"/>
  <c r="Y11" i="26"/>
  <c r="Z11" i="26"/>
  <c r="AA11" i="26"/>
  <c r="AB11" i="26"/>
  <c r="AC11" i="26"/>
  <c r="AD11" i="26"/>
  <c r="AE11" i="26"/>
  <c r="AF11" i="26"/>
  <c r="AG11" i="26"/>
  <c r="AH11" i="26"/>
  <c r="AI11" i="26"/>
  <c r="Y12" i="26"/>
  <c r="Z12" i="26"/>
  <c r="AA12" i="26"/>
  <c r="AB12" i="26"/>
  <c r="AC12" i="26"/>
  <c r="AD12" i="26"/>
  <c r="AE12" i="26"/>
  <c r="AF12" i="26"/>
  <c r="AG12" i="26"/>
  <c r="AH12" i="26"/>
  <c r="AI12" i="26"/>
  <c r="Y13" i="26"/>
  <c r="Z13" i="26"/>
  <c r="AA13" i="26"/>
  <c r="AB13" i="26"/>
  <c r="AC13" i="26"/>
  <c r="AD13" i="26"/>
  <c r="AE13" i="26"/>
  <c r="AF13" i="26"/>
  <c r="AG13" i="26"/>
  <c r="AH13" i="26"/>
  <c r="AI13" i="26"/>
  <c r="Y14" i="26"/>
  <c r="Z14" i="26"/>
  <c r="AA14" i="26"/>
  <c r="AB14" i="26"/>
  <c r="AC14" i="26"/>
  <c r="AD14" i="26"/>
  <c r="AE14" i="26"/>
  <c r="AF14" i="26"/>
  <c r="AG14" i="26"/>
  <c r="AH14" i="26"/>
  <c r="AI14" i="26"/>
  <c r="Y15" i="26"/>
  <c r="Z15" i="26"/>
  <c r="AA15" i="26"/>
  <c r="AB15" i="26"/>
  <c r="AC15" i="26"/>
  <c r="AD15" i="26"/>
  <c r="AE15" i="26"/>
  <c r="AF15" i="26"/>
  <c r="AG15" i="26"/>
  <c r="AH15" i="26"/>
  <c r="AI15" i="26"/>
  <c r="Y16" i="26"/>
  <c r="Z16" i="26"/>
  <c r="AA16" i="26"/>
  <c r="AB16" i="26"/>
  <c r="AC16" i="26"/>
  <c r="AD16" i="26"/>
  <c r="AE16" i="26"/>
  <c r="AF16" i="26"/>
  <c r="AG16" i="26"/>
  <c r="AH16" i="26"/>
  <c r="AI16" i="26"/>
  <c r="Y17" i="26"/>
  <c r="Z17" i="26"/>
  <c r="AA17" i="26"/>
  <c r="AB17" i="26"/>
  <c r="AC17" i="26"/>
  <c r="AD17" i="26"/>
  <c r="AE17" i="26"/>
  <c r="AF17" i="26"/>
  <c r="AG17" i="26"/>
  <c r="AH17" i="26"/>
  <c r="AI17" i="26"/>
  <c r="Y18" i="26"/>
  <c r="Z18" i="26"/>
  <c r="AA18" i="26"/>
  <c r="AB18" i="26"/>
  <c r="AC18" i="26"/>
  <c r="AD18" i="26"/>
  <c r="AE18" i="26"/>
  <c r="AF18" i="26"/>
  <c r="AG18" i="26"/>
  <c r="AH18" i="26"/>
  <c r="AI18" i="26"/>
  <c r="Y19" i="26"/>
  <c r="Z19" i="26"/>
  <c r="AA19" i="26"/>
  <c r="AB19" i="26"/>
  <c r="AC19" i="26"/>
  <c r="AD19" i="26"/>
  <c r="AE19" i="26"/>
  <c r="AF19" i="26"/>
  <c r="AG19" i="26"/>
  <c r="AH19" i="26"/>
  <c r="AI19" i="26"/>
  <c r="Y20" i="26"/>
  <c r="Z20" i="26"/>
  <c r="AA20" i="26"/>
  <c r="AB20" i="26"/>
  <c r="AC20" i="26"/>
  <c r="AD20" i="26"/>
  <c r="AE20" i="26"/>
  <c r="AF20" i="26"/>
  <c r="AG20" i="26"/>
  <c r="AH20" i="26"/>
  <c r="AI20" i="26"/>
  <c r="Y21" i="26"/>
  <c r="Z21" i="26"/>
  <c r="AA21" i="26"/>
  <c r="AB21" i="26"/>
  <c r="AC21" i="26"/>
  <c r="AD21" i="26"/>
  <c r="AE21" i="26"/>
  <c r="AF21" i="26"/>
  <c r="AG21" i="26"/>
  <c r="AH21" i="26"/>
  <c r="AI21" i="26"/>
  <c r="Y22" i="26"/>
  <c r="Z22" i="26"/>
  <c r="AA22" i="26"/>
  <c r="AB22" i="26"/>
  <c r="AC22" i="26"/>
  <c r="AD22" i="26"/>
  <c r="AE22" i="26"/>
  <c r="AF22" i="26"/>
  <c r="AG22" i="26"/>
  <c r="AH22" i="26"/>
  <c r="AI22" i="26"/>
  <c r="Y23" i="26"/>
  <c r="Z23" i="26"/>
  <c r="AA23" i="26"/>
  <c r="AB23" i="26"/>
  <c r="AC23" i="26"/>
  <c r="AD23" i="26"/>
  <c r="AE23" i="26"/>
  <c r="AF23" i="26"/>
  <c r="AG23" i="26"/>
  <c r="AH23" i="26"/>
  <c r="AI23" i="26"/>
  <c r="Y24" i="26"/>
  <c r="Z24" i="26"/>
  <c r="AA24" i="26"/>
  <c r="AB24" i="26"/>
  <c r="AC24" i="26"/>
  <c r="AD24" i="26"/>
  <c r="AE24" i="26"/>
  <c r="AF24" i="26"/>
  <c r="AG24" i="26"/>
  <c r="AH24" i="26"/>
  <c r="AI24" i="26"/>
  <c r="Y25" i="26"/>
  <c r="Z25" i="26"/>
  <c r="AA25" i="26"/>
  <c r="AB25" i="26"/>
  <c r="AC25" i="26"/>
  <c r="AD25" i="26"/>
  <c r="AE25" i="26"/>
  <c r="AF25" i="26"/>
  <c r="AG25" i="26"/>
  <c r="AH25" i="26"/>
  <c r="AI25" i="26"/>
  <c r="Y26" i="26"/>
  <c r="Z26" i="26"/>
  <c r="AA26" i="26"/>
  <c r="AB26" i="26"/>
  <c r="AC26" i="26"/>
  <c r="AD26" i="26"/>
  <c r="AE26" i="26"/>
  <c r="AF26" i="26"/>
  <c r="AG26" i="26"/>
  <c r="AH26" i="26"/>
  <c r="AI26" i="26"/>
  <c r="Y27" i="26"/>
  <c r="Z27" i="26"/>
  <c r="AA27" i="26"/>
  <c r="AB27" i="26"/>
  <c r="AC27" i="26"/>
  <c r="AD27" i="26"/>
  <c r="AE27" i="26"/>
  <c r="AF27" i="26"/>
  <c r="AG27" i="26"/>
  <c r="AH27" i="26"/>
  <c r="AI27" i="26"/>
  <c r="Y28" i="26"/>
  <c r="Z28" i="26"/>
  <c r="AA28" i="26"/>
  <c r="AB28" i="26"/>
  <c r="AC28" i="26"/>
  <c r="AD28" i="26"/>
  <c r="AE28" i="26"/>
  <c r="AF28" i="26"/>
  <c r="AG28" i="26"/>
  <c r="AH28" i="26"/>
  <c r="AI28" i="26"/>
  <c r="Y29" i="26"/>
  <c r="Z29" i="26"/>
  <c r="AA29" i="26"/>
  <c r="AB29" i="26"/>
  <c r="AC29" i="26"/>
  <c r="AD29" i="26"/>
  <c r="AE29" i="26"/>
  <c r="AF29" i="26"/>
  <c r="AG29" i="26"/>
  <c r="AH29" i="26"/>
  <c r="AI29" i="26"/>
  <c r="Y30" i="26"/>
  <c r="Z30" i="26"/>
  <c r="AA30" i="26"/>
  <c r="AB30" i="26"/>
  <c r="AC30" i="26"/>
  <c r="AD30" i="26"/>
  <c r="AE30" i="26"/>
  <c r="AF30" i="26"/>
  <c r="AG30" i="26"/>
  <c r="AH30" i="26"/>
  <c r="AI30" i="26"/>
  <c r="Y31" i="26"/>
  <c r="Z31" i="26"/>
  <c r="AA31" i="26"/>
  <c r="AB31" i="26"/>
  <c r="AC31" i="26"/>
  <c r="AD31" i="26"/>
  <c r="AE31" i="26"/>
  <c r="AF31" i="26"/>
  <c r="AG31" i="26"/>
  <c r="AH31" i="26"/>
  <c r="AI31" i="26"/>
  <c r="Y32" i="26"/>
  <c r="Z32" i="26"/>
  <c r="AA32" i="26"/>
  <c r="AB32" i="26"/>
  <c r="AC32" i="26"/>
  <c r="AD32" i="26"/>
  <c r="AE32" i="26"/>
  <c r="AF32" i="26"/>
  <c r="AG32" i="26"/>
  <c r="AH32" i="26"/>
  <c r="AI32" i="26"/>
  <c r="Y33" i="26"/>
  <c r="Z33" i="26"/>
  <c r="AA33" i="26"/>
  <c r="AB33" i="26"/>
  <c r="AC33" i="26"/>
  <c r="AD33" i="26"/>
  <c r="AE33" i="26"/>
  <c r="AF33" i="26"/>
  <c r="AG33" i="26"/>
  <c r="AH33" i="26"/>
  <c r="AI33" i="26"/>
  <c r="Y34" i="26"/>
  <c r="Z34" i="26"/>
  <c r="AA34" i="26"/>
  <c r="AB34" i="26"/>
  <c r="AC34" i="26"/>
  <c r="AD34" i="26"/>
  <c r="AE34" i="26"/>
  <c r="AF34" i="26"/>
  <c r="AG34" i="26"/>
  <c r="AH34" i="26"/>
  <c r="AI34" i="26"/>
  <c r="Y35" i="26"/>
  <c r="Z35" i="26"/>
  <c r="AA35" i="26"/>
  <c r="AB35" i="26"/>
  <c r="AC35" i="26"/>
  <c r="AD35" i="26"/>
  <c r="AE35" i="26"/>
  <c r="AF35" i="26"/>
  <c r="AG35" i="26"/>
  <c r="AH35" i="26"/>
  <c r="AI35" i="26"/>
  <c r="Y36" i="26"/>
  <c r="Z36" i="26"/>
  <c r="AA36" i="26"/>
  <c r="AB36" i="26"/>
  <c r="AC36" i="26"/>
  <c r="AD36" i="26"/>
  <c r="AE36" i="26"/>
  <c r="AF36" i="26"/>
  <c r="AG36" i="26"/>
  <c r="AH36" i="26"/>
  <c r="AI36" i="26"/>
  <c r="Y37" i="26"/>
  <c r="Z37" i="26"/>
  <c r="AA37" i="26"/>
  <c r="AB37" i="26"/>
  <c r="AC37" i="26"/>
  <c r="AD37" i="26"/>
  <c r="AE37" i="26"/>
  <c r="AF37" i="26"/>
  <c r="AG37" i="26"/>
  <c r="AH37" i="26"/>
  <c r="AI37" i="26"/>
  <c r="Y38" i="26"/>
  <c r="Z38" i="26"/>
  <c r="AA38" i="26"/>
  <c r="AB38" i="26"/>
  <c r="AC38" i="26"/>
  <c r="AD38" i="26"/>
  <c r="AE38" i="26"/>
  <c r="AF38" i="26"/>
  <c r="AG38" i="26"/>
  <c r="AH38" i="26"/>
  <c r="AI38" i="26"/>
  <c r="Y39" i="26"/>
  <c r="Z39" i="26"/>
  <c r="AA39" i="26"/>
  <c r="AB39" i="26"/>
  <c r="AC39" i="26"/>
  <c r="AD39" i="26"/>
  <c r="AE39" i="26"/>
  <c r="AF39" i="26"/>
  <c r="AG39" i="26"/>
  <c r="AH39" i="26"/>
  <c r="AI39" i="26"/>
  <c r="Y40" i="26"/>
  <c r="Z40" i="26"/>
  <c r="AA40" i="26"/>
  <c r="AB40" i="26"/>
  <c r="AC40" i="26"/>
  <c r="AD40" i="26"/>
  <c r="AE40" i="26"/>
  <c r="AF40" i="26"/>
  <c r="AG40" i="26"/>
  <c r="AH40" i="26"/>
  <c r="AI40" i="26"/>
  <c r="Y41" i="26"/>
  <c r="Z41" i="26"/>
  <c r="AA41" i="26"/>
  <c r="AB41" i="26"/>
  <c r="AC41" i="26"/>
  <c r="AD41" i="26"/>
  <c r="AE41" i="26"/>
  <c r="AF41" i="26"/>
  <c r="AG41" i="26"/>
  <c r="AH41" i="26"/>
  <c r="AI41" i="26"/>
  <c r="Y42" i="26"/>
  <c r="Z42" i="26"/>
  <c r="AA42" i="26"/>
  <c r="AB42" i="26"/>
  <c r="AC42" i="26"/>
  <c r="AD42" i="26"/>
  <c r="AE42" i="26"/>
  <c r="AF42" i="26"/>
  <c r="AG42" i="26"/>
  <c r="AH42" i="26"/>
  <c r="AI42" i="26"/>
  <c r="Y43" i="26"/>
  <c r="Z43" i="26"/>
  <c r="AA43" i="26"/>
  <c r="AB43" i="26"/>
  <c r="AC43" i="26"/>
  <c r="AD43" i="26"/>
  <c r="AE43" i="26"/>
  <c r="AF43" i="26"/>
  <c r="AG43" i="26"/>
  <c r="AH43" i="26"/>
  <c r="AI43" i="26"/>
  <c r="Y44" i="26"/>
  <c r="Z44" i="26"/>
  <c r="AA44" i="26"/>
  <c r="AB44" i="26"/>
  <c r="AC44" i="26"/>
  <c r="AD44" i="26"/>
  <c r="AE44" i="26"/>
  <c r="AF44" i="26"/>
  <c r="AG44" i="26"/>
  <c r="AH44" i="26"/>
  <c r="AI44" i="26"/>
  <c r="Y45" i="26"/>
  <c r="Z45" i="26"/>
  <c r="AA45" i="26"/>
  <c r="AB45" i="26"/>
  <c r="AC45" i="26"/>
  <c r="AD45" i="26"/>
  <c r="AE45" i="26"/>
  <c r="AF45" i="26"/>
  <c r="AG45" i="26"/>
  <c r="AH45" i="26"/>
  <c r="AI45" i="26"/>
  <c r="Y46" i="26"/>
  <c r="Z46" i="26"/>
  <c r="AA46" i="26"/>
  <c r="AB46" i="26"/>
  <c r="AC46" i="26"/>
  <c r="AD46" i="26"/>
  <c r="AE46" i="26"/>
  <c r="AF46" i="26"/>
  <c r="AG46" i="26"/>
  <c r="AH46" i="26"/>
  <c r="AI46" i="26"/>
  <c r="Y47" i="26"/>
  <c r="Z47" i="26"/>
  <c r="AA47" i="26"/>
  <c r="AB47" i="26"/>
  <c r="AC47" i="26"/>
  <c r="AD47" i="26"/>
  <c r="AE47" i="26"/>
  <c r="AF47" i="26"/>
  <c r="AG47" i="26"/>
  <c r="AH47" i="26"/>
  <c r="AI47" i="26"/>
  <c r="Y48" i="26"/>
  <c r="Z48" i="26"/>
  <c r="AA48" i="26"/>
  <c r="AB48" i="26"/>
  <c r="AC48" i="26"/>
  <c r="AD48" i="26"/>
  <c r="AE48" i="26"/>
  <c r="AF48" i="26"/>
  <c r="AG48" i="26"/>
  <c r="AH48" i="26"/>
  <c r="AI48" i="26"/>
  <c r="Y49" i="26"/>
  <c r="Z49" i="26"/>
  <c r="AA49" i="26"/>
  <c r="AB49" i="26"/>
  <c r="AC49" i="26"/>
  <c r="AD49" i="26"/>
  <c r="AE49" i="26"/>
  <c r="AF49" i="26"/>
  <c r="AG49" i="26"/>
  <c r="AH49" i="26"/>
  <c r="AI49" i="26"/>
  <c r="Y50" i="26"/>
  <c r="Z50" i="26"/>
  <c r="AA50" i="26"/>
  <c r="AB50" i="26"/>
  <c r="AC50" i="26"/>
  <c r="AD50" i="26"/>
  <c r="AE50" i="26"/>
  <c r="AF50" i="26"/>
  <c r="AG50" i="26"/>
  <c r="AH50" i="26"/>
  <c r="AI50" i="26"/>
  <c r="Y51" i="26"/>
  <c r="Z51" i="26"/>
  <c r="AA51" i="26"/>
  <c r="AB51" i="26"/>
  <c r="AC51" i="26"/>
  <c r="AD51" i="26"/>
  <c r="AE51" i="26"/>
  <c r="AF51" i="26"/>
  <c r="AG51" i="26"/>
  <c r="AH51" i="26"/>
  <c r="AI51" i="26"/>
  <c r="Y52" i="26"/>
  <c r="Z52" i="26"/>
  <c r="AA52" i="26"/>
  <c r="AB52" i="26"/>
  <c r="AC52" i="26"/>
  <c r="AD52" i="26"/>
  <c r="AE52" i="26"/>
  <c r="AF52" i="26"/>
  <c r="AG52" i="26"/>
  <c r="AH52" i="26"/>
  <c r="AI52" i="26"/>
  <c r="Y53" i="26"/>
  <c r="Z53" i="26"/>
  <c r="AA53" i="26"/>
  <c r="AB53" i="26"/>
  <c r="AC53" i="26"/>
  <c r="AD53" i="26"/>
  <c r="AE53" i="26"/>
  <c r="AF53" i="26"/>
  <c r="AG53" i="26"/>
  <c r="AH53" i="26"/>
  <c r="AI53" i="26"/>
  <c r="Y54" i="26"/>
  <c r="Z54" i="26"/>
  <c r="AA54" i="26"/>
  <c r="AB54" i="26"/>
  <c r="AC54" i="26"/>
  <c r="AD54" i="26"/>
  <c r="AE54" i="26"/>
  <c r="AF54" i="26"/>
  <c r="AG54" i="26"/>
  <c r="AH54" i="26"/>
  <c r="AI54" i="26"/>
  <c r="Y55" i="26"/>
  <c r="Z55" i="26"/>
  <c r="AA55" i="26"/>
  <c r="AB55" i="26"/>
  <c r="AC55" i="26"/>
  <c r="AD55" i="26"/>
  <c r="AE55" i="26"/>
  <c r="AF55" i="26"/>
  <c r="AG55" i="26"/>
  <c r="AH55" i="26"/>
  <c r="AI55" i="26"/>
  <c r="Y56" i="26"/>
  <c r="Z56" i="26"/>
  <c r="AA56" i="26"/>
  <c r="AB56" i="26"/>
  <c r="AC56" i="26"/>
  <c r="AD56" i="26"/>
  <c r="AE56" i="26"/>
  <c r="AF56" i="26"/>
  <c r="AG56" i="26"/>
  <c r="AH56" i="26"/>
  <c r="AI56" i="26"/>
  <c r="Y57" i="26"/>
  <c r="Z57" i="26"/>
  <c r="AA57" i="26"/>
  <c r="AB57" i="26"/>
  <c r="AC57" i="26"/>
  <c r="AD57" i="26"/>
  <c r="AE57" i="26"/>
  <c r="AF57" i="26"/>
  <c r="AG57" i="26"/>
  <c r="AH57" i="26"/>
  <c r="AI57" i="26"/>
  <c r="Y58" i="26"/>
  <c r="Z58" i="26"/>
  <c r="AA58" i="26"/>
  <c r="AB58" i="26"/>
  <c r="AC58" i="26"/>
  <c r="AD58" i="26"/>
  <c r="AE58" i="26"/>
  <c r="AF58" i="26"/>
  <c r="AG58" i="26"/>
  <c r="AH58" i="26"/>
  <c r="AI58" i="26"/>
  <c r="Y59" i="26"/>
  <c r="Z59" i="26"/>
  <c r="AA59" i="26"/>
  <c r="AB59" i="26"/>
  <c r="AC59" i="26"/>
  <c r="AD59" i="26"/>
  <c r="AE59" i="26"/>
  <c r="AF59" i="26"/>
  <c r="AG59" i="26"/>
  <c r="AH59" i="26"/>
  <c r="AI59" i="26"/>
  <c r="Y60" i="26"/>
  <c r="Z60" i="26"/>
  <c r="AA60" i="26"/>
  <c r="AB60" i="26"/>
  <c r="AC60" i="26"/>
  <c r="AD60" i="26"/>
  <c r="AE60" i="26"/>
  <c r="AF60" i="26"/>
  <c r="AG60" i="26"/>
  <c r="AH60" i="26"/>
  <c r="AI60" i="26"/>
  <c r="Y61" i="26"/>
  <c r="Z61" i="26"/>
  <c r="AA61" i="26"/>
  <c r="AB61" i="26"/>
  <c r="AC61" i="26"/>
  <c r="AD61" i="26"/>
  <c r="AE61" i="26"/>
  <c r="AF61" i="26"/>
  <c r="AG61" i="26"/>
  <c r="AH61" i="26"/>
  <c r="AI61" i="26"/>
  <c r="Y62" i="26"/>
  <c r="Z62" i="26"/>
  <c r="AA62" i="26"/>
  <c r="AB62" i="26"/>
  <c r="AC62" i="26"/>
  <c r="AD62" i="26"/>
  <c r="AE62" i="26"/>
  <c r="AF62" i="26"/>
  <c r="AG62" i="26"/>
  <c r="AH62" i="26"/>
  <c r="AI62" i="26"/>
  <c r="Y63" i="26"/>
  <c r="Z63" i="26"/>
  <c r="AA63" i="26"/>
  <c r="AB63" i="26"/>
  <c r="AC63" i="26"/>
  <c r="AD63" i="26"/>
  <c r="AE63" i="26"/>
  <c r="AF63" i="26"/>
  <c r="AG63" i="26"/>
  <c r="AH63" i="26"/>
  <c r="AI63" i="26"/>
  <c r="Y64" i="26"/>
  <c r="Z64" i="26"/>
  <c r="AA64" i="26"/>
  <c r="AB64" i="26"/>
  <c r="AC64" i="26"/>
  <c r="AD64" i="26"/>
  <c r="AE64" i="26"/>
  <c r="AF64" i="26"/>
  <c r="AG64" i="26"/>
  <c r="AH64" i="26"/>
  <c r="AI64" i="26"/>
  <c r="Y65" i="26"/>
  <c r="Z65" i="26"/>
  <c r="AA65" i="26"/>
  <c r="AB65" i="26"/>
  <c r="AC65" i="26"/>
  <c r="AD65" i="26"/>
  <c r="AE65" i="26"/>
  <c r="AF65" i="26"/>
  <c r="AG65" i="26"/>
  <c r="AH65" i="26"/>
  <c r="AI65" i="26"/>
  <c r="Y66" i="26"/>
  <c r="Z66" i="26"/>
  <c r="AA66" i="26"/>
  <c r="AB66" i="26"/>
  <c r="AC66" i="26"/>
  <c r="AD66" i="26"/>
  <c r="AE66" i="26"/>
  <c r="AF66" i="26"/>
  <c r="AG66" i="26"/>
  <c r="AH66" i="26"/>
  <c r="AI66" i="26"/>
  <c r="Y67" i="26"/>
  <c r="Z67" i="26"/>
  <c r="AA67" i="26"/>
  <c r="AB67" i="26"/>
  <c r="AC67" i="26"/>
  <c r="AD67" i="26"/>
  <c r="AE67" i="26"/>
  <c r="AF67" i="26"/>
  <c r="AG67" i="26"/>
  <c r="AH67" i="26"/>
  <c r="AI67" i="26"/>
  <c r="Y68" i="26"/>
  <c r="Z68" i="26"/>
  <c r="AA68" i="26"/>
  <c r="AB68" i="26"/>
  <c r="AC68" i="26"/>
  <c r="AD68" i="26"/>
  <c r="AE68" i="26"/>
  <c r="AF68" i="26"/>
  <c r="AG68" i="26"/>
  <c r="AH68" i="26"/>
  <c r="AI68" i="26"/>
  <c r="Y69" i="26"/>
  <c r="Z69" i="26"/>
  <c r="AA69" i="26"/>
  <c r="AB69" i="26"/>
  <c r="AC69" i="26"/>
  <c r="AD69" i="26"/>
  <c r="AE69" i="26"/>
  <c r="AF69" i="26"/>
  <c r="AG69" i="26"/>
  <c r="AH69" i="26"/>
  <c r="AI69" i="26"/>
  <c r="Y70" i="26"/>
  <c r="Z70" i="26"/>
  <c r="AA70" i="26"/>
  <c r="AB70" i="26"/>
  <c r="AC70" i="26"/>
  <c r="AD70" i="26"/>
  <c r="AE70" i="26"/>
  <c r="AF70" i="26"/>
  <c r="AG70" i="26"/>
  <c r="AH70" i="26"/>
  <c r="AI70" i="26"/>
  <c r="Y71" i="26"/>
  <c r="Z71" i="26"/>
  <c r="AA71" i="26"/>
  <c r="AB71" i="26"/>
  <c r="AC71" i="26"/>
  <c r="AD71" i="26"/>
  <c r="AE71" i="26"/>
  <c r="AF71" i="26"/>
  <c r="AG71" i="26"/>
  <c r="AH71" i="26"/>
  <c r="AI71" i="26"/>
  <c r="Y72" i="26"/>
  <c r="Z72" i="26"/>
  <c r="AA72" i="26"/>
  <c r="AB72" i="26"/>
  <c r="AC72" i="26"/>
  <c r="AD72" i="26"/>
  <c r="AE72" i="26"/>
  <c r="AF72" i="26"/>
  <c r="AG72" i="26"/>
  <c r="AH72" i="26"/>
  <c r="AI72" i="26"/>
  <c r="Y73" i="26"/>
  <c r="Z73" i="26"/>
  <c r="AA73" i="26"/>
  <c r="AB73" i="26"/>
  <c r="AC73" i="26"/>
  <c r="AD73" i="26"/>
  <c r="AE73" i="26"/>
  <c r="AF73" i="26"/>
  <c r="AG73" i="26"/>
  <c r="AH73" i="26"/>
  <c r="AI73" i="26"/>
  <c r="Y74" i="26"/>
  <c r="Z74" i="26"/>
  <c r="AA74" i="26"/>
  <c r="AB74" i="26"/>
  <c r="AC74" i="26"/>
  <c r="AD74" i="26"/>
  <c r="AE74" i="26"/>
  <c r="AF74" i="26"/>
  <c r="AG74" i="26"/>
  <c r="AH74" i="26"/>
  <c r="AI74" i="26"/>
  <c r="Z75" i="26"/>
  <c r="AA75" i="26"/>
  <c r="AB75" i="26"/>
  <c r="AC75" i="26"/>
  <c r="AD75" i="26"/>
  <c r="AE75" i="26"/>
  <c r="AF75" i="26"/>
  <c r="AG75" i="26"/>
  <c r="AH75" i="26"/>
  <c r="AI75" i="26"/>
  <c r="Y76" i="26"/>
  <c r="Z76" i="26"/>
  <c r="AA76" i="26"/>
  <c r="AB76" i="26"/>
  <c r="AC76" i="26"/>
  <c r="AD76" i="26"/>
  <c r="AE76" i="26"/>
  <c r="AF76" i="26"/>
  <c r="AG76" i="26"/>
  <c r="AH76" i="26"/>
  <c r="AI76" i="26"/>
  <c r="Y77" i="26"/>
  <c r="Z77" i="26"/>
  <c r="AA77" i="26"/>
  <c r="AB77" i="26"/>
  <c r="AC77" i="26"/>
  <c r="AD77" i="26"/>
  <c r="AE77" i="26"/>
  <c r="AF77" i="26"/>
  <c r="AG77" i="26"/>
  <c r="AH77" i="26"/>
  <c r="AI77" i="26"/>
  <c r="AI6" i="26"/>
  <c r="Z6" i="26"/>
  <c r="AA6" i="26"/>
  <c r="AB6" i="26"/>
  <c r="AC6" i="26"/>
  <c r="AD6" i="26"/>
  <c r="AE6" i="26"/>
  <c r="AF6" i="26"/>
  <c r="AG6" i="26"/>
  <c r="AH6" i="26"/>
  <c r="AR375" i="23" l="1"/>
  <c r="AD370" i="23"/>
  <c r="AK373" i="23"/>
  <c r="AY350" i="23"/>
  <c r="AY346" i="23"/>
  <c r="AY342" i="23"/>
  <c r="AD349" i="23"/>
  <c r="AR452" i="23"/>
  <c r="AD454" i="23"/>
  <c r="AD450" i="23"/>
  <c r="AD446" i="23"/>
  <c r="AY347" i="23"/>
  <c r="AY343" i="23"/>
  <c r="AD350" i="23"/>
  <c r="AY349" i="23"/>
  <c r="AY345" i="23"/>
  <c r="AY341" i="23"/>
  <c r="AD348" i="23"/>
  <c r="AR373" i="23"/>
  <c r="AK375" i="23"/>
  <c r="AD373" i="23"/>
  <c r="AK394" i="23"/>
  <c r="AR454" i="23"/>
  <c r="AR450" i="23"/>
  <c r="AD452" i="23"/>
  <c r="AD448" i="23"/>
  <c r="AR497" i="23"/>
  <c r="AY348" i="23"/>
  <c r="AY344" i="23"/>
  <c r="AD346" i="23"/>
  <c r="AD396" i="23"/>
  <c r="AK396" i="23"/>
  <c r="AK376" i="23"/>
  <c r="AD369" i="23"/>
  <c r="AR453" i="23"/>
  <c r="AR449" i="23"/>
  <c r="AR445" i="23"/>
  <c r="AD451" i="23"/>
  <c r="AD447" i="23"/>
  <c r="AR376" i="23"/>
  <c r="AR368" i="23"/>
  <c r="AD372" i="23"/>
  <c r="AR451" i="23"/>
  <c r="AR447" i="23"/>
  <c r="AD453" i="23"/>
  <c r="AD449" i="23"/>
  <c r="AD445" i="23"/>
  <c r="AR498" i="23"/>
  <c r="AR499" i="23"/>
  <c r="AY480" i="23"/>
  <c r="AK480" i="23"/>
  <c r="AY479" i="23"/>
  <c r="AD480" i="23"/>
  <c r="AR448" i="23"/>
  <c r="AR446" i="23"/>
  <c r="AK402" i="23"/>
  <c r="AD402" i="23"/>
  <c r="AK400" i="23"/>
  <c r="AK398" i="23"/>
  <c r="AR401" i="23"/>
  <c r="AR399" i="23"/>
  <c r="AR397" i="23"/>
  <c r="AR395" i="23"/>
  <c r="AD400" i="23"/>
  <c r="AD398" i="23"/>
  <c r="AD395" i="23"/>
  <c r="AR402" i="23"/>
  <c r="AR400" i="23"/>
  <c r="AR398" i="23"/>
  <c r="AR396" i="23"/>
  <c r="AR394" i="23"/>
  <c r="AK401" i="23"/>
  <c r="AK399" i="23"/>
  <c r="AK397" i="23"/>
  <c r="AK395" i="23"/>
  <c r="AD401" i="23"/>
  <c r="AD399" i="23"/>
  <c r="AD397" i="23"/>
  <c r="AD394" i="23"/>
  <c r="AY401" i="23"/>
  <c r="AY399" i="23"/>
  <c r="AY397" i="23"/>
  <c r="AY395" i="23"/>
  <c r="AY402" i="23"/>
  <c r="AY400" i="23"/>
  <c r="AY398" i="23"/>
  <c r="AY396" i="23"/>
  <c r="AY394" i="23"/>
  <c r="AD376" i="23"/>
  <c r="AR374" i="23"/>
  <c r="AK374" i="23"/>
  <c r="AD374" i="23"/>
  <c r="AR372" i="23"/>
  <c r="AK372" i="23"/>
  <c r="AR371" i="23"/>
  <c r="AK371" i="23"/>
  <c r="AD371" i="23"/>
  <c r="AR370" i="23"/>
  <c r="AK370" i="23"/>
  <c r="AR369" i="23"/>
  <c r="AK369" i="23"/>
  <c r="AK368" i="23"/>
  <c r="AY376" i="23"/>
  <c r="AY374" i="23"/>
  <c r="AY372" i="23"/>
  <c r="AY370" i="23"/>
  <c r="AY368" i="23"/>
  <c r="AY375" i="23"/>
  <c r="AY373" i="23"/>
  <c r="AY371" i="23"/>
  <c r="AY369" i="23"/>
  <c r="AR341" i="23"/>
  <c r="AD342" i="23"/>
  <c r="AR349" i="23"/>
  <c r="AR347" i="23"/>
  <c r="AR345" i="23"/>
  <c r="AR343" i="23"/>
  <c r="AD344" i="23"/>
  <c r="AK350" i="23"/>
  <c r="AK348" i="23"/>
  <c r="AK346" i="23"/>
  <c r="AK344" i="23"/>
  <c r="AK342" i="23"/>
  <c r="AR342" i="23"/>
  <c r="AD347" i="23"/>
  <c r="AR350" i="23"/>
  <c r="AR348" i="23"/>
  <c r="AR346" i="23"/>
  <c r="AR344" i="23"/>
  <c r="AD345" i="23"/>
  <c r="AD343" i="23"/>
  <c r="AK349" i="23"/>
  <c r="AK347" i="23"/>
  <c r="AK345" i="23"/>
  <c r="AK343" i="23"/>
  <c r="H233" i="24"/>
  <c r="H234" i="24"/>
  <c r="H235" i="24"/>
  <c r="H236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01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4" i="24"/>
  <c r="J86" i="12"/>
  <c r="W6" i="12" l="1"/>
  <c r="W5" i="12"/>
  <c r="AN94" i="12"/>
  <c r="AN93" i="12"/>
  <c r="AN92" i="12"/>
  <c r="AL92" i="12"/>
  <c r="AN91" i="12"/>
  <c r="AN90" i="12"/>
  <c r="AN89" i="12"/>
  <c r="AL89" i="12"/>
  <c r="AN87" i="12"/>
  <c r="AL87" i="12"/>
  <c r="AN86" i="12"/>
  <c r="AL86" i="12"/>
  <c r="AN85" i="12"/>
  <c r="AL85" i="12"/>
  <c r="AN84" i="12"/>
  <c r="AL84" i="12"/>
  <c r="AN81" i="12"/>
  <c r="AN80" i="12"/>
  <c r="AL80" i="12"/>
  <c r="AN78" i="12"/>
  <c r="AL78" i="12"/>
  <c r="AN73" i="12"/>
  <c r="AN72" i="12"/>
  <c r="AL72" i="12"/>
  <c r="BC9" i="23"/>
  <c r="X33" i="12" l="1"/>
  <c r="X75" i="12"/>
  <c r="X82" i="12"/>
  <c r="X74" i="12"/>
  <c r="X77" i="12"/>
  <c r="X32" i="12"/>
  <c r="X10" i="12"/>
  <c r="X88" i="12"/>
  <c r="X71" i="12"/>
  <c r="X79" i="12"/>
  <c r="X83" i="12"/>
  <c r="X76" i="12"/>
  <c r="X44" i="12"/>
  <c r="X38" i="12"/>
  <c r="X22" i="12"/>
  <c r="X30" i="12"/>
  <c r="X42" i="12"/>
  <c r="X29" i="12"/>
  <c r="X36" i="12"/>
  <c r="X37" i="12"/>
  <c r="X31" i="12"/>
  <c r="X43" i="12"/>
  <c r="X34" i="12"/>
  <c r="X23" i="12"/>
  <c r="X24" i="12"/>
  <c r="X16" i="12"/>
  <c r="X26" i="12"/>
  <c r="X12" i="12"/>
  <c r="X27" i="12"/>
  <c r="X11" i="12"/>
  <c r="X28" i="12"/>
  <c r="X17" i="12"/>
  <c r="X18" i="12"/>
  <c r="BW323" i="23"/>
  <c r="BP323" i="23"/>
  <c r="BI323" i="23"/>
  <c r="BB323" i="23"/>
  <c r="BZ322" i="23"/>
  <c r="BS322" i="23"/>
  <c r="BL322" i="23"/>
  <c r="BE322" i="23"/>
  <c r="AW322" i="23"/>
  <c r="AP322" i="23"/>
  <c r="Y322" i="23"/>
  <c r="AC322" i="23" s="1"/>
  <c r="BZ321" i="23"/>
  <c r="BS321" i="23"/>
  <c r="BL321" i="23"/>
  <c r="BE321" i="23"/>
  <c r="AW321" i="23"/>
  <c r="AQ321" i="23"/>
  <c r="Y321" i="23"/>
  <c r="AC321" i="23" s="1"/>
  <c r="BZ320" i="23"/>
  <c r="BS320" i="23"/>
  <c r="BL320" i="23"/>
  <c r="BE320" i="23"/>
  <c r="AW320" i="23"/>
  <c r="AQ320" i="23"/>
  <c r="Y320" i="23"/>
  <c r="AC320" i="23" s="1"/>
  <c r="BZ319" i="23"/>
  <c r="BS319" i="23"/>
  <c r="BL319" i="23"/>
  <c r="BE319" i="23"/>
  <c r="AW319" i="23"/>
  <c r="AQ319" i="23"/>
  <c r="Y319" i="23"/>
  <c r="AC319" i="23" s="1"/>
  <c r="BZ318" i="23"/>
  <c r="BS318" i="23"/>
  <c r="BL318" i="23"/>
  <c r="BE318" i="23"/>
  <c r="AW318" i="23"/>
  <c r="Y318" i="23"/>
  <c r="AB318" i="23" s="1"/>
  <c r="BZ317" i="23"/>
  <c r="BS317" i="23"/>
  <c r="BL317" i="23"/>
  <c r="BE317" i="23"/>
  <c r="AW317" i="23"/>
  <c r="AQ317" i="23"/>
  <c r="Y317" i="23"/>
  <c r="AC317" i="23" s="1"/>
  <c r="BZ316" i="23"/>
  <c r="BS316" i="23"/>
  <c r="BL316" i="23"/>
  <c r="BE316" i="23"/>
  <c r="AW316" i="23"/>
  <c r="AQ316" i="23"/>
  <c r="Y316" i="23"/>
  <c r="AB316" i="23" s="1"/>
  <c r="BZ315" i="23"/>
  <c r="BS315" i="23"/>
  <c r="BL315" i="23"/>
  <c r="BE315" i="23"/>
  <c r="AW315" i="23"/>
  <c r="AQ315" i="23"/>
  <c r="Y315" i="23"/>
  <c r="AC315" i="23" s="1"/>
  <c r="BZ314" i="23"/>
  <c r="BS314" i="23"/>
  <c r="BL314" i="23"/>
  <c r="BE314" i="23"/>
  <c r="AW314" i="23"/>
  <c r="AQ314" i="23"/>
  <c r="Y314" i="23"/>
  <c r="AC314" i="23" s="1"/>
  <c r="BZ313" i="23"/>
  <c r="BS313" i="23"/>
  <c r="BL313" i="23"/>
  <c r="BE313" i="23"/>
  <c r="AW313" i="23"/>
  <c r="AQ313" i="23"/>
  <c r="Y313" i="23"/>
  <c r="AC313" i="23" s="1"/>
  <c r="BZ312" i="23"/>
  <c r="BS312" i="23"/>
  <c r="BL312" i="23"/>
  <c r="BE312" i="23"/>
  <c r="AW312" i="23"/>
  <c r="AP312" i="23"/>
  <c r="Y312" i="23"/>
  <c r="AC312" i="23" s="1"/>
  <c r="BZ311" i="23"/>
  <c r="BS311" i="23"/>
  <c r="BL311" i="23"/>
  <c r="BE311" i="23"/>
  <c r="AW311" i="23"/>
  <c r="AQ311" i="23"/>
  <c r="Y311" i="23"/>
  <c r="AC311" i="23" s="1"/>
  <c r="BZ310" i="23"/>
  <c r="BS310" i="23"/>
  <c r="BL310" i="23"/>
  <c r="BE310" i="23"/>
  <c r="AW310" i="23"/>
  <c r="AQ310" i="23"/>
  <c r="AI310" i="23"/>
  <c r="Y310" i="23"/>
  <c r="AC310" i="23" s="1"/>
  <c r="BZ309" i="23"/>
  <c r="BS309" i="23"/>
  <c r="BL309" i="23"/>
  <c r="BE309" i="23"/>
  <c r="AW309" i="23"/>
  <c r="AP309" i="23"/>
  <c r="Y309" i="23"/>
  <c r="AC309" i="23" s="1"/>
  <c r="BZ308" i="23"/>
  <c r="BS308" i="23"/>
  <c r="BL308" i="23"/>
  <c r="BE308" i="23"/>
  <c r="AW308" i="23"/>
  <c r="AQ308" i="23"/>
  <c r="AI308" i="23"/>
  <c r="Y308" i="23"/>
  <c r="AC308" i="23" s="1"/>
  <c r="BZ307" i="23"/>
  <c r="BS307" i="23"/>
  <c r="BL307" i="23"/>
  <c r="BE307" i="23"/>
  <c r="AX307" i="23"/>
  <c r="AM307" i="23"/>
  <c r="AF307" i="23"/>
  <c r="AJ307" i="23" s="1"/>
  <c r="Y307" i="23"/>
  <c r="AB307" i="23" s="1"/>
  <c r="BW295" i="23"/>
  <c r="BP295" i="23"/>
  <c r="BR294" i="23" s="1"/>
  <c r="BI295" i="23"/>
  <c r="BB295" i="23"/>
  <c r="BZ294" i="23"/>
  <c r="BS294" i="23"/>
  <c r="BL294" i="23"/>
  <c r="BE294" i="23"/>
  <c r="AX294" i="23"/>
  <c r="AM294" i="23"/>
  <c r="AF294" i="23"/>
  <c r="AJ294" i="23" s="1"/>
  <c r="Y294" i="23"/>
  <c r="BZ293" i="23"/>
  <c r="BS293" i="23"/>
  <c r="BR293" i="23"/>
  <c r="BT293" i="23" s="1"/>
  <c r="BU293" i="23" s="1"/>
  <c r="BL293" i="23"/>
  <c r="BE293" i="23"/>
  <c r="AX293" i="23"/>
  <c r="AM293" i="23"/>
  <c r="AP293" i="23" s="1"/>
  <c r="AF293" i="23"/>
  <c r="AJ293" i="23" s="1"/>
  <c r="Y293" i="23"/>
  <c r="BZ292" i="23"/>
  <c r="BS292" i="23"/>
  <c r="BR292" i="23"/>
  <c r="BL292" i="23"/>
  <c r="BE292" i="23"/>
  <c r="AX292" i="23"/>
  <c r="AW292" i="23"/>
  <c r="AM292" i="23"/>
  <c r="AP292" i="23" s="1"/>
  <c r="AF292" i="23"/>
  <c r="AJ292" i="23" s="1"/>
  <c r="Y292" i="23"/>
  <c r="AB292" i="23" s="1"/>
  <c r="BZ291" i="23"/>
  <c r="BT291" i="23"/>
  <c r="BU291" i="23" s="1"/>
  <c r="BS291" i="23"/>
  <c r="BR291" i="23"/>
  <c r="BL291" i="23"/>
  <c r="BE291" i="23"/>
  <c r="AX291" i="23"/>
  <c r="AW291" i="23"/>
  <c r="AM291" i="23"/>
  <c r="AP291" i="23" s="1"/>
  <c r="AF291" i="23"/>
  <c r="AJ291" i="23" s="1"/>
  <c r="Y291" i="23"/>
  <c r="BZ290" i="23"/>
  <c r="BS290" i="23"/>
  <c r="BR290" i="23"/>
  <c r="BT290" i="23" s="1"/>
  <c r="BU290" i="23" s="1"/>
  <c r="BL290" i="23"/>
  <c r="BE290" i="23"/>
  <c r="AX290" i="23"/>
  <c r="AQ290" i="23"/>
  <c r="AM290" i="23"/>
  <c r="AP290" i="23" s="1"/>
  <c r="AF290" i="23"/>
  <c r="AJ290" i="23" s="1"/>
  <c r="Y290" i="23"/>
  <c r="BZ289" i="23"/>
  <c r="BS289" i="23"/>
  <c r="BL289" i="23"/>
  <c r="BE289" i="23"/>
  <c r="AM289" i="23"/>
  <c r="AP289" i="23" s="1"/>
  <c r="AF289" i="23"/>
  <c r="AJ289" i="23" s="1"/>
  <c r="Y289" i="23"/>
  <c r="BZ288" i="23"/>
  <c r="BS288" i="23"/>
  <c r="BT288" i="23" s="1"/>
  <c r="BU288" i="23" s="1"/>
  <c r="BR288" i="23"/>
  <c r="BL288" i="23"/>
  <c r="BE288" i="23"/>
  <c r="AX288" i="23"/>
  <c r="AW288" i="23"/>
  <c r="AM288" i="23"/>
  <c r="AP288" i="23" s="1"/>
  <c r="AF288" i="23"/>
  <c r="AJ288" i="23" s="1"/>
  <c r="Y288" i="23"/>
  <c r="BZ287" i="23"/>
  <c r="BS287" i="23"/>
  <c r="BR287" i="23"/>
  <c r="BT287" i="23" s="1"/>
  <c r="BU287" i="23" s="1"/>
  <c r="BL287" i="23"/>
  <c r="BE287" i="23"/>
  <c r="AX287" i="23"/>
  <c r="AM287" i="23"/>
  <c r="AF287" i="23"/>
  <c r="AJ287" i="23" s="1"/>
  <c r="Y287" i="23"/>
  <c r="AB287" i="23" s="1"/>
  <c r="BZ286" i="23"/>
  <c r="BS286" i="23"/>
  <c r="BR286" i="23"/>
  <c r="BL286" i="23"/>
  <c r="BE286" i="23"/>
  <c r="AX286" i="23"/>
  <c r="AM286" i="23"/>
  <c r="AF286" i="23"/>
  <c r="Y286" i="23"/>
  <c r="AB286" i="23" s="1"/>
  <c r="BZ285" i="23"/>
  <c r="BS285" i="23"/>
  <c r="BR285" i="23"/>
  <c r="BL285" i="23"/>
  <c r="BE285" i="23"/>
  <c r="AM285" i="23"/>
  <c r="AP285" i="23" s="1"/>
  <c r="AF285" i="23"/>
  <c r="AJ285" i="23" s="1"/>
  <c r="Y285" i="23"/>
  <c r="AB285" i="23" s="1"/>
  <c r="BZ284" i="23"/>
  <c r="BS284" i="23"/>
  <c r="BR284" i="23"/>
  <c r="BL284" i="23"/>
  <c r="BE284" i="23"/>
  <c r="AM284" i="23"/>
  <c r="AP284" i="23" s="1"/>
  <c r="AF284" i="23"/>
  <c r="AJ284" i="23" s="1"/>
  <c r="Y284" i="23"/>
  <c r="BZ283" i="23"/>
  <c r="BS283" i="23"/>
  <c r="BR283" i="23"/>
  <c r="BL283" i="23"/>
  <c r="BE283" i="23"/>
  <c r="AW283" i="23"/>
  <c r="AY283" i="23" s="1"/>
  <c r="AX283" i="23"/>
  <c r="AM283" i="23"/>
  <c r="AP283" i="23" s="1"/>
  <c r="AF283" i="23"/>
  <c r="AJ283" i="23" s="1"/>
  <c r="Y283" i="23"/>
  <c r="AB283" i="23" s="1"/>
  <c r="BZ282" i="23"/>
  <c r="BS282" i="23"/>
  <c r="BR282" i="23"/>
  <c r="BT282" i="23" s="1"/>
  <c r="BU282" i="23" s="1"/>
  <c r="BL282" i="23"/>
  <c r="BE282" i="23"/>
  <c r="AX282" i="23"/>
  <c r="AW282" i="23"/>
  <c r="AM282" i="23"/>
  <c r="AF282" i="23"/>
  <c r="AI282" i="23" s="1"/>
  <c r="Y282" i="23"/>
  <c r="BZ281" i="23"/>
  <c r="BS281" i="23"/>
  <c r="BL281" i="23"/>
  <c r="BE281" i="23"/>
  <c r="AX281" i="23"/>
  <c r="AW281" i="23"/>
  <c r="AM281" i="23"/>
  <c r="AP281" i="23" s="1"/>
  <c r="AF281" i="23"/>
  <c r="Y281" i="23"/>
  <c r="AB281" i="23" s="1"/>
  <c r="BZ280" i="23"/>
  <c r="BS280" i="23"/>
  <c r="BR280" i="23"/>
  <c r="BT280" i="23" s="1"/>
  <c r="BU280" i="23" s="1"/>
  <c r="BL280" i="23"/>
  <c r="BE280" i="23"/>
  <c r="AX280" i="23"/>
  <c r="AW280" i="23"/>
  <c r="AM280" i="23"/>
  <c r="AP280" i="23" s="1"/>
  <c r="AF280" i="23"/>
  <c r="AI280" i="23" s="1"/>
  <c r="Y280" i="23"/>
  <c r="BZ279" i="23"/>
  <c r="BS279" i="23"/>
  <c r="BL279" i="23"/>
  <c r="BE279" i="23"/>
  <c r="AT279" i="23"/>
  <c r="AW279" i="23" s="1"/>
  <c r="AM279" i="23"/>
  <c r="AQ279" i="23" s="1"/>
  <c r="AF279" i="23"/>
  <c r="Y279" i="23"/>
  <c r="AB279" i="23" s="1"/>
  <c r="S279" i="23"/>
  <c r="N279" i="23"/>
  <c r="I279" i="23"/>
  <c r="BK279" i="23" s="1"/>
  <c r="D279" i="23"/>
  <c r="BD279" i="23" s="1"/>
  <c r="BW267" i="23"/>
  <c r="BP267" i="23"/>
  <c r="BI267" i="23"/>
  <c r="BB267" i="23"/>
  <c r="BZ266" i="23"/>
  <c r="BS266" i="23"/>
  <c r="BL266" i="23"/>
  <c r="BE266" i="23"/>
  <c r="AT266" i="23"/>
  <c r="AW266" i="23" s="1"/>
  <c r="AM266" i="23"/>
  <c r="AP266" i="23" s="1"/>
  <c r="AF266" i="23"/>
  <c r="AI266" i="23" s="1"/>
  <c r="Y266" i="23"/>
  <c r="BZ265" i="23"/>
  <c r="BS265" i="23"/>
  <c r="BL265" i="23"/>
  <c r="BE265" i="23"/>
  <c r="AT265" i="23"/>
  <c r="AM265" i="23"/>
  <c r="AQ265" i="23" s="1"/>
  <c r="AF265" i="23"/>
  <c r="AI265" i="23" s="1"/>
  <c r="Y265" i="23"/>
  <c r="AC265" i="23" s="1"/>
  <c r="BZ264" i="23"/>
  <c r="BS264" i="23"/>
  <c r="BL264" i="23"/>
  <c r="BE264" i="23"/>
  <c r="AT264" i="23"/>
  <c r="AW264" i="23" s="1"/>
  <c r="AM264" i="23"/>
  <c r="AQ264" i="23" s="1"/>
  <c r="AF264" i="23"/>
  <c r="AI264" i="23" s="1"/>
  <c r="AB264" i="23"/>
  <c r="Y264" i="23"/>
  <c r="AC264" i="23" s="1"/>
  <c r="BZ263" i="23"/>
  <c r="BS263" i="23"/>
  <c r="BL263" i="23"/>
  <c r="BE263" i="23"/>
  <c r="AT263" i="23"/>
  <c r="AM263" i="23"/>
  <c r="AQ263" i="23" s="1"/>
  <c r="AF263" i="23"/>
  <c r="AI263" i="23" s="1"/>
  <c r="Y263" i="23"/>
  <c r="AC263" i="23" s="1"/>
  <c r="BZ262" i="23"/>
  <c r="BS262" i="23"/>
  <c r="BL262" i="23"/>
  <c r="BE262" i="23"/>
  <c r="AT262" i="23"/>
  <c r="AM262" i="23"/>
  <c r="AQ262" i="23" s="1"/>
  <c r="AF262" i="23"/>
  <c r="AI262" i="23" s="1"/>
  <c r="Y262" i="23"/>
  <c r="AB262" i="23" s="1"/>
  <c r="BZ261" i="23"/>
  <c r="BS261" i="23"/>
  <c r="BL261" i="23"/>
  <c r="BE261" i="23"/>
  <c r="AT261" i="23"/>
  <c r="AM261" i="23"/>
  <c r="AF261" i="23"/>
  <c r="Y261" i="23"/>
  <c r="AC261" i="23" s="1"/>
  <c r="BZ260" i="23"/>
  <c r="BS260" i="23"/>
  <c r="BL260" i="23"/>
  <c r="BE260" i="23"/>
  <c r="AT260" i="23"/>
  <c r="AM260" i="23"/>
  <c r="AF260" i="23"/>
  <c r="Y260" i="23"/>
  <c r="BZ259" i="23"/>
  <c r="BS259" i="23"/>
  <c r="BL259" i="23"/>
  <c r="BE259" i="23"/>
  <c r="AT259" i="23"/>
  <c r="AW259" i="23" s="1"/>
  <c r="AM259" i="23"/>
  <c r="AQ259" i="23" s="1"/>
  <c r="AF259" i="23"/>
  <c r="AI259" i="23" s="1"/>
  <c r="Y259" i="23"/>
  <c r="AC259" i="23" s="1"/>
  <c r="BZ258" i="23"/>
  <c r="BS258" i="23"/>
  <c r="BL258" i="23"/>
  <c r="BE258" i="23"/>
  <c r="AT258" i="23"/>
  <c r="AM258" i="23"/>
  <c r="AP258" i="23" s="1"/>
  <c r="AF258" i="23"/>
  <c r="Y258" i="23"/>
  <c r="BZ257" i="23"/>
  <c r="BS257" i="23"/>
  <c r="BL257" i="23"/>
  <c r="BE257" i="23"/>
  <c r="AT257" i="23"/>
  <c r="AX257" i="23" s="1"/>
  <c r="AM257" i="23"/>
  <c r="AF257" i="23"/>
  <c r="AJ257" i="23" s="1"/>
  <c r="Y257" i="23"/>
  <c r="BZ256" i="23"/>
  <c r="BS256" i="23"/>
  <c r="BL256" i="23"/>
  <c r="BE256" i="23"/>
  <c r="AT256" i="23"/>
  <c r="AX256" i="23" s="1"/>
  <c r="AM256" i="23"/>
  <c r="AQ256" i="23" s="1"/>
  <c r="AF256" i="23"/>
  <c r="AJ256" i="23" s="1"/>
  <c r="Y256" i="23"/>
  <c r="AC256" i="23" s="1"/>
  <c r="BZ255" i="23"/>
  <c r="BS255" i="23"/>
  <c r="BL255" i="23"/>
  <c r="BE255" i="23"/>
  <c r="AT255" i="23"/>
  <c r="AM255" i="23"/>
  <c r="AF255" i="23"/>
  <c r="AJ255" i="23" s="1"/>
  <c r="Y255" i="23"/>
  <c r="BZ254" i="23"/>
  <c r="BS254" i="23"/>
  <c r="BR254" i="23"/>
  <c r="BL254" i="23"/>
  <c r="BE254" i="23"/>
  <c r="AT254" i="23"/>
  <c r="AX254" i="23" s="1"/>
  <c r="AM254" i="23"/>
  <c r="AQ254" i="23" s="1"/>
  <c r="AF254" i="23"/>
  <c r="AJ254" i="23" s="1"/>
  <c r="Y254" i="23"/>
  <c r="BZ253" i="23"/>
  <c r="BS253" i="23"/>
  <c r="BL253" i="23"/>
  <c r="BE253" i="23"/>
  <c r="AT253" i="23"/>
  <c r="AX253" i="23" s="1"/>
  <c r="AM253" i="23"/>
  <c r="AQ253" i="23" s="1"/>
  <c r="AF253" i="23"/>
  <c r="Y253" i="23"/>
  <c r="BZ252" i="23"/>
  <c r="BS252" i="23"/>
  <c r="BL252" i="23"/>
  <c r="BE252" i="23"/>
  <c r="AT252" i="23"/>
  <c r="AM252" i="23"/>
  <c r="AQ252" i="23" s="1"/>
  <c r="AF252" i="23"/>
  <c r="AJ252" i="23" s="1"/>
  <c r="Y252" i="23"/>
  <c r="BZ251" i="23"/>
  <c r="BS251" i="23"/>
  <c r="BL251" i="23"/>
  <c r="BE251" i="23"/>
  <c r="AT251" i="23"/>
  <c r="AM251" i="23"/>
  <c r="AQ251" i="23" s="1"/>
  <c r="AF251" i="23"/>
  <c r="AJ251" i="23" s="1"/>
  <c r="Y251" i="23"/>
  <c r="AB251" i="23" s="1"/>
  <c r="S251" i="23"/>
  <c r="BY251" i="23" s="1"/>
  <c r="N251" i="23"/>
  <c r="BR251" i="23" s="1"/>
  <c r="BT251" i="23" s="1"/>
  <c r="I251" i="23"/>
  <c r="BK251" i="23" s="1"/>
  <c r="D251" i="23"/>
  <c r="BW241" i="23"/>
  <c r="BP241" i="23"/>
  <c r="BI241" i="23"/>
  <c r="BB241" i="23"/>
  <c r="BZ240" i="23"/>
  <c r="BS240" i="23"/>
  <c r="BR240" i="23"/>
  <c r="BL240" i="23"/>
  <c r="BE240" i="23"/>
  <c r="AT240" i="23"/>
  <c r="AM240" i="23"/>
  <c r="AQ240" i="23" s="1"/>
  <c r="AF240" i="23"/>
  <c r="Y240" i="23"/>
  <c r="AB240" i="23" s="1"/>
  <c r="I240" i="23"/>
  <c r="BZ239" i="23"/>
  <c r="BS239" i="23"/>
  <c r="BR239" i="23"/>
  <c r="BL239" i="23"/>
  <c r="BE239" i="23"/>
  <c r="AW239" i="23"/>
  <c r="AT239" i="23"/>
  <c r="AX239" i="23" s="1"/>
  <c r="AM239" i="23"/>
  <c r="AF239" i="23"/>
  <c r="AJ239" i="23" s="1"/>
  <c r="Y239" i="23"/>
  <c r="AB239" i="23" s="1"/>
  <c r="I239" i="23"/>
  <c r="BZ238" i="23"/>
  <c r="BS238" i="23"/>
  <c r="BR238" i="23"/>
  <c r="BL238" i="23"/>
  <c r="BE238" i="23"/>
  <c r="AT238" i="23"/>
  <c r="AM238" i="23"/>
  <c r="AF238" i="23"/>
  <c r="AI238" i="23" s="1"/>
  <c r="Y238" i="23"/>
  <c r="I238" i="23"/>
  <c r="BZ237" i="23"/>
  <c r="BS237" i="23"/>
  <c r="BR237" i="23"/>
  <c r="BT237" i="23" s="1"/>
  <c r="BU237" i="23" s="1"/>
  <c r="BL237" i="23"/>
  <c r="BE237" i="23"/>
  <c r="AT237" i="23"/>
  <c r="AM237" i="23"/>
  <c r="AQ237" i="23" s="1"/>
  <c r="AF237" i="23"/>
  <c r="AJ237" i="23" s="1"/>
  <c r="Y237" i="23"/>
  <c r="BZ236" i="23"/>
  <c r="BS236" i="23"/>
  <c r="BR236" i="23"/>
  <c r="BL236" i="23"/>
  <c r="BE236" i="23"/>
  <c r="AT236" i="23"/>
  <c r="AM236" i="23"/>
  <c r="AF236" i="23"/>
  <c r="Y236" i="23"/>
  <c r="AC236" i="23" s="1"/>
  <c r="BZ235" i="23"/>
  <c r="BS235" i="23"/>
  <c r="BR235" i="23"/>
  <c r="BL235" i="23"/>
  <c r="BE235" i="23"/>
  <c r="AT235" i="23"/>
  <c r="AX235" i="23" s="1"/>
  <c r="AM235" i="23"/>
  <c r="AF235" i="23"/>
  <c r="AJ235" i="23" s="1"/>
  <c r="Y235" i="23"/>
  <c r="BZ234" i="23"/>
  <c r="BS234" i="23"/>
  <c r="BR234" i="23"/>
  <c r="BT234" i="23" s="1"/>
  <c r="BU234" i="23" s="1"/>
  <c r="BL234" i="23"/>
  <c r="BE234" i="23"/>
  <c r="AT234" i="23"/>
  <c r="AX234" i="23" s="1"/>
  <c r="AQ234" i="23"/>
  <c r="AR234" i="23" s="1"/>
  <c r="AM234" i="23"/>
  <c r="AP234" i="23" s="1"/>
  <c r="AF234" i="23"/>
  <c r="Y234" i="23"/>
  <c r="AC234" i="23" s="1"/>
  <c r="BZ233" i="23"/>
  <c r="BS233" i="23"/>
  <c r="BR233" i="23"/>
  <c r="BT233" i="23" s="1"/>
  <c r="BU233" i="23" s="1"/>
  <c r="BL233" i="23"/>
  <c r="BE233" i="23"/>
  <c r="AT233" i="23"/>
  <c r="AX233" i="23" s="1"/>
  <c r="AM233" i="23"/>
  <c r="AQ233" i="23" s="1"/>
  <c r="AF233" i="23"/>
  <c r="AJ233" i="23" s="1"/>
  <c r="Y233" i="23"/>
  <c r="BZ232" i="23"/>
  <c r="BS232" i="23"/>
  <c r="BR232" i="23"/>
  <c r="BL232" i="23"/>
  <c r="BE232" i="23"/>
  <c r="AT232" i="23"/>
  <c r="AX232" i="23" s="1"/>
  <c r="AM232" i="23"/>
  <c r="AQ232" i="23" s="1"/>
  <c r="AF232" i="23"/>
  <c r="Y232" i="23"/>
  <c r="BZ231" i="23"/>
  <c r="BS231" i="23"/>
  <c r="BR231" i="23"/>
  <c r="BL231" i="23"/>
  <c r="BE231" i="23"/>
  <c r="AT231" i="23"/>
  <c r="AX231" i="23" s="1"/>
  <c r="AM231" i="23"/>
  <c r="AQ231" i="23" s="1"/>
  <c r="AF231" i="23"/>
  <c r="Y231" i="23"/>
  <c r="AB231" i="23" s="1"/>
  <c r="BZ230" i="23"/>
  <c r="BS230" i="23"/>
  <c r="BR230" i="23"/>
  <c r="BL230" i="23"/>
  <c r="BE230" i="23"/>
  <c r="AT230" i="23"/>
  <c r="AX230" i="23" s="1"/>
  <c r="AM230" i="23"/>
  <c r="AF230" i="23"/>
  <c r="Y230" i="23"/>
  <c r="BZ229" i="23"/>
  <c r="BS229" i="23"/>
  <c r="BR229" i="23"/>
  <c r="BL229" i="23"/>
  <c r="BE229" i="23"/>
  <c r="AT229" i="23"/>
  <c r="AX229" i="23" s="1"/>
  <c r="AM229" i="23"/>
  <c r="AQ229" i="23" s="1"/>
  <c r="AF229" i="23"/>
  <c r="AJ229" i="23" s="1"/>
  <c r="Y229" i="23"/>
  <c r="BZ228" i="23"/>
  <c r="BS228" i="23"/>
  <c r="BR228" i="23"/>
  <c r="BL228" i="23"/>
  <c r="BE228" i="23"/>
  <c r="AT228" i="23"/>
  <c r="AM228" i="23"/>
  <c r="AQ228" i="23" s="1"/>
  <c r="AF228" i="23"/>
  <c r="Y228" i="23"/>
  <c r="AC228" i="23" s="1"/>
  <c r="BZ227" i="23"/>
  <c r="BS227" i="23"/>
  <c r="BR227" i="23"/>
  <c r="BL227" i="23"/>
  <c r="BE227" i="23"/>
  <c r="AT227" i="23"/>
  <c r="AM227" i="23"/>
  <c r="AF227" i="23"/>
  <c r="Y227" i="23"/>
  <c r="BZ226" i="23"/>
  <c r="BS226" i="23"/>
  <c r="BR226" i="23"/>
  <c r="BL226" i="23"/>
  <c r="BE226" i="23"/>
  <c r="AT226" i="23"/>
  <c r="AM226" i="23"/>
  <c r="AQ226" i="23" s="1"/>
  <c r="AF226" i="23"/>
  <c r="Y226" i="23"/>
  <c r="AC226" i="23" s="1"/>
  <c r="BZ225" i="23"/>
  <c r="BS225" i="23"/>
  <c r="BR225" i="23"/>
  <c r="BL225" i="23"/>
  <c r="BE225" i="23"/>
  <c r="AT225" i="23"/>
  <c r="AW225" i="23" s="1"/>
  <c r="AM225" i="23"/>
  <c r="AQ225" i="23" s="1"/>
  <c r="AF225" i="23"/>
  <c r="Y225" i="23"/>
  <c r="BW214" i="23"/>
  <c r="BP214" i="23"/>
  <c r="BI214" i="23"/>
  <c r="BB214" i="23"/>
  <c r="BZ213" i="23"/>
  <c r="BS213" i="23"/>
  <c r="BL213" i="23"/>
  <c r="BE213" i="23"/>
  <c r="AT213" i="23"/>
  <c r="AM213" i="23"/>
  <c r="AF213" i="23"/>
  <c r="AJ213" i="23" s="1"/>
  <c r="Y213" i="23"/>
  <c r="AB213" i="23" s="1"/>
  <c r="BZ212" i="23"/>
  <c r="BS212" i="23"/>
  <c r="BL212" i="23"/>
  <c r="BE212" i="23"/>
  <c r="AT212" i="23"/>
  <c r="AX212" i="23" s="1"/>
  <c r="AM212" i="23"/>
  <c r="AQ212" i="23" s="1"/>
  <c r="AF212" i="23"/>
  <c r="AJ212" i="23" s="1"/>
  <c r="Y212" i="23"/>
  <c r="BZ211" i="23"/>
  <c r="BS211" i="23"/>
  <c r="BL211" i="23"/>
  <c r="BE211" i="23"/>
  <c r="AT211" i="23"/>
  <c r="AX211" i="23" s="1"/>
  <c r="AM211" i="23"/>
  <c r="AQ211" i="23" s="1"/>
  <c r="AF211" i="23"/>
  <c r="Y211" i="23"/>
  <c r="AB211" i="23" s="1"/>
  <c r="BZ210" i="23"/>
  <c r="BS210" i="23"/>
  <c r="BL210" i="23"/>
  <c r="BE210" i="23"/>
  <c r="AT210" i="23"/>
  <c r="AM210" i="23"/>
  <c r="AQ210" i="23" s="1"/>
  <c r="AF210" i="23"/>
  <c r="Y210" i="23"/>
  <c r="AC210" i="23" s="1"/>
  <c r="BZ209" i="23"/>
  <c r="BS209" i="23"/>
  <c r="BL209" i="23"/>
  <c r="BE209" i="23"/>
  <c r="AT209" i="23"/>
  <c r="AM209" i="23"/>
  <c r="AF209" i="23"/>
  <c r="AJ209" i="23" s="1"/>
  <c r="Y209" i="23"/>
  <c r="AB209" i="23" s="1"/>
  <c r="BZ208" i="23"/>
  <c r="BS208" i="23"/>
  <c r="BL208" i="23"/>
  <c r="BE208" i="23"/>
  <c r="AX208" i="23"/>
  <c r="AT208" i="23"/>
  <c r="AW208" i="23" s="1"/>
  <c r="AM208" i="23"/>
  <c r="AP208" i="23" s="1"/>
  <c r="AF208" i="23"/>
  <c r="AJ208" i="23" s="1"/>
  <c r="Y208" i="23"/>
  <c r="AC208" i="23" s="1"/>
  <c r="BZ207" i="23"/>
  <c r="BS207" i="23"/>
  <c r="BL207" i="23"/>
  <c r="BE207" i="23"/>
  <c r="AT207" i="23"/>
  <c r="AX207" i="23" s="1"/>
  <c r="AM207" i="23"/>
  <c r="AF207" i="23"/>
  <c r="Y207" i="23"/>
  <c r="BZ206" i="23"/>
  <c r="BS206" i="23"/>
  <c r="BL206" i="23"/>
  <c r="BE206" i="23"/>
  <c r="AT206" i="23"/>
  <c r="AM206" i="23"/>
  <c r="AF206" i="23"/>
  <c r="AI206" i="23" s="1"/>
  <c r="Y206" i="23"/>
  <c r="BZ205" i="23"/>
  <c r="BS205" i="23"/>
  <c r="BL205" i="23"/>
  <c r="BE205" i="23"/>
  <c r="AT205" i="23"/>
  <c r="AM205" i="23"/>
  <c r="AP205" i="23" s="1"/>
  <c r="AJ205" i="23"/>
  <c r="AF205" i="23"/>
  <c r="AI205" i="23" s="1"/>
  <c r="Y205" i="23"/>
  <c r="BZ204" i="23"/>
  <c r="BS204" i="23"/>
  <c r="BL204" i="23"/>
  <c r="BE204" i="23"/>
  <c r="AW204" i="23"/>
  <c r="AT204" i="23"/>
  <c r="AX204" i="23" s="1"/>
  <c r="AM204" i="23"/>
  <c r="AP204" i="23" s="1"/>
  <c r="AF204" i="23"/>
  <c r="Y204" i="23"/>
  <c r="AB204" i="23" s="1"/>
  <c r="BZ203" i="23"/>
  <c r="BS203" i="23"/>
  <c r="BL203" i="23"/>
  <c r="BE203" i="23"/>
  <c r="AT203" i="23"/>
  <c r="AP203" i="23"/>
  <c r="AM203" i="23"/>
  <c r="AQ203" i="23" s="1"/>
  <c r="AF203" i="23"/>
  <c r="AJ203" i="23" s="1"/>
  <c r="Y203" i="23"/>
  <c r="BZ202" i="23"/>
  <c r="BS202" i="23"/>
  <c r="BL202" i="23"/>
  <c r="BE202" i="23"/>
  <c r="AT202" i="23"/>
  <c r="AX202" i="23" s="1"/>
  <c r="AM202" i="23"/>
  <c r="AF202" i="23"/>
  <c r="AI202" i="23" s="1"/>
  <c r="Y202" i="23"/>
  <c r="BZ201" i="23"/>
  <c r="BS201" i="23"/>
  <c r="BL201" i="23"/>
  <c r="BE201" i="23"/>
  <c r="AT201" i="23"/>
  <c r="AX201" i="23" s="1"/>
  <c r="AM201" i="23"/>
  <c r="AP201" i="23" s="1"/>
  <c r="AF201" i="23"/>
  <c r="Y201" i="23"/>
  <c r="BZ200" i="23"/>
  <c r="BS200" i="23"/>
  <c r="BL200" i="23"/>
  <c r="BE200" i="23"/>
  <c r="AT200" i="23"/>
  <c r="AW200" i="23" s="1"/>
  <c r="AM200" i="23"/>
  <c r="AQ200" i="23" s="1"/>
  <c r="AF200" i="23"/>
  <c r="AJ200" i="23" s="1"/>
  <c r="Y200" i="23"/>
  <c r="BZ199" i="23"/>
  <c r="BS199" i="23"/>
  <c r="BL199" i="23"/>
  <c r="BE199" i="23"/>
  <c r="AT199" i="23"/>
  <c r="AM199" i="23"/>
  <c r="AF199" i="23"/>
  <c r="Y199" i="23"/>
  <c r="AC199" i="23" s="1"/>
  <c r="BZ198" i="23"/>
  <c r="BS198" i="23"/>
  <c r="BL198" i="23"/>
  <c r="BE198" i="23"/>
  <c r="AT198" i="23"/>
  <c r="AX198" i="23" s="1"/>
  <c r="AM198" i="23"/>
  <c r="AP198" i="23" s="1"/>
  <c r="AF198" i="23"/>
  <c r="Y198" i="23"/>
  <c r="AC198" i="23" s="1"/>
  <c r="BW188" i="23"/>
  <c r="BP188" i="23"/>
  <c r="BI188" i="23"/>
  <c r="BB188" i="23"/>
  <c r="BZ187" i="23"/>
  <c r="BS187" i="23"/>
  <c r="BL187" i="23"/>
  <c r="BE187" i="23"/>
  <c r="AT187" i="23"/>
  <c r="AM187" i="23"/>
  <c r="AP187" i="23" s="1"/>
  <c r="AF187" i="23"/>
  <c r="Y187" i="23"/>
  <c r="AC187" i="23" s="1"/>
  <c r="BZ186" i="23"/>
  <c r="BS186" i="23"/>
  <c r="BL186" i="23"/>
  <c r="BE186" i="23"/>
  <c r="AT186" i="23"/>
  <c r="AW186" i="23" s="1"/>
  <c r="AM186" i="23"/>
  <c r="AQ186" i="23" s="1"/>
  <c r="AF186" i="23"/>
  <c r="Y186" i="23"/>
  <c r="BZ185" i="23"/>
  <c r="BS185" i="23"/>
  <c r="BL185" i="23"/>
  <c r="BE185" i="23"/>
  <c r="AT185" i="23"/>
  <c r="AM185" i="23"/>
  <c r="AP185" i="23" s="1"/>
  <c r="AF185" i="23"/>
  <c r="Y185" i="23"/>
  <c r="AC185" i="23" s="1"/>
  <c r="BZ184" i="23"/>
  <c r="BS184" i="23"/>
  <c r="BL184" i="23"/>
  <c r="BE184" i="23"/>
  <c r="AT184" i="23"/>
  <c r="AW184" i="23" s="1"/>
  <c r="AM184" i="23"/>
  <c r="AQ184" i="23" s="1"/>
  <c r="AF184" i="23"/>
  <c r="AJ184" i="23" s="1"/>
  <c r="Y184" i="23"/>
  <c r="BZ183" i="23"/>
  <c r="BS183" i="23"/>
  <c r="BL183" i="23"/>
  <c r="BE183" i="23"/>
  <c r="AT183" i="23"/>
  <c r="AM183" i="23"/>
  <c r="AF183" i="23"/>
  <c r="Y183" i="23"/>
  <c r="AC183" i="23" s="1"/>
  <c r="BZ182" i="23"/>
  <c r="BS182" i="23"/>
  <c r="BL182" i="23"/>
  <c r="BE182" i="23"/>
  <c r="AT182" i="23"/>
  <c r="AM182" i="23"/>
  <c r="AQ182" i="23" s="1"/>
  <c r="AF182" i="23"/>
  <c r="AJ182" i="23" s="1"/>
  <c r="Y182" i="23"/>
  <c r="BZ181" i="23"/>
  <c r="BS181" i="23"/>
  <c r="BL181" i="23"/>
  <c r="BE181" i="23"/>
  <c r="AT181" i="23"/>
  <c r="AM181" i="23"/>
  <c r="AF181" i="23"/>
  <c r="Y181" i="23"/>
  <c r="AC181" i="23" s="1"/>
  <c r="BZ180" i="23"/>
  <c r="BS180" i="23"/>
  <c r="BL180" i="23"/>
  <c r="BE180" i="23"/>
  <c r="AT180" i="23"/>
  <c r="AW180" i="23" s="1"/>
  <c r="AM180" i="23"/>
  <c r="AF180" i="23"/>
  <c r="AJ180" i="23" s="1"/>
  <c r="Y180" i="23"/>
  <c r="BZ179" i="23"/>
  <c r="BS179" i="23"/>
  <c r="BL179" i="23"/>
  <c r="BE179" i="23"/>
  <c r="AT179" i="23"/>
  <c r="AM179" i="23"/>
  <c r="AF179" i="23"/>
  <c r="AB179" i="23"/>
  <c r="AD179" i="23" s="1"/>
  <c r="Y179" i="23"/>
  <c r="AC179" i="23" s="1"/>
  <c r="BZ178" i="23"/>
  <c r="BS178" i="23"/>
  <c r="BL178" i="23"/>
  <c r="BE178" i="23"/>
  <c r="AT178" i="23"/>
  <c r="AW178" i="23" s="1"/>
  <c r="AM178" i="23"/>
  <c r="AF178" i="23"/>
  <c r="AJ178" i="23" s="1"/>
  <c r="Y178" i="23"/>
  <c r="BZ177" i="23"/>
  <c r="BS177" i="23"/>
  <c r="BL177" i="23"/>
  <c r="BE177" i="23"/>
  <c r="AT177" i="23"/>
  <c r="AX177" i="23" s="1"/>
  <c r="AM177" i="23"/>
  <c r="AQ177" i="23" s="1"/>
  <c r="AF177" i="23"/>
  <c r="Y177" i="23"/>
  <c r="AC177" i="23" s="1"/>
  <c r="BZ176" i="23"/>
  <c r="BS176" i="23"/>
  <c r="BL176" i="23"/>
  <c r="BE176" i="23"/>
  <c r="AT176" i="23"/>
  <c r="AW176" i="23" s="1"/>
  <c r="AM176" i="23"/>
  <c r="AF176" i="23"/>
  <c r="Y176" i="23"/>
  <c r="BZ175" i="23"/>
  <c r="BS175" i="23"/>
  <c r="BL175" i="23"/>
  <c r="BE175" i="23"/>
  <c r="AT175" i="23"/>
  <c r="AW175" i="23" s="1"/>
  <c r="AM175" i="23"/>
  <c r="AP175" i="23" s="1"/>
  <c r="AF175" i="23"/>
  <c r="AJ175" i="23" s="1"/>
  <c r="Y175" i="23"/>
  <c r="BZ174" i="23"/>
  <c r="BS174" i="23"/>
  <c r="BL174" i="23"/>
  <c r="BE174" i="23"/>
  <c r="AT174" i="23"/>
  <c r="AW174" i="23" s="1"/>
  <c r="AP174" i="23"/>
  <c r="AR174" i="23" s="1"/>
  <c r="AM174" i="23"/>
  <c r="AQ174" i="23" s="1"/>
  <c r="AF174" i="23"/>
  <c r="Y174" i="23"/>
  <c r="AC174" i="23" s="1"/>
  <c r="BZ173" i="23"/>
  <c r="BS173" i="23"/>
  <c r="BL173" i="23"/>
  <c r="BE173" i="23"/>
  <c r="AT173" i="23"/>
  <c r="AW173" i="23" s="1"/>
  <c r="AM173" i="23"/>
  <c r="AP173" i="23" s="1"/>
  <c r="AF173" i="23"/>
  <c r="Y173" i="23"/>
  <c r="AC173" i="23" s="1"/>
  <c r="BZ172" i="23"/>
  <c r="BS172" i="23"/>
  <c r="BL172" i="23"/>
  <c r="BE172" i="23"/>
  <c r="AW172" i="23"/>
  <c r="AT172" i="23"/>
  <c r="AX172" i="23" s="1"/>
  <c r="AM172" i="23"/>
  <c r="AQ172" i="23" s="1"/>
  <c r="AF172" i="23"/>
  <c r="AI172" i="23" s="1"/>
  <c r="Y172" i="23"/>
  <c r="BW161" i="23"/>
  <c r="BP161" i="23"/>
  <c r="BI161" i="23"/>
  <c r="BB161" i="23"/>
  <c r="BZ160" i="23"/>
  <c r="BS160" i="23"/>
  <c r="BL160" i="23"/>
  <c r="BE160" i="23"/>
  <c r="AT160" i="23"/>
  <c r="AX160" i="23" s="1"/>
  <c r="AM160" i="23"/>
  <c r="AF160" i="23"/>
  <c r="AI160" i="23" s="1"/>
  <c r="AB160" i="23"/>
  <c r="AD160" i="23" s="1"/>
  <c r="Y160" i="23"/>
  <c r="AC160" i="23" s="1"/>
  <c r="BZ159" i="23"/>
  <c r="BS159" i="23"/>
  <c r="BL159" i="23"/>
  <c r="BE159" i="23"/>
  <c r="AT159" i="23"/>
  <c r="AW159" i="23" s="1"/>
  <c r="AM159" i="23"/>
  <c r="AQ159" i="23" s="1"/>
  <c r="AF159" i="23"/>
  <c r="AJ159" i="23" s="1"/>
  <c r="Y159" i="23"/>
  <c r="AB159" i="23" s="1"/>
  <c r="BZ158" i="23"/>
  <c r="BS158" i="23"/>
  <c r="BL158" i="23"/>
  <c r="BE158" i="23"/>
  <c r="AT158" i="23"/>
  <c r="AX158" i="23" s="1"/>
  <c r="AM158" i="23"/>
  <c r="AQ158" i="23" s="1"/>
  <c r="AF158" i="23"/>
  <c r="AJ158" i="23" s="1"/>
  <c r="Y158" i="23"/>
  <c r="BZ157" i="23"/>
  <c r="BS157" i="23"/>
  <c r="BL157" i="23"/>
  <c r="BE157" i="23"/>
  <c r="AT157" i="23"/>
  <c r="AM157" i="23"/>
  <c r="AQ157" i="23" s="1"/>
  <c r="AF157" i="23"/>
  <c r="AJ157" i="23" s="1"/>
  <c r="Y157" i="23"/>
  <c r="AC157" i="23" s="1"/>
  <c r="BZ156" i="23"/>
  <c r="BS156" i="23"/>
  <c r="BL156" i="23"/>
  <c r="BE156" i="23"/>
  <c r="AT156" i="23"/>
  <c r="AW156" i="23" s="1"/>
  <c r="AM156" i="23"/>
  <c r="AQ156" i="23" s="1"/>
  <c r="AF156" i="23"/>
  <c r="AJ156" i="23" s="1"/>
  <c r="AB156" i="23"/>
  <c r="AD156" i="23" s="1"/>
  <c r="Y156" i="23"/>
  <c r="AC156" i="23" s="1"/>
  <c r="BZ155" i="23"/>
  <c r="BS155" i="23"/>
  <c r="BL155" i="23"/>
  <c r="BE155" i="23"/>
  <c r="AT155" i="23"/>
  <c r="AW155" i="23" s="1"/>
  <c r="AM155" i="23"/>
  <c r="AQ155" i="23" s="1"/>
  <c r="AF155" i="23"/>
  <c r="Y155" i="23"/>
  <c r="AB155" i="23" s="1"/>
  <c r="BZ154" i="23"/>
  <c r="BS154" i="23"/>
  <c r="BL154" i="23"/>
  <c r="BE154" i="23"/>
  <c r="AT154" i="23"/>
  <c r="AW154" i="23" s="1"/>
  <c r="AM154" i="23"/>
  <c r="AP154" i="23" s="1"/>
  <c r="AF154" i="23"/>
  <c r="AJ154" i="23" s="1"/>
  <c r="Y154" i="23"/>
  <c r="AC154" i="23" s="1"/>
  <c r="BZ153" i="23"/>
  <c r="BS153" i="23"/>
  <c r="BL153" i="23"/>
  <c r="BE153" i="23"/>
  <c r="AT153" i="23"/>
  <c r="AW153" i="23" s="1"/>
  <c r="AM153" i="23"/>
  <c r="AQ153" i="23" s="1"/>
  <c r="AF153" i="23"/>
  <c r="Y153" i="23"/>
  <c r="AC153" i="23" s="1"/>
  <c r="BZ152" i="23"/>
  <c r="BS152" i="23"/>
  <c r="BL152" i="23"/>
  <c r="BE152" i="23"/>
  <c r="AT152" i="23"/>
  <c r="AW152" i="23" s="1"/>
  <c r="AM152" i="23"/>
  <c r="AF152" i="23"/>
  <c r="AI152" i="23" s="1"/>
  <c r="Y152" i="23"/>
  <c r="BZ151" i="23"/>
  <c r="BS151" i="23"/>
  <c r="BL151" i="23"/>
  <c r="BE151" i="23"/>
  <c r="AT151" i="23"/>
  <c r="AX151" i="23" s="1"/>
  <c r="AM151" i="23"/>
  <c r="AP151" i="23" s="1"/>
  <c r="AF151" i="23"/>
  <c r="AI151" i="23" s="1"/>
  <c r="Y151" i="23"/>
  <c r="BZ150" i="23"/>
  <c r="BS150" i="23"/>
  <c r="BL150" i="23"/>
  <c r="BE150" i="23"/>
  <c r="AT150" i="23"/>
  <c r="AX150" i="23" s="1"/>
  <c r="AM150" i="23"/>
  <c r="AP150" i="23" s="1"/>
  <c r="AF150" i="23"/>
  <c r="AJ150" i="23" s="1"/>
  <c r="Y150" i="23"/>
  <c r="AB150" i="23" s="1"/>
  <c r="BZ149" i="23"/>
  <c r="BS149" i="23"/>
  <c r="BL149" i="23"/>
  <c r="BE149" i="23"/>
  <c r="AT149" i="23"/>
  <c r="AW149" i="23" s="1"/>
  <c r="AM149" i="23"/>
  <c r="AF149" i="23"/>
  <c r="AJ149" i="23" s="1"/>
  <c r="Y149" i="23"/>
  <c r="BZ148" i="23"/>
  <c r="BS148" i="23"/>
  <c r="BL148" i="23"/>
  <c r="BE148" i="23"/>
  <c r="AT148" i="23"/>
  <c r="AW148" i="23" s="1"/>
  <c r="AM148" i="23"/>
  <c r="AF148" i="23"/>
  <c r="AJ148" i="23" s="1"/>
  <c r="Y148" i="23"/>
  <c r="BZ147" i="23"/>
  <c r="BS147" i="23"/>
  <c r="BL147" i="23"/>
  <c r="BE147" i="23"/>
  <c r="AT147" i="23"/>
  <c r="AX147" i="23" s="1"/>
  <c r="AM147" i="23"/>
  <c r="AF147" i="23"/>
  <c r="AI147" i="23" s="1"/>
  <c r="Y147" i="23"/>
  <c r="BZ146" i="23"/>
  <c r="BS146" i="23"/>
  <c r="BL146" i="23"/>
  <c r="BE146" i="23"/>
  <c r="AT146" i="23"/>
  <c r="AM146" i="23"/>
  <c r="AP146" i="23" s="1"/>
  <c r="AF146" i="23"/>
  <c r="AJ146" i="23" s="1"/>
  <c r="Y146" i="23"/>
  <c r="AB146" i="23" s="1"/>
  <c r="BZ145" i="23"/>
  <c r="BS145" i="23"/>
  <c r="BL145" i="23"/>
  <c r="BE145" i="23"/>
  <c r="AT145" i="23"/>
  <c r="AW145" i="23" s="1"/>
  <c r="AM145" i="23"/>
  <c r="AF145" i="23"/>
  <c r="AI145" i="23" s="1"/>
  <c r="Y145" i="23"/>
  <c r="AC145" i="23" s="1"/>
  <c r="BW132" i="23"/>
  <c r="BP132" i="23"/>
  <c r="BI132" i="23"/>
  <c r="BB132" i="23"/>
  <c r="BZ131" i="23"/>
  <c r="BS131" i="23"/>
  <c r="BL131" i="23"/>
  <c r="BE131" i="23"/>
  <c r="AT131" i="23"/>
  <c r="AX131" i="23" s="1"/>
  <c r="AM131" i="23"/>
  <c r="AF131" i="23"/>
  <c r="Y131" i="23"/>
  <c r="AB131" i="23" s="1"/>
  <c r="BZ130" i="23"/>
  <c r="BS130" i="23"/>
  <c r="BL130" i="23"/>
  <c r="BE130" i="23"/>
  <c r="AT130" i="23"/>
  <c r="AW130" i="23" s="1"/>
  <c r="AM130" i="23"/>
  <c r="AF130" i="23"/>
  <c r="AJ130" i="23" s="1"/>
  <c r="Y130" i="23"/>
  <c r="BZ129" i="23"/>
  <c r="BS129" i="23"/>
  <c r="BL129" i="23"/>
  <c r="BE129" i="23"/>
  <c r="AT129" i="23"/>
  <c r="AM129" i="23"/>
  <c r="AF129" i="23"/>
  <c r="Y129" i="23"/>
  <c r="BZ128" i="23"/>
  <c r="BS128" i="23"/>
  <c r="BL128" i="23"/>
  <c r="BE128" i="23"/>
  <c r="AT128" i="23"/>
  <c r="AX128" i="23" s="1"/>
  <c r="AM128" i="23"/>
  <c r="AF128" i="23"/>
  <c r="AI128" i="23" s="1"/>
  <c r="Y128" i="23"/>
  <c r="AB128" i="23" s="1"/>
  <c r="BZ127" i="23"/>
  <c r="BS127" i="23"/>
  <c r="BL127" i="23"/>
  <c r="BE127" i="23"/>
  <c r="AT127" i="23"/>
  <c r="AW127" i="23" s="1"/>
  <c r="AM127" i="23"/>
  <c r="AF127" i="23"/>
  <c r="Y127" i="23"/>
  <c r="AB127" i="23" s="1"/>
  <c r="BZ126" i="23"/>
  <c r="BS126" i="23"/>
  <c r="BL126" i="23"/>
  <c r="BE126" i="23"/>
  <c r="AT126" i="23"/>
  <c r="AM126" i="23"/>
  <c r="AF126" i="23"/>
  <c r="AJ126" i="23" s="1"/>
  <c r="AC126" i="23"/>
  <c r="AD126" i="23" s="1"/>
  <c r="Y126" i="23"/>
  <c r="AB126" i="23" s="1"/>
  <c r="BZ125" i="23"/>
  <c r="BS125" i="23"/>
  <c r="BL125" i="23"/>
  <c r="BE125" i="23"/>
  <c r="AT125" i="23"/>
  <c r="AX125" i="23" s="1"/>
  <c r="AM125" i="23"/>
  <c r="AF125" i="23"/>
  <c r="Y125" i="23"/>
  <c r="BZ124" i="23"/>
  <c r="BS124" i="23"/>
  <c r="BL124" i="23"/>
  <c r="BE124" i="23"/>
  <c r="AT124" i="23"/>
  <c r="AX124" i="23" s="1"/>
  <c r="AM124" i="23"/>
  <c r="AP124" i="23" s="1"/>
  <c r="AF124" i="23"/>
  <c r="AI124" i="23" s="1"/>
  <c r="Y124" i="23"/>
  <c r="BZ123" i="23"/>
  <c r="BS123" i="23"/>
  <c r="BL123" i="23"/>
  <c r="BE123" i="23"/>
  <c r="AT123" i="23"/>
  <c r="AX123" i="23" s="1"/>
  <c r="AM123" i="23"/>
  <c r="AF123" i="23"/>
  <c r="AJ123" i="23" s="1"/>
  <c r="Y123" i="23"/>
  <c r="AB123" i="23" s="1"/>
  <c r="BZ122" i="23"/>
  <c r="BS122" i="23"/>
  <c r="BL122" i="23"/>
  <c r="BE122" i="23"/>
  <c r="AT122" i="23"/>
  <c r="AM122" i="23"/>
  <c r="AF122" i="23"/>
  <c r="AJ122" i="23" s="1"/>
  <c r="Y122" i="23"/>
  <c r="AB122" i="23" s="1"/>
  <c r="BZ121" i="23"/>
  <c r="BS121" i="23"/>
  <c r="BL121" i="23"/>
  <c r="BE121" i="23"/>
  <c r="AT121" i="23"/>
  <c r="AX121" i="23" s="1"/>
  <c r="AM121" i="23"/>
  <c r="AF121" i="23"/>
  <c r="AI121" i="23" s="1"/>
  <c r="Y121" i="23"/>
  <c r="BZ120" i="23"/>
  <c r="BS120" i="23"/>
  <c r="BL120" i="23"/>
  <c r="BE120" i="23"/>
  <c r="AT120" i="23"/>
  <c r="AX120" i="23" s="1"/>
  <c r="AM120" i="23"/>
  <c r="AF120" i="23"/>
  <c r="Y120" i="23"/>
  <c r="BZ119" i="23"/>
  <c r="BS119" i="23"/>
  <c r="BL119" i="23"/>
  <c r="BE119" i="23"/>
  <c r="AT119" i="23"/>
  <c r="AW119" i="23" s="1"/>
  <c r="AM119" i="23"/>
  <c r="AF119" i="23"/>
  <c r="AJ119" i="23" s="1"/>
  <c r="Y119" i="23"/>
  <c r="BZ118" i="23"/>
  <c r="BS118" i="23"/>
  <c r="BL118" i="23"/>
  <c r="BE118" i="23"/>
  <c r="AT118" i="23"/>
  <c r="AW118" i="23" s="1"/>
  <c r="AM118" i="23"/>
  <c r="AF118" i="23"/>
  <c r="AI118" i="23" s="1"/>
  <c r="AC118" i="23"/>
  <c r="AD118" i="23" s="1"/>
  <c r="Y118" i="23"/>
  <c r="AB118" i="23" s="1"/>
  <c r="BZ117" i="23"/>
  <c r="BS117" i="23"/>
  <c r="BL117" i="23"/>
  <c r="BE117" i="23"/>
  <c r="AT117" i="23"/>
  <c r="AM117" i="23"/>
  <c r="AF117" i="23"/>
  <c r="Y117" i="23"/>
  <c r="BZ116" i="23"/>
  <c r="BS116" i="23"/>
  <c r="BL116" i="23"/>
  <c r="BE116" i="23"/>
  <c r="AT116" i="23"/>
  <c r="AM116" i="23"/>
  <c r="AP116" i="23" s="1"/>
  <c r="AF116" i="23"/>
  <c r="Y116" i="23"/>
  <c r="BW103" i="23"/>
  <c r="BP103" i="23"/>
  <c r="BI103" i="23"/>
  <c r="BB103" i="23"/>
  <c r="BZ102" i="23"/>
  <c r="BS102" i="23"/>
  <c r="BL102" i="23"/>
  <c r="BE102" i="23"/>
  <c r="AT102" i="23"/>
  <c r="AX102" i="23" s="1"/>
  <c r="AM102" i="23"/>
  <c r="AP102" i="23" s="1"/>
  <c r="AF102" i="23"/>
  <c r="Y102" i="23"/>
  <c r="BZ101" i="23"/>
  <c r="BS101" i="23"/>
  <c r="BL101" i="23"/>
  <c r="BE101" i="23"/>
  <c r="AT101" i="23"/>
  <c r="AM101" i="23"/>
  <c r="AP101" i="23" s="1"/>
  <c r="AF101" i="23"/>
  <c r="AJ101" i="23" s="1"/>
  <c r="Y101" i="23"/>
  <c r="AB101" i="23" s="1"/>
  <c r="BZ100" i="23"/>
  <c r="BS100" i="23"/>
  <c r="BL100" i="23"/>
  <c r="BE100" i="23"/>
  <c r="AT100" i="23"/>
  <c r="AM100" i="23"/>
  <c r="AF100" i="23"/>
  <c r="AJ100" i="23" s="1"/>
  <c r="Y100" i="23"/>
  <c r="BZ99" i="23"/>
  <c r="BS99" i="23"/>
  <c r="BL99" i="23"/>
  <c r="BE99" i="23"/>
  <c r="AT99" i="23"/>
  <c r="AM99" i="23"/>
  <c r="AP99" i="23" s="1"/>
  <c r="AF99" i="23"/>
  <c r="AJ99" i="23" s="1"/>
  <c r="Y99" i="23"/>
  <c r="BZ98" i="23"/>
  <c r="BS98" i="23"/>
  <c r="BL98" i="23"/>
  <c r="BE98" i="23"/>
  <c r="AT98" i="23"/>
  <c r="AM98" i="23"/>
  <c r="AF98" i="23"/>
  <c r="Y98" i="23"/>
  <c r="BZ97" i="23"/>
  <c r="BS97" i="23"/>
  <c r="BL97" i="23"/>
  <c r="BE97" i="23"/>
  <c r="AT97" i="23"/>
  <c r="AX97" i="23" s="1"/>
  <c r="AM97" i="23"/>
  <c r="AF97" i="23"/>
  <c r="AJ97" i="23" s="1"/>
  <c r="Y97" i="23"/>
  <c r="BZ96" i="23"/>
  <c r="BS96" i="23"/>
  <c r="BL96" i="23"/>
  <c r="BE96" i="23"/>
  <c r="AT96" i="23"/>
  <c r="AW96" i="23" s="1"/>
  <c r="AM96" i="23"/>
  <c r="AF96" i="23"/>
  <c r="AJ96" i="23" s="1"/>
  <c r="Y96" i="23"/>
  <c r="AB96" i="23" s="1"/>
  <c r="BZ95" i="23"/>
  <c r="BS95" i="23"/>
  <c r="BL95" i="23"/>
  <c r="BE95" i="23"/>
  <c r="AT95" i="23"/>
  <c r="AW95" i="23" s="1"/>
  <c r="AM95" i="23"/>
  <c r="AF95" i="23"/>
  <c r="AI95" i="23" s="1"/>
  <c r="Y95" i="23"/>
  <c r="BZ94" i="23"/>
  <c r="BS94" i="23"/>
  <c r="BL94" i="23"/>
  <c r="BE94" i="23"/>
  <c r="AT94" i="23"/>
  <c r="AM94" i="23"/>
  <c r="AF94" i="23"/>
  <c r="Y94" i="23"/>
  <c r="BZ93" i="23"/>
  <c r="BS93" i="23"/>
  <c r="BL93" i="23"/>
  <c r="BE93" i="23"/>
  <c r="AT93" i="23"/>
  <c r="AM93" i="23"/>
  <c r="AF93" i="23"/>
  <c r="AJ93" i="23" s="1"/>
  <c r="Y93" i="23"/>
  <c r="BZ92" i="23"/>
  <c r="BS92" i="23"/>
  <c r="BL92" i="23"/>
  <c r="BE92" i="23"/>
  <c r="AT92" i="23"/>
  <c r="AM92" i="23"/>
  <c r="AF92" i="23"/>
  <c r="Y92" i="23"/>
  <c r="AB92" i="23" s="1"/>
  <c r="BZ91" i="23"/>
  <c r="BS91" i="23"/>
  <c r="BL91" i="23"/>
  <c r="BE91" i="23"/>
  <c r="AT91" i="23"/>
  <c r="AW91" i="23" s="1"/>
  <c r="AM91" i="23"/>
  <c r="AP91" i="23" s="1"/>
  <c r="AF91" i="23"/>
  <c r="AJ91" i="23" s="1"/>
  <c r="Y91" i="23"/>
  <c r="BZ90" i="23"/>
  <c r="BS90" i="23"/>
  <c r="BL90" i="23"/>
  <c r="BE90" i="23"/>
  <c r="AT90" i="23"/>
  <c r="AM90" i="23"/>
  <c r="AP90" i="23" s="1"/>
  <c r="AJ90" i="23"/>
  <c r="AF90" i="23"/>
  <c r="AI90" i="23" s="1"/>
  <c r="Y90" i="23"/>
  <c r="BZ89" i="23"/>
  <c r="BS89" i="23"/>
  <c r="BL89" i="23"/>
  <c r="BE89" i="23"/>
  <c r="AT89" i="23"/>
  <c r="AM89" i="23"/>
  <c r="AF89" i="23"/>
  <c r="Y89" i="23"/>
  <c r="BZ88" i="23"/>
  <c r="BS88" i="23"/>
  <c r="BL88" i="23"/>
  <c r="BE88" i="23"/>
  <c r="AT88" i="23"/>
  <c r="AM88" i="23"/>
  <c r="AF88" i="23"/>
  <c r="Y88" i="23"/>
  <c r="AB88" i="23" s="1"/>
  <c r="BZ87" i="23"/>
  <c r="BS87" i="23"/>
  <c r="BL87" i="23"/>
  <c r="BE87" i="23"/>
  <c r="AT87" i="23"/>
  <c r="AM87" i="23"/>
  <c r="AQ87" i="23" s="1"/>
  <c r="AF87" i="23"/>
  <c r="Y87" i="23"/>
  <c r="BW76" i="23"/>
  <c r="BP76" i="23"/>
  <c r="BI76" i="23"/>
  <c r="BB76" i="23"/>
  <c r="BZ75" i="23"/>
  <c r="BS75" i="23"/>
  <c r="BL75" i="23"/>
  <c r="BE75" i="23"/>
  <c r="AT75" i="23"/>
  <c r="AM75" i="23"/>
  <c r="AP75" i="23" s="1"/>
  <c r="AF75" i="23"/>
  <c r="AJ75" i="23" s="1"/>
  <c r="Y75" i="23"/>
  <c r="BZ74" i="23"/>
  <c r="BS74" i="23"/>
  <c r="BL74" i="23"/>
  <c r="BE74" i="23"/>
  <c r="AT74" i="23"/>
  <c r="AW74" i="23" s="1"/>
  <c r="AM74" i="23"/>
  <c r="AP74" i="23" s="1"/>
  <c r="AF74" i="23"/>
  <c r="AI74" i="23" s="1"/>
  <c r="Y74" i="23"/>
  <c r="BZ73" i="23"/>
  <c r="BS73" i="23"/>
  <c r="BL73" i="23"/>
  <c r="BE73" i="23"/>
  <c r="AT73" i="23"/>
  <c r="AM73" i="23"/>
  <c r="AP73" i="23" s="1"/>
  <c r="AF73" i="23"/>
  <c r="AJ73" i="23" s="1"/>
  <c r="Y73" i="23"/>
  <c r="BZ72" i="23"/>
  <c r="BS72" i="23"/>
  <c r="BL72" i="23"/>
  <c r="BE72" i="23"/>
  <c r="AT72" i="23"/>
  <c r="AM72" i="23"/>
  <c r="AP72" i="23" s="1"/>
  <c r="AF72" i="23"/>
  <c r="AJ72" i="23" s="1"/>
  <c r="Y72" i="23"/>
  <c r="BZ71" i="23"/>
  <c r="BS71" i="23"/>
  <c r="BL71" i="23"/>
  <c r="BE71" i="23"/>
  <c r="AT71" i="23"/>
  <c r="AW71" i="23" s="1"/>
  <c r="AM71" i="23"/>
  <c r="AF71" i="23"/>
  <c r="AI71" i="23" s="1"/>
  <c r="Y71" i="23"/>
  <c r="BZ70" i="23"/>
  <c r="BS70" i="23"/>
  <c r="BL70" i="23"/>
  <c r="BE70" i="23"/>
  <c r="AT70" i="23"/>
  <c r="AX70" i="23" s="1"/>
  <c r="AM70" i="23"/>
  <c r="AF70" i="23"/>
  <c r="AJ70" i="23" s="1"/>
  <c r="Y70" i="23"/>
  <c r="BZ69" i="23"/>
  <c r="BS69" i="23"/>
  <c r="BL69" i="23"/>
  <c r="BE69" i="23"/>
  <c r="AT69" i="23"/>
  <c r="AW69" i="23" s="1"/>
  <c r="AM69" i="23"/>
  <c r="AP69" i="23" s="1"/>
  <c r="AF69" i="23"/>
  <c r="AJ69" i="23" s="1"/>
  <c r="Y69" i="23"/>
  <c r="AB69" i="23" s="1"/>
  <c r="BZ68" i="23"/>
  <c r="BS68" i="23"/>
  <c r="BL68" i="23"/>
  <c r="BE68" i="23"/>
  <c r="AT68" i="23"/>
  <c r="AW68" i="23" s="1"/>
  <c r="AM68" i="23"/>
  <c r="AF68" i="23"/>
  <c r="Y68" i="23"/>
  <c r="AB68" i="23" s="1"/>
  <c r="BZ67" i="23"/>
  <c r="BS67" i="23"/>
  <c r="BL67" i="23"/>
  <c r="BE67" i="23"/>
  <c r="AT67" i="23"/>
  <c r="AW67" i="23" s="1"/>
  <c r="AM67" i="23"/>
  <c r="AP67" i="23" s="1"/>
  <c r="AF67" i="23"/>
  <c r="AI67" i="23" s="1"/>
  <c r="Y67" i="23"/>
  <c r="BZ66" i="23"/>
  <c r="BS66" i="23"/>
  <c r="BL66" i="23"/>
  <c r="BE66" i="23"/>
  <c r="AT66" i="23"/>
  <c r="AM66" i="23"/>
  <c r="AP66" i="23" s="1"/>
  <c r="AF66" i="23"/>
  <c r="AI66" i="23" s="1"/>
  <c r="Y66" i="23"/>
  <c r="BZ65" i="23"/>
  <c r="BS65" i="23"/>
  <c r="BL65" i="23"/>
  <c r="BE65" i="23"/>
  <c r="AT65" i="23"/>
  <c r="AX65" i="23" s="1"/>
  <c r="AM65" i="23"/>
  <c r="AP65" i="23" s="1"/>
  <c r="AF65" i="23"/>
  <c r="Y65" i="23"/>
  <c r="AB65" i="23" s="1"/>
  <c r="BZ64" i="23"/>
  <c r="BS64" i="23"/>
  <c r="BL64" i="23"/>
  <c r="BE64" i="23"/>
  <c r="AT64" i="23"/>
  <c r="AM64" i="23"/>
  <c r="AP64" i="23" s="1"/>
  <c r="AF64" i="23"/>
  <c r="Y64" i="23"/>
  <c r="AC64" i="23" s="1"/>
  <c r="BZ63" i="23"/>
  <c r="BS63" i="23"/>
  <c r="BL63" i="23"/>
  <c r="BE63" i="23"/>
  <c r="AT63" i="23"/>
  <c r="AM63" i="23"/>
  <c r="AQ63" i="23" s="1"/>
  <c r="AF63" i="23"/>
  <c r="Y63" i="23"/>
  <c r="AB63" i="23" s="1"/>
  <c r="BZ62" i="23"/>
  <c r="BS62" i="23"/>
  <c r="BL62" i="23"/>
  <c r="BE62" i="23"/>
  <c r="AT62" i="23"/>
  <c r="AM62" i="23"/>
  <c r="AQ62" i="23" s="1"/>
  <c r="AF62" i="23"/>
  <c r="Y62" i="23"/>
  <c r="AB62" i="23" s="1"/>
  <c r="BZ61" i="23"/>
  <c r="BS61" i="23"/>
  <c r="BL61" i="23"/>
  <c r="BE61" i="23"/>
  <c r="AT61" i="23"/>
  <c r="AM61" i="23"/>
  <c r="AQ61" i="23" s="1"/>
  <c r="AF61" i="23"/>
  <c r="Y61" i="23"/>
  <c r="AC61" i="23" s="1"/>
  <c r="BZ60" i="23"/>
  <c r="BS60" i="23"/>
  <c r="BL60" i="23"/>
  <c r="BE60" i="23"/>
  <c r="AT60" i="23"/>
  <c r="AM60" i="23"/>
  <c r="AQ60" i="23" s="1"/>
  <c r="AF60" i="23"/>
  <c r="AJ60" i="23" s="1"/>
  <c r="AC60" i="23"/>
  <c r="Y60" i="23"/>
  <c r="AB60" i="23" s="1"/>
  <c r="BW48" i="23"/>
  <c r="BP48" i="23"/>
  <c r="BI48" i="23"/>
  <c r="BK40" i="23" s="1"/>
  <c r="BB48" i="23"/>
  <c r="BD46" i="23" s="1"/>
  <c r="BZ47" i="23"/>
  <c r="CA47" i="23" s="1"/>
  <c r="CB47" i="23" s="1"/>
  <c r="BS47" i="23"/>
  <c r="BR47" i="23"/>
  <c r="BL47" i="23"/>
  <c r="BE47" i="23"/>
  <c r="AT47" i="23"/>
  <c r="AX47" i="23" s="1"/>
  <c r="AM47" i="23"/>
  <c r="AQ47" i="23" s="1"/>
  <c r="AF47" i="23"/>
  <c r="AJ47" i="23" s="1"/>
  <c r="Y47" i="23"/>
  <c r="AC47" i="23" s="1"/>
  <c r="BZ46" i="23"/>
  <c r="CA46" i="23" s="1"/>
  <c r="CB46" i="23" s="1"/>
  <c r="BS46" i="23"/>
  <c r="BR46" i="23"/>
  <c r="BL46" i="23"/>
  <c r="BE46" i="23"/>
  <c r="AT46" i="23"/>
  <c r="AX46" i="23" s="1"/>
  <c r="AM46" i="23"/>
  <c r="AQ46" i="23" s="1"/>
  <c r="AF46" i="23"/>
  <c r="AJ46" i="23" s="1"/>
  <c r="Y46" i="23"/>
  <c r="AC46" i="23" s="1"/>
  <c r="BZ45" i="23"/>
  <c r="BS45" i="23"/>
  <c r="BR45" i="23"/>
  <c r="BL45" i="23"/>
  <c r="BE45" i="23"/>
  <c r="AT45" i="23"/>
  <c r="AX45" i="23" s="1"/>
  <c r="AM45" i="23"/>
  <c r="AQ45" i="23" s="1"/>
  <c r="AF45" i="23"/>
  <c r="AI45" i="23" s="1"/>
  <c r="Y45" i="23"/>
  <c r="AC45" i="23" s="1"/>
  <c r="BZ44" i="23"/>
  <c r="CA44" i="23" s="1"/>
  <c r="CB44" i="23" s="1"/>
  <c r="BS44" i="23"/>
  <c r="BR44" i="23"/>
  <c r="BL44" i="23"/>
  <c r="BE44" i="23"/>
  <c r="AT44" i="23"/>
  <c r="AW44" i="23" s="1"/>
  <c r="AM44" i="23"/>
  <c r="AQ44" i="23" s="1"/>
  <c r="AF44" i="23"/>
  <c r="AJ44" i="23" s="1"/>
  <c r="Y44" i="23"/>
  <c r="AC44" i="23" s="1"/>
  <c r="BZ43" i="23"/>
  <c r="CA43" i="23" s="1"/>
  <c r="CB43" i="23" s="1"/>
  <c r="BS43" i="23"/>
  <c r="BR43" i="23"/>
  <c r="BL43" i="23"/>
  <c r="BK43" i="23"/>
  <c r="BE43" i="23"/>
  <c r="AT43" i="23"/>
  <c r="AW43" i="23" s="1"/>
  <c r="AM43" i="23"/>
  <c r="AQ43" i="23" s="1"/>
  <c r="AF43" i="23"/>
  <c r="AI43" i="23" s="1"/>
  <c r="Y43" i="23"/>
  <c r="AC43" i="23" s="1"/>
  <c r="BZ42" i="23"/>
  <c r="CA42" i="23" s="1"/>
  <c r="CB42" i="23" s="1"/>
  <c r="BS42" i="23"/>
  <c r="BR42" i="23"/>
  <c r="BL42" i="23"/>
  <c r="BK42" i="23"/>
  <c r="BE42" i="23"/>
  <c r="AT42" i="23"/>
  <c r="AW42" i="23" s="1"/>
  <c r="AM42" i="23"/>
  <c r="AQ42" i="23" s="1"/>
  <c r="AF42" i="23"/>
  <c r="AJ42" i="23" s="1"/>
  <c r="Y42" i="23"/>
  <c r="AC42" i="23" s="1"/>
  <c r="BZ41" i="23"/>
  <c r="CA41" i="23" s="1"/>
  <c r="CB41" i="23" s="1"/>
  <c r="BS41" i="23"/>
  <c r="BR41" i="23"/>
  <c r="BL41" i="23"/>
  <c r="BE41" i="23"/>
  <c r="AT41" i="23"/>
  <c r="AW41" i="23" s="1"/>
  <c r="AM41" i="23"/>
  <c r="AQ41" i="23" s="1"/>
  <c r="AF41" i="23"/>
  <c r="AJ41" i="23" s="1"/>
  <c r="Y41" i="23"/>
  <c r="AC41" i="23" s="1"/>
  <c r="BZ40" i="23"/>
  <c r="BS40" i="23"/>
  <c r="BR40" i="23"/>
  <c r="BL40" i="23"/>
  <c r="BE40" i="23"/>
  <c r="AT40" i="23"/>
  <c r="AW40" i="23" s="1"/>
  <c r="AM40" i="23"/>
  <c r="AQ40" i="23" s="1"/>
  <c r="AF40" i="23"/>
  <c r="AJ40" i="23" s="1"/>
  <c r="Y40" i="23"/>
  <c r="AC40" i="23" s="1"/>
  <c r="BZ39" i="23"/>
  <c r="CA39" i="23" s="1"/>
  <c r="CB39" i="23" s="1"/>
  <c r="BS39" i="23"/>
  <c r="BR39" i="23"/>
  <c r="BL39" i="23"/>
  <c r="BK39" i="23"/>
  <c r="BE39" i="23"/>
  <c r="AX39" i="23"/>
  <c r="AT39" i="23"/>
  <c r="AW39" i="23" s="1"/>
  <c r="AM39" i="23"/>
  <c r="AQ39" i="23" s="1"/>
  <c r="AF39" i="23"/>
  <c r="AI39" i="23" s="1"/>
  <c r="Y39" i="23"/>
  <c r="AC39" i="23" s="1"/>
  <c r="BZ38" i="23"/>
  <c r="CA38" i="23" s="1"/>
  <c r="CB38" i="23" s="1"/>
  <c r="BS38" i="23"/>
  <c r="BR38" i="23"/>
  <c r="BL38" i="23"/>
  <c r="BK38" i="23"/>
  <c r="BM38" i="23" s="1"/>
  <c r="BN38" i="23" s="1"/>
  <c r="BE38" i="23"/>
  <c r="AT38" i="23"/>
  <c r="AW38" i="23" s="1"/>
  <c r="AM38" i="23"/>
  <c r="AQ38" i="23" s="1"/>
  <c r="AI38" i="23"/>
  <c r="AF38" i="23"/>
  <c r="AJ38" i="23" s="1"/>
  <c r="Y38" i="23"/>
  <c r="AC38" i="23" s="1"/>
  <c r="BZ37" i="23"/>
  <c r="CA37" i="23" s="1"/>
  <c r="CB37" i="23" s="1"/>
  <c r="BS37" i="23"/>
  <c r="BR37" i="23"/>
  <c r="BL37" i="23"/>
  <c r="BE37" i="23"/>
  <c r="AT37" i="23"/>
  <c r="AW37" i="23" s="1"/>
  <c r="AM37" i="23"/>
  <c r="AQ37" i="23" s="1"/>
  <c r="AF37" i="23"/>
  <c r="AJ37" i="23" s="1"/>
  <c r="Y37" i="23"/>
  <c r="AC37" i="23" s="1"/>
  <c r="BZ36" i="23"/>
  <c r="BS36" i="23"/>
  <c r="BR36" i="23"/>
  <c r="BL36" i="23"/>
  <c r="BE36" i="23"/>
  <c r="AT36" i="23"/>
  <c r="AW36" i="23" s="1"/>
  <c r="AM36" i="23"/>
  <c r="AQ36" i="23" s="1"/>
  <c r="AF36" i="23"/>
  <c r="AJ36" i="23" s="1"/>
  <c r="Y36" i="23"/>
  <c r="AC36" i="23" s="1"/>
  <c r="BZ35" i="23"/>
  <c r="CA35" i="23" s="1"/>
  <c r="CB35" i="23" s="1"/>
  <c r="BS35" i="23"/>
  <c r="BR35" i="23"/>
  <c r="BL35" i="23"/>
  <c r="BK35" i="23"/>
  <c r="BE35" i="23"/>
  <c r="AT35" i="23"/>
  <c r="AW35" i="23" s="1"/>
  <c r="AM35" i="23"/>
  <c r="AQ35" i="23" s="1"/>
  <c r="AF35" i="23"/>
  <c r="AI35" i="23" s="1"/>
  <c r="Y35" i="23"/>
  <c r="AC35" i="23" s="1"/>
  <c r="BZ34" i="23"/>
  <c r="CA34" i="23"/>
  <c r="CB34" i="23" s="1"/>
  <c r="BS34" i="23"/>
  <c r="BR34" i="23"/>
  <c r="BL34" i="23"/>
  <c r="BK34" i="23"/>
  <c r="BE34" i="23"/>
  <c r="AT34" i="23"/>
  <c r="AW34" i="23" s="1"/>
  <c r="AM34" i="23"/>
  <c r="AQ34" i="23" s="1"/>
  <c r="AF34" i="23"/>
  <c r="AJ34" i="23" s="1"/>
  <c r="Y34" i="23"/>
  <c r="AC34" i="23" s="1"/>
  <c r="BZ33" i="23"/>
  <c r="BX33" i="23"/>
  <c r="BS33" i="23"/>
  <c r="BR33" i="23"/>
  <c r="BL33" i="23"/>
  <c r="BJ33" i="23"/>
  <c r="BE33" i="23"/>
  <c r="BC33" i="23"/>
  <c r="AT33" i="23"/>
  <c r="AX33" i="23" s="1"/>
  <c r="AM33" i="23"/>
  <c r="AQ33" i="23" s="1"/>
  <c r="AF33" i="23"/>
  <c r="AJ33" i="23" s="1"/>
  <c r="Y33" i="23"/>
  <c r="AB33" i="23" s="1"/>
  <c r="BW25" i="23"/>
  <c r="BP25" i="23"/>
  <c r="BI25" i="23"/>
  <c r="BB25" i="23"/>
  <c r="BZ24" i="23"/>
  <c r="BY24" i="23"/>
  <c r="BS24" i="23"/>
  <c r="BR24" i="23"/>
  <c r="BL24" i="23"/>
  <c r="BK24" i="23"/>
  <c r="BE24" i="23"/>
  <c r="AT24" i="23"/>
  <c r="AW24" i="23" s="1"/>
  <c r="AM24" i="23"/>
  <c r="AQ24" i="23" s="1"/>
  <c r="AF24" i="23"/>
  <c r="AJ24" i="23" s="1"/>
  <c r="Y24" i="23"/>
  <c r="AC24" i="23" s="1"/>
  <c r="BZ23" i="23"/>
  <c r="BY23" i="23"/>
  <c r="BS23" i="23"/>
  <c r="BR23" i="23"/>
  <c r="BL23" i="23"/>
  <c r="BK23" i="23"/>
  <c r="BE23" i="23"/>
  <c r="BD23" i="23"/>
  <c r="AT23" i="23"/>
  <c r="AW23" i="23" s="1"/>
  <c r="AM23" i="23"/>
  <c r="AQ23" i="23" s="1"/>
  <c r="AF23" i="23"/>
  <c r="AJ23" i="23" s="1"/>
  <c r="Y23" i="23"/>
  <c r="AC23" i="23" s="1"/>
  <c r="BZ22" i="23"/>
  <c r="BY22" i="23"/>
  <c r="CA22" i="23" s="1"/>
  <c r="CB22" i="23" s="1"/>
  <c r="BS22" i="23"/>
  <c r="BR22" i="23"/>
  <c r="BL22" i="23"/>
  <c r="BK22" i="23"/>
  <c r="BE22" i="23"/>
  <c r="AT22" i="23"/>
  <c r="AW22" i="23" s="1"/>
  <c r="AM22" i="23"/>
  <c r="AQ22" i="23" s="1"/>
  <c r="AJ22" i="23"/>
  <c r="AF22" i="23"/>
  <c r="AI22" i="23" s="1"/>
  <c r="Y22" i="23"/>
  <c r="AC22" i="23" s="1"/>
  <c r="BZ21" i="23"/>
  <c r="BY21" i="23"/>
  <c r="BS21" i="23"/>
  <c r="BR21" i="23"/>
  <c r="BL21" i="23"/>
  <c r="BK21" i="23"/>
  <c r="BE21" i="23"/>
  <c r="AT21" i="23"/>
  <c r="AW21" i="23" s="1"/>
  <c r="AM21" i="23"/>
  <c r="AQ21" i="23" s="1"/>
  <c r="AF21" i="23"/>
  <c r="AJ21" i="23" s="1"/>
  <c r="Y21" i="23"/>
  <c r="AC21" i="23" s="1"/>
  <c r="BZ20" i="23"/>
  <c r="CA20" i="23" s="1"/>
  <c r="CB20" i="23" s="1"/>
  <c r="BY20" i="23"/>
  <c r="BS20" i="23"/>
  <c r="BR20" i="23"/>
  <c r="BL20" i="23"/>
  <c r="BK20" i="23"/>
  <c r="BE20" i="23"/>
  <c r="AT20" i="23"/>
  <c r="AW20" i="23" s="1"/>
  <c r="AM20" i="23"/>
  <c r="AQ20" i="23" s="1"/>
  <c r="AF20" i="23"/>
  <c r="AI20" i="23" s="1"/>
  <c r="Y20" i="23"/>
  <c r="AC20" i="23" s="1"/>
  <c r="BZ19" i="23"/>
  <c r="BY19" i="23"/>
  <c r="BS19" i="23"/>
  <c r="BR19" i="23"/>
  <c r="BL19" i="23"/>
  <c r="BK19" i="23"/>
  <c r="BM19" i="23" s="1"/>
  <c r="BN19" i="23" s="1"/>
  <c r="BE19" i="23"/>
  <c r="BD19" i="23"/>
  <c r="BF19" i="23" s="1"/>
  <c r="BG19" i="23" s="1"/>
  <c r="AT19" i="23"/>
  <c r="AW19" i="23" s="1"/>
  <c r="AM19" i="23"/>
  <c r="AQ19" i="23" s="1"/>
  <c r="AF19" i="23"/>
  <c r="AJ19" i="23" s="1"/>
  <c r="Y19" i="23"/>
  <c r="AC19" i="23" s="1"/>
  <c r="BZ18" i="23"/>
  <c r="BY18" i="23"/>
  <c r="BS18" i="23"/>
  <c r="BR18" i="23"/>
  <c r="BL18" i="23"/>
  <c r="BK18" i="23"/>
  <c r="BM18" i="23" s="1"/>
  <c r="BN18" i="23" s="1"/>
  <c r="BE18" i="23"/>
  <c r="AT18" i="23"/>
  <c r="AW18" i="23" s="1"/>
  <c r="AM18" i="23"/>
  <c r="AQ18" i="23" s="1"/>
  <c r="AF18" i="23"/>
  <c r="AI18" i="23" s="1"/>
  <c r="Y18" i="23"/>
  <c r="AC18" i="23" s="1"/>
  <c r="BZ17" i="23"/>
  <c r="BY17" i="23"/>
  <c r="BS17" i="23"/>
  <c r="BR17" i="23"/>
  <c r="BL17" i="23"/>
  <c r="BK17" i="23"/>
  <c r="BE17" i="23"/>
  <c r="AT17" i="23"/>
  <c r="AX17" i="23" s="1"/>
  <c r="AM17" i="23"/>
  <c r="AQ17" i="23" s="1"/>
  <c r="AF17" i="23"/>
  <c r="AI17" i="23" s="1"/>
  <c r="Y17" i="23"/>
  <c r="AC17" i="23" s="1"/>
  <c r="BZ16" i="23"/>
  <c r="CA16" i="23" s="1"/>
  <c r="CB16" i="23" s="1"/>
  <c r="BY16" i="23"/>
  <c r="BS16" i="23"/>
  <c r="BR16" i="23"/>
  <c r="BT16" i="23" s="1"/>
  <c r="BU16" i="23" s="1"/>
  <c r="BL16" i="23"/>
  <c r="BK16" i="23"/>
  <c r="BE16" i="23"/>
  <c r="BD16" i="23"/>
  <c r="BF16" i="23" s="1"/>
  <c r="BG16" i="23" s="1"/>
  <c r="AT16" i="23"/>
  <c r="AX16" i="23" s="1"/>
  <c r="AM16" i="23"/>
  <c r="AQ16" i="23" s="1"/>
  <c r="AF16" i="23"/>
  <c r="AI16" i="23" s="1"/>
  <c r="Y16" i="23"/>
  <c r="AC16" i="23" s="1"/>
  <c r="BZ15" i="23"/>
  <c r="BY15" i="23"/>
  <c r="BS15" i="23"/>
  <c r="BR15" i="23"/>
  <c r="BL15" i="23"/>
  <c r="BK15" i="23"/>
  <c r="BE15" i="23"/>
  <c r="BD15" i="23"/>
  <c r="AT15" i="23"/>
  <c r="AX15" i="23" s="1"/>
  <c r="AM15" i="23"/>
  <c r="AQ15" i="23" s="1"/>
  <c r="AF15" i="23"/>
  <c r="AI15" i="23" s="1"/>
  <c r="Y15" i="23"/>
  <c r="AC15" i="23" s="1"/>
  <c r="BZ14" i="23"/>
  <c r="BY14" i="23"/>
  <c r="BS14" i="23"/>
  <c r="BR14" i="23"/>
  <c r="BL14" i="23"/>
  <c r="BK14" i="23"/>
  <c r="BM14" i="23" s="1"/>
  <c r="BN14" i="23" s="1"/>
  <c r="BE14" i="23"/>
  <c r="AT14" i="23"/>
  <c r="AW14" i="23" s="1"/>
  <c r="AM14" i="23"/>
  <c r="AQ14" i="23" s="1"/>
  <c r="AF14" i="23"/>
  <c r="AI14" i="23" s="1"/>
  <c r="Y14" i="23"/>
  <c r="AC14" i="23" s="1"/>
  <c r="BZ13" i="23"/>
  <c r="BY13" i="23"/>
  <c r="BS13" i="23"/>
  <c r="BR13" i="23"/>
  <c r="BL13" i="23"/>
  <c r="BK13" i="23"/>
  <c r="BE13" i="23"/>
  <c r="AT13" i="23"/>
  <c r="AX13" i="23" s="1"/>
  <c r="AM13" i="23"/>
  <c r="AQ13" i="23" s="1"/>
  <c r="AF13" i="23"/>
  <c r="AI13" i="23" s="1"/>
  <c r="Y13" i="23"/>
  <c r="AC13" i="23" s="1"/>
  <c r="BZ12" i="23"/>
  <c r="BY12" i="23"/>
  <c r="BS12" i="23"/>
  <c r="BR12" i="23"/>
  <c r="BL12" i="23"/>
  <c r="BK12" i="23"/>
  <c r="BE12" i="23"/>
  <c r="AT12" i="23"/>
  <c r="AW12" i="23" s="1"/>
  <c r="AM12" i="23"/>
  <c r="AQ12" i="23" s="1"/>
  <c r="AF12" i="23"/>
  <c r="AI12" i="23" s="1"/>
  <c r="Y12" i="23"/>
  <c r="AC12" i="23" s="1"/>
  <c r="BZ11" i="23"/>
  <c r="BY11" i="23"/>
  <c r="CA11" i="23" s="1"/>
  <c r="CB11" i="23" s="1"/>
  <c r="BS11" i="23"/>
  <c r="BR11" i="23"/>
  <c r="BL11" i="23"/>
  <c r="BK11" i="23"/>
  <c r="BE11" i="23"/>
  <c r="AT11" i="23"/>
  <c r="AX11" i="23" s="1"/>
  <c r="AM11" i="23"/>
  <c r="AQ11" i="23" s="1"/>
  <c r="AF11" i="23"/>
  <c r="AI11" i="23" s="1"/>
  <c r="Y11" i="23"/>
  <c r="AC11" i="23" s="1"/>
  <c r="BZ10" i="23"/>
  <c r="BY10" i="23"/>
  <c r="BS10" i="23"/>
  <c r="BR10" i="23"/>
  <c r="BL10" i="23"/>
  <c r="BK10" i="23"/>
  <c r="BE10" i="23"/>
  <c r="AT10" i="23"/>
  <c r="AW10" i="23" s="1"/>
  <c r="AM10" i="23"/>
  <c r="AQ10" i="23" s="1"/>
  <c r="AF10" i="23"/>
  <c r="AI10" i="23" s="1"/>
  <c r="Y10" i="23"/>
  <c r="AC10" i="23" s="1"/>
  <c r="BZ9" i="23"/>
  <c r="BY9" i="23"/>
  <c r="BX9" i="23"/>
  <c r="BS9" i="23"/>
  <c r="BR9" i="23"/>
  <c r="BQ9" i="23"/>
  <c r="BL9" i="23"/>
  <c r="BK9" i="23"/>
  <c r="BM9" i="23" s="1"/>
  <c r="BJ9" i="23"/>
  <c r="BE9" i="23"/>
  <c r="AT9" i="23"/>
  <c r="AX9" i="23" s="1"/>
  <c r="AM9" i="23"/>
  <c r="AQ9" i="23" s="1"/>
  <c r="AF9" i="23"/>
  <c r="AJ9" i="23" s="1"/>
  <c r="Y9" i="23"/>
  <c r="AB9" i="23" s="1"/>
  <c r="BH4" i="23"/>
  <c r="BI4" i="23" s="1"/>
  <c r="BH5" i="23" s="1"/>
  <c r="AI237" i="23" l="1"/>
  <c r="AK237" i="23" s="1"/>
  <c r="CA14" i="23"/>
  <c r="CB14" i="23" s="1"/>
  <c r="BM15" i="23"/>
  <c r="BN15" i="23" s="1"/>
  <c r="BD37" i="23"/>
  <c r="AP225" i="23"/>
  <c r="AR225" i="23" s="1"/>
  <c r="AP232" i="23"/>
  <c r="BF23" i="23"/>
  <c r="BG23" i="23" s="1"/>
  <c r="AW70" i="23"/>
  <c r="AY70" i="23" s="1"/>
  <c r="AX145" i="23"/>
  <c r="AY145" i="23" s="1"/>
  <c r="AQ258" i="23"/>
  <c r="AI209" i="23"/>
  <c r="BD35" i="23"/>
  <c r="AY280" i="23"/>
  <c r="CA13" i="23"/>
  <c r="CB13" i="23" s="1"/>
  <c r="AB198" i="23"/>
  <c r="AY239" i="23"/>
  <c r="AC33" i="23"/>
  <c r="AI46" i="23"/>
  <c r="AC155" i="23"/>
  <c r="AB199" i="23"/>
  <c r="AP211" i="23"/>
  <c r="AP226" i="23"/>
  <c r="AJ265" i="23"/>
  <c r="CA15" i="23"/>
  <c r="CB15" i="23" s="1"/>
  <c r="AX19" i="23"/>
  <c r="BT44" i="23"/>
  <c r="BU44" i="23" s="1"/>
  <c r="AJ238" i="23"/>
  <c r="AP252" i="23"/>
  <c r="AJ280" i="23"/>
  <c r="AI284" i="23"/>
  <c r="AK284" i="23" s="1"/>
  <c r="AB16" i="23"/>
  <c r="AD16" i="23" s="1"/>
  <c r="AC65" i="23"/>
  <c r="AD65" i="23" s="1"/>
  <c r="AW253" i="23"/>
  <c r="AI255" i="23"/>
  <c r="AK255" i="23" s="1"/>
  <c r="AB256" i="23"/>
  <c r="AW47" i="23"/>
  <c r="AP63" i="23"/>
  <c r="AX176" i="23"/>
  <c r="AW234" i="23"/>
  <c r="AY234" i="23" s="1"/>
  <c r="AI97" i="23"/>
  <c r="AK97" i="23" s="1"/>
  <c r="BT226" i="23"/>
  <c r="BU226" i="23" s="1"/>
  <c r="AD264" i="23"/>
  <c r="BT10" i="23"/>
  <c r="BU10" i="23" s="1"/>
  <c r="CA12" i="23"/>
  <c r="CB12" i="23" s="1"/>
  <c r="BT17" i="23"/>
  <c r="BU17" i="23" s="1"/>
  <c r="AJ45" i="23"/>
  <c r="AQ66" i="23"/>
  <c r="AJ67" i="23"/>
  <c r="AK67" i="23" s="1"/>
  <c r="BT238" i="23"/>
  <c r="BU238" i="23" s="1"/>
  <c r="BT285" i="23"/>
  <c r="BU285" i="23" s="1"/>
  <c r="BN9" i="23"/>
  <c r="AQ65" i="23"/>
  <c r="AQ74" i="23"/>
  <c r="AC92" i="23"/>
  <c r="AD92" i="23" s="1"/>
  <c r="AW97" i="23"/>
  <c r="AQ99" i="23"/>
  <c r="AI149" i="23"/>
  <c r="AK149" i="23" s="1"/>
  <c r="AC240" i="23"/>
  <c r="AP12" i="23"/>
  <c r="AR12" i="23" s="1"/>
  <c r="AD60" i="23"/>
  <c r="AI75" i="23"/>
  <c r="AQ90" i="23"/>
  <c r="AQ101" i="23"/>
  <c r="AR101" i="23" s="1"/>
  <c r="AW147" i="23"/>
  <c r="AY147" i="23" s="1"/>
  <c r="AJ172" i="23"/>
  <c r="AQ204" i="23"/>
  <c r="AP229" i="23"/>
  <c r="AR229" i="23" s="1"/>
  <c r="BT235" i="23"/>
  <c r="BU235" i="23" s="1"/>
  <c r="AI257" i="23"/>
  <c r="AP265" i="23"/>
  <c r="AR265" i="23" s="1"/>
  <c r="AQ288" i="23"/>
  <c r="AR288" i="23" s="1"/>
  <c r="AJ20" i="23"/>
  <c r="AC69" i="23"/>
  <c r="AD69" i="23" s="1"/>
  <c r="AX74" i="23"/>
  <c r="AJ95" i="23"/>
  <c r="AW131" i="23"/>
  <c r="AI212" i="23"/>
  <c r="AK212" i="23" s="1"/>
  <c r="AP279" i="23"/>
  <c r="BT286" i="23"/>
  <c r="BU286" i="23" s="1"/>
  <c r="AI9" i="23"/>
  <c r="AK9" i="23" s="1"/>
  <c r="AB13" i="23"/>
  <c r="AD13" i="23" s="1"/>
  <c r="AX14" i="23"/>
  <c r="AY14" i="23" s="1"/>
  <c r="AI96" i="23"/>
  <c r="AX225" i="23"/>
  <c r="AW229" i="23"/>
  <c r="AY229" i="23" s="1"/>
  <c r="AC231" i="23"/>
  <c r="AD231" i="23" s="1"/>
  <c r="AB263" i="23"/>
  <c r="AD263" i="23" s="1"/>
  <c r="AI289" i="23"/>
  <c r="AI290" i="23"/>
  <c r="BM42" i="23"/>
  <c r="BN42" i="23" s="1"/>
  <c r="AX67" i="23"/>
  <c r="AQ205" i="23"/>
  <c r="AI208" i="23"/>
  <c r="AP212" i="23"/>
  <c r="AP251" i="23"/>
  <c r="AR251" i="23" s="1"/>
  <c r="BM10" i="23"/>
  <c r="BN10" i="23" s="1"/>
  <c r="AI34" i="23"/>
  <c r="AI203" i="23"/>
  <c r="AC209" i="23"/>
  <c r="AB228" i="23"/>
  <c r="CA9" i="23"/>
  <c r="CB9" i="23" s="1"/>
  <c r="BT12" i="23"/>
  <c r="BU12" i="23" s="1"/>
  <c r="AP13" i="23"/>
  <c r="AR13" i="23" s="1"/>
  <c r="CA17" i="23"/>
  <c r="CB17" i="23" s="1"/>
  <c r="AK45" i="23"/>
  <c r="BT46" i="23"/>
  <c r="BU46" i="23" s="1"/>
  <c r="AX69" i="23"/>
  <c r="AJ71" i="23"/>
  <c r="AK90" i="23"/>
  <c r="AX96" i="23"/>
  <c r="AY96" i="23" s="1"/>
  <c r="AQ116" i="23"/>
  <c r="AI146" i="23"/>
  <c r="AK146" i="23" s="1"/>
  <c r="AX174" i="23"/>
  <c r="AY174" i="23" s="1"/>
  <c r="BT229" i="23"/>
  <c r="BU229" i="23" s="1"/>
  <c r="BK240" i="23"/>
  <c r="BM251" i="23"/>
  <c r="AP263" i="23"/>
  <c r="BY279" i="23"/>
  <c r="CA279" i="23" s="1"/>
  <c r="CB279" i="23" s="1"/>
  <c r="BT292" i="23"/>
  <c r="BU292" i="23" s="1"/>
  <c r="AW11" i="23"/>
  <c r="BD128" i="23"/>
  <c r="BF128" i="23" s="1"/>
  <c r="BG128" i="23" s="1"/>
  <c r="BD120" i="23"/>
  <c r="BF120" i="23" s="1"/>
  <c r="BG120" i="23" s="1"/>
  <c r="BD127" i="23"/>
  <c r="BF127" i="23" s="1"/>
  <c r="BG127" i="23" s="1"/>
  <c r="BD119" i="23"/>
  <c r="BF119" i="23" s="1"/>
  <c r="BG119" i="23" s="1"/>
  <c r="BD126" i="23"/>
  <c r="BF126" i="23" s="1"/>
  <c r="BG126" i="23" s="1"/>
  <c r="BD118" i="23"/>
  <c r="BF118" i="23" s="1"/>
  <c r="BG118" i="23" s="1"/>
  <c r="BD125" i="23"/>
  <c r="BD117" i="23"/>
  <c r="BF117" i="23" s="1"/>
  <c r="BG117" i="23" s="1"/>
  <c r="BD124" i="23"/>
  <c r="BD116" i="23"/>
  <c r="BD130" i="23"/>
  <c r="BD122" i="23"/>
  <c r="BF122" i="23" s="1"/>
  <c r="BG122" i="23" s="1"/>
  <c r="BD129" i="23"/>
  <c r="BF129" i="23" s="1"/>
  <c r="BG129" i="23" s="1"/>
  <c r="BD121" i="23"/>
  <c r="BF121" i="23" s="1"/>
  <c r="BG121" i="23" s="1"/>
  <c r="BD131" i="23"/>
  <c r="BF131" i="23" s="1"/>
  <c r="BG131" i="23" s="1"/>
  <c r="BD123" i="23"/>
  <c r="BF123" i="23" s="1"/>
  <c r="BG123" i="23" s="1"/>
  <c r="BR184" i="23"/>
  <c r="BT184" i="23" s="1"/>
  <c r="BU184" i="23" s="1"/>
  <c r="BR176" i="23"/>
  <c r="BT176" i="23" s="1"/>
  <c r="BU176" i="23" s="1"/>
  <c r="BR183" i="23"/>
  <c r="BT183" i="23" s="1"/>
  <c r="BU183" i="23" s="1"/>
  <c r="BR175" i="23"/>
  <c r="BR182" i="23"/>
  <c r="BT182" i="23" s="1"/>
  <c r="BU182" i="23" s="1"/>
  <c r="BR174" i="23"/>
  <c r="BT174" i="23" s="1"/>
  <c r="BU174" i="23" s="1"/>
  <c r="BR181" i="23"/>
  <c r="BR173" i="23"/>
  <c r="BT173" i="23" s="1"/>
  <c r="BU173" i="23" s="1"/>
  <c r="BR180" i="23"/>
  <c r="BR172" i="23"/>
  <c r="BR186" i="23"/>
  <c r="BR178" i="23"/>
  <c r="BR185" i="23"/>
  <c r="BR177" i="23"/>
  <c r="BT177" i="23" s="1"/>
  <c r="BU177" i="23" s="1"/>
  <c r="BR187" i="23"/>
  <c r="BT187" i="23" s="1"/>
  <c r="BU187" i="23" s="1"/>
  <c r="BR179" i="23"/>
  <c r="BT179" i="23" s="1"/>
  <c r="BU179" i="23" s="1"/>
  <c r="BY209" i="23"/>
  <c r="CA209" i="23" s="1"/>
  <c r="CB209" i="23" s="1"/>
  <c r="BY201" i="23"/>
  <c r="BY208" i="23"/>
  <c r="CA208" i="23" s="1"/>
  <c r="CB208" i="23" s="1"/>
  <c r="BY200" i="23"/>
  <c r="CA200" i="23" s="1"/>
  <c r="CB200" i="23" s="1"/>
  <c r="BY207" i="23"/>
  <c r="BY199" i="23"/>
  <c r="CA199" i="23" s="1"/>
  <c r="CB199" i="23" s="1"/>
  <c r="BY206" i="23"/>
  <c r="BY198" i="23"/>
  <c r="CA198" i="23" s="1"/>
  <c r="BY213" i="23"/>
  <c r="BY205" i="23"/>
  <c r="BY211" i="23"/>
  <c r="BY203" i="23"/>
  <c r="BY210" i="23"/>
  <c r="BY202" i="23"/>
  <c r="CA202" i="23" s="1"/>
  <c r="CB202" i="23" s="1"/>
  <c r="BY212" i="23"/>
  <c r="CA212" i="23" s="1"/>
  <c r="CB212" i="23" s="1"/>
  <c r="BY204" i="23"/>
  <c r="CA204" i="23" s="1"/>
  <c r="CB204" i="23" s="1"/>
  <c r="BK239" i="23"/>
  <c r="BM239" i="23" s="1"/>
  <c r="BN239" i="23" s="1"/>
  <c r="BD251" i="23"/>
  <c r="BF251" i="23" s="1"/>
  <c r="BG251" i="23" s="1"/>
  <c r="BR279" i="23"/>
  <c r="BT279" i="23" s="1"/>
  <c r="BU279" i="23" s="1"/>
  <c r="CA10" i="23"/>
  <c r="CB10" i="23" s="1"/>
  <c r="AB17" i="23"/>
  <c r="AD17" i="23" s="1"/>
  <c r="AX18" i="23"/>
  <c r="AY18" i="23" s="1"/>
  <c r="BM23" i="23"/>
  <c r="BN23" i="23" s="1"/>
  <c r="BT33" i="23"/>
  <c r="BU33" i="23" s="1"/>
  <c r="AX41" i="23"/>
  <c r="AX43" i="23"/>
  <c r="AP61" i="23"/>
  <c r="AC62" i="23"/>
  <c r="AI70" i="23"/>
  <c r="AK70" i="23" s="1"/>
  <c r="AQ72" i="23"/>
  <c r="AJ74" i="23"/>
  <c r="BD72" i="23"/>
  <c r="BF72" i="23" s="1"/>
  <c r="BG72" i="23" s="1"/>
  <c r="BD64" i="23"/>
  <c r="BD71" i="23"/>
  <c r="BF71" i="23" s="1"/>
  <c r="BG71" i="23" s="1"/>
  <c r="BD63" i="23"/>
  <c r="BF63" i="23" s="1"/>
  <c r="BG63" i="23" s="1"/>
  <c r="BD70" i="23"/>
  <c r="BF70" i="23" s="1"/>
  <c r="BG70" i="23" s="1"/>
  <c r="BD62" i="23"/>
  <c r="BF62" i="23" s="1"/>
  <c r="BG62" i="23" s="1"/>
  <c r="BD69" i="23"/>
  <c r="BD61" i="23"/>
  <c r="BD68" i="23"/>
  <c r="BF68" i="23" s="1"/>
  <c r="BG68" i="23" s="1"/>
  <c r="BD60" i="23"/>
  <c r="BF60" i="23" s="1"/>
  <c r="BG60" i="23" s="1"/>
  <c r="BD74" i="23"/>
  <c r="BF74" i="23" s="1"/>
  <c r="BG74" i="23" s="1"/>
  <c r="BD66" i="23"/>
  <c r="BF66" i="23" s="1"/>
  <c r="BG66" i="23" s="1"/>
  <c r="BD73" i="23"/>
  <c r="BF73" i="23" s="1"/>
  <c r="BG73" i="23" s="1"/>
  <c r="BD65" i="23"/>
  <c r="BF65" i="23" s="1"/>
  <c r="BG65" i="23" s="1"/>
  <c r="BD67" i="23"/>
  <c r="BF67" i="23" s="1"/>
  <c r="BG67" i="23" s="1"/>
  <c r="BD75" i="23"/>
  <c r="BF75" i="23" s="1"/>
  <c r="BG75" i="23" s="1"/>
  <c r="AI100" i="23"/>
  <c r="AK100" i="23" s="1"/>
  <c r="BD99" i="23"/>
  <c r="BF99" i="23" s="1"/>
  <c r="BG99" i="23" s="1"/>
  <c r="BD91" i="23"/>
  <c r="BD98" i="23"/>
  <c r="BD90" i="23"/>
  <c r="BD97" i="23"/>
  <c r="BF97" i="23" s="1"/>
  <c r="BG97" i="23" s="1"/>
  <c r="BD89" i="23"/>
  <c r="BF89" i="23" s="1"/>
  <c r="BG89" i="23" s="1"/>
  <c r="BD96" i="23"/>
  <c r="BF96" i="23" s="1"/>
  <c r="BG96" i="23" s="1"/>
  <c r="BD88" i="23"/>
  <c r="BF88" i="23" s="1"/>
  <c r="BG88" i="23" s="1"/>
  <c r="BD95" i="23"/>
  <c r="BF95" i="23" s="1"/>
  <c r="BG95" i="23" s="1"/>
  <c r="BD87" i="23"/>
  <c r="BD101" i="23"/>
  <c r="BD93" i="23"/>
  <c r="BD100" i="23"/>
  <c r="BF100" i="23" s="1"/>
  <c r="BG100" i="23" s="1"/>
  <c r="BD92" i="23"/>
  <c r="BF92" i="23" s="1"/>
  <c r="BG92" i="23" s="1"/>
  <c r="BD102" i="23"/>
  <c r="BF102" i="23" s="1"/>
  <c r="BG102" i="23" s="1"/>
  <c r="BD94" i="23"/>
  <c r="AX119" i="23"/>
  <c r="AY119" i="23" s="1"/>
  <c r="AC122" i="23"/>
  <c r="AD122" i="23" s="1"/>
  <c r="AX127" i="23"/>
  <c r="BK128" i="23"/>
  <c r="BK120" i="23"/>
  <c r="BM120" i="23" s="1"/>
  <c r="BN120" i="23" s="1"/>
  <c r="BK127" i="23"/>
  <c r="BM127" i="23" s="1"/>
  <c r="BN127" i="23" s="1"/>
  <c r="BK119" i="23"/>
  <c r="BM119" i="23" s="1"/>
  <c r="BN119" i="23" s="1"/>
  <c r="BK126" i="23"/>
  <c r="BM126" i="23" s="1"/>
  <c r="BN126" i="23" s="1"/>
  <c r="BK118" i="23"/>
  <c r="BM118" i="23" s="1"/>
  <c r="BN118" i="23" s="1"/>
  <c r="BK125" i="23"/>
  <c r="BK117" i="23"/>
  <c r="BM117" i="23" s="1"/>
  <c r="BN117" i="23" s="1"/>
  <c r="BK124" i="23"/>
  <c r="BK116" i="23"/>
  <c r="BM116" i="23" s="1"/>
  <c r="BN116" i="23" s="1"/>
  <c r="BK130" i="23"/>
  <c r="BM130" i="23" s="1"/>
  <c r="BN130" i="23" s="1"/>
  <c r="BK122" i="23"/>
  <c r="BK129" i="23"/>
  <c r="BM129" i="23" s="1"/>
  <c r="BN129" i="23" s="1"/>
  <c r="BK121" i="23"/>
  <c r="BM121" i="23" s="1"/>
  <c r="BN121" i="23" s="1"/>
  <c r="BK131" i="23"/>
  <c r="BK123" i="23"/>
  <c r="AI158" i="23"/>
  <c r="AK158" i="23" s="1"/>
  <c r="AP177" i="23"/>
  <c r="AR177" i="23" s="1"/>
  <c r="AB183" i="23"/>
  <c r="BY183" i="23"/>
  <c r="BY175" i="23"/>
  <c r="CA175" i="23" s="1"/>
  <c r="CB175" i="23" s="1"/>
  <c r="BY182" i="23"/>
  <c r="BY174" i="23"/>
  <c r="BY181" i="23"/>
  <c r="CA181" i="23" s="1"/>
  <c r="CB181" i="23" s="1"/>
  <c r="BY173" i="23"/>
  <c r="CA173" i="23" s="1"/>
  <c r="CB173" i="23" s="1"/>
  <c r="BY180" i="23"/>
  <c r="CA180" i="23" s="1"/>
  <c r="CB180" i="23" s="1"/>
  <c r="BY172" i="23"/>
  <c r="CA172" i="23" s="1"/>
  <c r="BY187" i="23"/>
  <c r="CA187" i="23" s="1"/>
  <c r="CB187" i="23" s="1"/>
  <c r="BY179" i="23"/>
  <c r="CA179" i="23" s="1"/>
  <c r="CB179" i="23" s="1"/>
  <c r="BY185" i="23"/>
  <c r="CA185" i="23" s="1"/>
  <c r="CB185" i="23" s="1"/>
  <c r="BY177" i="23"/>
  <c r="CA177" i="23" s="1"/>
  <c r="CB177" i="23" s="1"/>
  <c r="BY184" i="23"/>
  <c r="CA184" i="23" s="1"/>
  <c r="CB184" i="23" s="1"/>
  <c r="BY176" i="23"/>
  <c r="BY178" i="23"/>
  <c r="CA178" i="23" s="1"/>
  <c r="CB178" i="23" s="1"/>
  <c r="BY186" i="23"/>
  <c r="CA186" i="23" s="1"/>
  <c r="CB186" i="23" s="1"/>
  <c r="AI200" i="23"/>
  <c r="AK200" i="23" s="1"/>
  <c r="BT240" i="23"/>
  <c r="BU240" i="23" s="1"/>
  <c r="AP254" i="23"/>
  <c r="AW257" i="23"/>
  <c r="AX259" i="23"/>
  <c r="AY259" i="23" s="1"/>
  <c r="AC262" i="23"/>
  <c r="AD262" i="23" s="1"/>
  <c r="AJ266" i="23"/>
  <c r="AK266" i="23" s="1"/>
  <c r="AW15" i="23"/>
  <c r="BM16" i="23"/>
  <c r="BN16" i="23" s="1"/>
  <c r="AJ35" i="23"/>
  <c r="AX37" i="23"/>
  <c r="AI42" i="23"/>
  <c r="BK72" i="23"/>
  <c r="BK64" i="23"/>
  <c r="BK71" i="23"/>
  <c r="BM71" i="23" s="1"/>
  <c r="BN71" i="23" s="1"/>
  <c r="BK63" i="23"/>
  <c r="BK70" i="23"/>
  <c r="BK62" i="23"/>
  <c r="BM62" i="23" s="1"/>
  <c r="BN62" i="23" s="1"/>
  <c r="BK69" i="23"/>
  <c r="BM69" i="23" s="1"/>
  <c r="BN69" i="23" s="1"/>
  <c r="BK61" i="23"/>
  <c r="BK68" i="23"/>
  <c r="BM68" i="23" s="1"/>
  <c r="BN68" i="23" s="1"/>
  <c r="BK60" i="23"/>
  <c r="BM60" i="23" s="1"/>
  <c r="BN60" i="23" s="1"/>
  <c r="BK74" i="23"/>
  <c r="BM74" i="23" s="1"/>
  <c r="BN74" i="23" s="1"/>
  <c r="BK66" i="23"/>
  <c r="BM66" i="23" s="1"/>
  <c r="BN66" i="23" s="1"/>
  <c r="BK73" i="23"/>
  <c r="BK65" i="23"/>
  <c r="BM65" i="23" s="1"/>
  <c r="BN65" i="23" s="1"/>
  <c r="BK75" i="23"/>
  <c r="BK67" i="23"/>
  <c r="BM67" i="23" s="1"/>
  <c r="BN67" i="23" s="1"/>
  <c r="BM96" i="23"/>
  <c r="BN96" i="23" s="1"/>
  <c r="BK99" i="23"/>
  <c r="BM99" i="23" s="1"/>
  <c r="BN99" i="23" s="1"/>
  <c r="BK91" i="23"/>
  <c r="BM91" i="23" s="1"/>
  <c r="BN91" i="23" s="1"/>
  <c r="BK98" i="23"/>
  <c r="BK90" i="23"/>
  <c r="BK97" i="23"/>
  <c r="BK89" i="23"/>
  <c r="BK96" i="23"/>
  <c r="BK88" i="23"/>
  <c r="BM88" i="23" s="1"/>
  <c r="BN88" i="23" s="1"/>
  <c r="BK95" i="23"/>
  <c r="BM95" i="23" s="1"/>
  <c r="BN95" i="23" s="1"/>
  <c r="BK87" i="23"/>
  <c r="BM87" i="23" s="1"/>
  <c r="BN87" i="23" s="1"/>
  <c r="BK101" i="23"/>
  <c r="BM101" i="23" s="1"/>
  <c r="BN101" i="23" s="1"/>
  <c r="BK93" i="23"/>
  <c r="BK100" i="23"/>
  <c r="BM100" i="23" s="1"/>
  <c r="BN100" i="23" s="1"/>
  <c r="BK92" i="23"/>
  <c r="BM92" i="23" s="1"/>
  <c r="BN92" i="23" s="1"/>
  <c r="BK102" i="23"/>
  <c r="BK94" i="23"/>
  <c r="BR128" i="23"/>
  <c r="BR120" i="23"/>
  <c r="BT120" i="23" s="1"/>
  <c r="BU120" i="23" s="1"/>
  <c r="BR127" i="23"/>
  <c r="BT127" i="23" s="1"/>
  <c r="BU127" i="23" s="1"/>
  <c r="BR119" i="23"/>
  <c r="BT119" i="23" s="1"/>
  <c r="BU119" i="23" s="1"/>
  <c r="BR126" i="23"/>
  <c r="BR118" i="23"/>
  <c r="BT118" i="23" s="1"/>
  <c r="BU118" i="23" s="1"/>
  <c r="BR125" i="23"/>
  <c r="BT125" i="23" s="1"/>
  <c r="BU125" i="23" s="1"/>
  <c r="BR117" i="23"/>
  <c r="BT117" i="23" s="1"/>
  <c r="BU117" i="23" s="1"/>
  <c r="BR124" i="23"/>
  <c r="BR116" i="23"/>
  <c r="BT116" i="23" s="1"/>
  <c r="BU116" i="23" s="1"/>
  <c r="BR130" i="23"/>
  <c r="BT130" i="23" s="1"/>
  <c r="BU130" i="23" s="1"/>
  <c r="BR122" i="23"/>
  <c r="BR129" i="23"/>
  <c r="BR121" i="23"/>
  <c r="BT121" i="23" s="1"/>
  <c r="BU121" i="23" s="1"/>
  <c r="BR123" i="23"/>
  <c r="BT123" i="23" s="1"/>
  <c r="BU123" i="23" s="1"/>
  <c r="BR131" i="23"/>
  <c r="BT131" i="23" s="1"/>
  <c r="BU131" i="23" s="1"/>
  <c r="AJ160" i="23"/>
  <c r="AK160" i="23" s="1"/>
  <c r="BD157" i="23"/>
  <c r="BF157" i="23" s="1"/>
  <c r="BG157" i="23" s="1"/>
  <c r="BD149" i="23"/>
  <c r="BF149" i="23" s="1"/>
  <c r="BG149" i="23" s="1"/>
  <c r="BD156" i="23"/>
  <c r="BF156" i="23" s="1"/>
  <c r="BG156" i="23" s="1"/>
  <c r="BD148" i="23"/>
  <c r="BF148" i="23" s="1"/>
  <c r="BG148" i="23" s="1"/>
  <c r="BD155" i="23"/>
  <c r="BD147" i="23"/>
  <c r="BF147" i="23" s="1"/>
  <c r="BG147" i="23" s="1"/>
  <c r="BD154" i="23"/>
  <c r="BD146" i="23"/>
  <c r="BF146" i="23" s="1"/>
  <c r="BG146" i="23" s="1"/>
  <c r="BD153" i="23"/>
  <c r="BF153" i="23" s="1"/>
  <c r="BG153" i="23" s="1"/>
  <c r="BD145" i="23"/>
  <c r="BF145" i="23" s="1"/>
  <c r="BG145" i="23" s="1"/>
  <c r="BD159" i="23"/>
  <c r="BF159" i="23" s="1"/>
  <c r="BG159" i="23" s="1"/>
  <c r="BD151" i="23"/>
  <c r="BF151" i="23" s="1"/>
  <c r="BG151" i="23" s="1"/>
  <c r="BD158" i="23"/>
  <c r="BF158" i="23" s="1"/>
  <c r="BG158" i="23" s="1"/>
  <c r="BD150" i="23"/>
  <c r="BF150" i="23" s="1"/>
  <c r="BG150" i="23" s="1"/>
  <c r="BD160" i="23"/>
  <c r="BD152" i="23"/>
  <c r="BF152" i="23" s="1"/>
  <c r="BG152" i="23" s="1"/>
  <c r="AI180" i="23"/>
  <c r="AK180" i="23" s="1"/>
  <c r="AR232" i="23"/>
  <c r="BD263" i="23"/>
  <c r="BF263" i="23" s="1"/>
  <c r="BG263" i="23" s="1"/>
  <c r="BD255" i="23"/>
  <c r="BF255" i="23" s="1"/>
  <c r="BG255" i="23" s="1"/>
  <c r="BD262" i="23"/>
  <c r="BF262" i="23" s="1"/>
  <c r="BG262" i="23" s="1"/>
  <c r="BD254" i="23"/>
  <c r="BD261" i="23"/>
  <c r="BD253" i="23"/>
  <c r="BF253" i="23" s="1"/>
  <c r="BG253" i="23" s="1"/>
  <c r="BD260" i="23"/>
  <c r="BF260" i="23" s="1"/>
  <c r="BG260" i="23" s="1"/>
  <c r="BD252" i="23"/>
  <c r="BF252" i="23" s="1"/>
  <c r="BG252" i="23" s="1"/>
  <c r="BD259" i="23"/>
  <c r="BF259" i="23" s="1"/>
  <c r="BG259" i="23" s="1"/>
  <c r="BD265" i="23"/>
  <c r="BF265" i="23" s="1"/>
  <c r="BG265" i="23" s="1"/>
  <c r="BD257" i="23"/>
  <c r="BF257" i="23" s="1"/>
  <c r="BG257" i="23" s="1"/>
  <c r="BD264" i="23"/>
  <c r="BD256" i="23"/>
  <c r="BF256" i="23" s="1"/>
  <c r="BG256" i="23" s="1"/>
  <c r="BD266" i="23"/>
  <c r="BF266" i="23" s="1"/>
  <c r="BG266" i="23" s="1"/>
  <c r="BD258" i="23"/>
  <c r="BF258" i="23" s="1"/>
  <c r="BG258" i="23" s="1"/>
  <c r="BD291" i="23"/>
  <c r="BD283" i="23"/>
  <c r="BD290" i="23"/>
  <c r="BD282" i="23"/>
  <c r="BF282" i="23" s="1"/>
  <c r="BG282" i="23" s="1"/>
  <c r="BD289" i="23"/>
  <c r="BD281" i="23"/>
  <c r="BF281" i="23" s="1"/>
  <c r="BG281" i="23" s="1"/>
  <c r="BD288" i="23"/>
  <c r="BF288" i="23" s="1"/>
  <c r="BG288" i="23" s="1"/>
  <c r="BD280" i="23"/>
  <c r="BD287" i="23"/>
  <c r="BF287" i="23" s="1"/>
  <c r="BG287" i="23" s="1"/>
  <c r="BD293" i="23"/>
  <c r="BD285" i="23"/>
  <c r="BD292" i="23"/>
  <c r="BD284" i="23"/>
  <c r="BF284" i="23" s="1"/>
  <c r="BG284" i="23" s="1"/>
  <c r="BD286" i="23"/>
  <c r="BD294" i="23"/>
  <c r="BF294" i="23" s="1"/>
  <c r="BG294" i="23" s="1"/>
  <c r="AP9" i="23"/>
  <c r="BT9" i="23"/>
  <c r="BU9" i="23" s="1"/>
  <c r="AX10" i="23"/>
  <c r="AY10" i="23" s="1"/>
  <c r="BF15" i="23"/>
  <c r="BG15" i="23" s="1"/>
  <c r="AX20" i="23"/>
  <c r="AX24" i="23"/>
  <c r="BM43" i="23"/>
  <c r="BN43" i="23" s="1"/>
  <c r="AI44" i="23"/>
  <c r="AK44" i="23" s="1"/>
  <c r="AI47" i="23"/>
  <c r="AQ64" i="23"/>
  <c r="AR64" i="23" s="1"/>
  <c r="AI73" i="23"/>
  <c r="AK73" i="23" s="1"/>
  <c r="BR72" i="23"/>
  <c r="BT72" i="23" s="1"/>
  <c r="BU72" i="23" s="1"/>
  <c r="BR64" i="23"/>
  <c r="BR71" i="23"/>
  <c r="BT71" i="23" s="1"/>
  <c r="BU71" i="23" s="1"/>
  <c r="BR63" i="23"/>
  <c r="BR70" i="23"/>
  <c r="BT70" i="23" s="1"/>
  <c r="BU70" i="23" s="1"/>
  <c r="BR62" i="23"/>
  <c r="BT62" i="23" s="1"/>
  <c r="BU62" i="23" s="1"/>
  <c r="BR69" i="23"/>
  <c r="BR61" i="23"/>
  <c r="BR68" i="23"/>
  <c r="BT68" i="23" s="1"/>
  <c r="BU68" i="23" s="1"/>
  <c r="BR60" i="23"/>
  <c r="BT60" i="23" s="1"/>
  <c r="BU60" i="23" s="1"/>
  <c r="BR74" i="23"/>
  <c r="BT74" i="23" s="1"/>
  <c r="BU74" i="23" s="1"/>
  <c r="BR66" i="23"/>
  <c r="BT66" i="23" s="1"/>
  <c r="BU66" i="23" s="1"/>
  <c r="BR73" i="23"/>
  <c r="BT73" i="23" s="1"/>
  <c r="BU73" i="23" s="1"/>
  <c r="BR65" i="23"/>
  <c r="BR75" i="23"/>
  <c r="BR67" i="23"/>
  <c r="BR99" i="23"/>
  <c r="BT99" i="23" s="1"/>
  <c r="BU99" i="23" s="1"/>
  <c r="BR91" i="23"/>
  <c r="BT91" i="23" s="1"/>
  <c r="BU91" i="23" s="1"/>
  <c r="BR98" i="23"/>
  <c r="BT98" i="23" s="1"/>
  <c r="BU98" i="23" s="1"/>
  <c r="BR90" i="23"/>
  <c r="BT90" i="23" s="1"/>
  <c r="BU90" i="23" s="1"/>
  <c r="BR97" i="23"/>
  <c r="BT97" i="23" s="1"/>
  <c r="BU97" i="23" s="1"/>
  <c r="BR89" i="23"/>
  <c r="BT89" i="23" s="1"/>
  <c r="BU89" i="23" s="1"/>
  <c r="BR96" i="23"/>
  <c r="BR88" i="23"/>
  <c r="BR95" i="23"/>
  <c r="BT95" i="23" s="1"/>
  <c r="BU95" i="23" s="1"/>
  <c r="BR87" i="23"/>
  <c r="BR101" i="23"/>
  <c r="BT101" i="23" s="1"/>
  <c r="BU101" i="23" s="1"/>
  <c r="BR93" i="23"/>
  <c r="BT93" i="23" s="1"/>
  <c r="BU93" i="23" s="1"/>
  <c r="BR100" i="23"/>
  <c r="BT100" i="23" s="1"/>
  <c r="BU100" i="23" s="1"/>
  <c r="BR92" i="23"/>
  <c r="BR102" i="23"/>
  <c r="BT102" i="23" s="1"/>
  <c r="BU102" i="23" s="1"/>
  <c r="BR94" i="23"/>
  <c r="BT94" i="23" s="1"/>
  <c r="BU94" i="23" s="1"/>
  <c r="BF124" i="23"/>
  <c r="BG124" i="23" s="1"/>
  <c r="AX130" i="23"/>
  <c r="AY130" i="23" s="1"/>
  <c r="BY127" i="23"/>
  <c r="BY119" i="23"/>
  <c r="CA119" i="23" s="1"/>
  <c r="CB119" i="23" s="1"/>
  <c r="BY126" i="23"/>
  <c r="CA126" i="23" s="1"/>
  <c r="CB126" i="23" s="1"/>
  <c r="BY118" i="23"/>
  <c r="CA118" i="23" s="1"/>
  <c r="CB118" i="23" s="1"/>
  <c r="BY125" i="23"/>
  <c r="CA125" i="23" s="1"/>
  <c r="CB125" i="23" s="1"/>
  <c r="BY117" i="23"/>
  <c r="BY124" i="23"/>
  <c r="BY116" i="23"/>
  <c r="BY131" i="23"/>
  <c r="BY123" i="23"/>
  <c r="CA123" i="23" s="1"/>
  <c r="CB123" i="23" s="1"/>
  <c r="BY129" i="23"/>
  <c r="CA129" i="23" s="1"/>
  <c r="CB129" i="23" s="1"/>
  <c r="BY121" i="23"/>
  <c r="BY128" i="23"/>
  <c r="BY120" i="23"/>
  <c r="BY130" i="23"/>
  <c r="CA130" i="23" s="1"/>
  <c r="CB130" i="23" s="1"/>
  <c r="BY122" i="23"/>
  <c r="CA122" i="23" s="1"/>
  <c r="CB122" i="23" s="1"/>
  <c r="BK157" i="23"/>
  <c r="BK149" i="23"/>
  <c r="BM149" i="23" s="1"/>
  <c r="BN149" i="23" s="1"/>
  <c r="BK156" i="23"/>
  <c r="BM156" i="23" s="1"/>
  <c r="BN156" i="23" s="1"/>
  <c r="BK148" i="23"/>
  <c r="BM148" i="23" s="1"/>
  <c r="BN148" i="23" s="1"/>
  <c r="BK155" i="23"/>
  <c r="BK147" i="23"/>
  <c r="BM147" i="23" s="1"/>
  <c r="BN147" i="23" s="1"/>
  <c r="BK154" i="23"/>
  <c r="BM154" i="23" s="1"/>
  <c r="BN154" i="23" s="1"/>
  <c r="BK146" i="23"/>
  <c r="BM146" i="23" s="1"/>
  <c r="BN146" i="23" s="1"/>
  <c r="BK153" i="23"/>
  <c r="BK145" i="23"/>
  <c r="BM145" i="23" s="1"/>
  <c r="BN145" i="23" s="1"/>
  <c r="BK159" i="23"/>
  <c r="BM159" i="23" s="1"/>
  <c r="BN159" i="23" s="1"/>
  <c r="BK151" i="23"/>
  <c r="BM151" i="23" s="1"/>
  <c r="BN151" i="23" s="1"/>
  <c r="BK158" i="23"/>
  <c r="BK150" i="23"/>
  <c r="BK152" i="23"/>
  <c r="BM152" i="23" s="1"/>
  <c r="BN152" i="23" s="1"/>
  <c r="BK160" i="23"/>
  <c r="AC213" i="23"/>
  <c r="AI239" i="23"/>
  <c r="AK239" i="23" s="1"/>
  <c r="BT239" i="23"/>
  <c r="BU239" i="23" s="1"/>
  <c r="AP240" i="23"/>
  <c r="AR240" i="23" s="1"/>
  <c r="AB259" i="23"/>
  <c r="AQ266" i="23"/>
  <c r="AR266" i="23" s="1"/>
  <c r="BK263" i="23"/>
  <c r="BK255" i="23"/>
  <c r="BK262" i="23"/>
  <c r="BM262" i="23" s="1"/>
  <c r="BN262" i="23" s="1"/>
  <c r="BK254" i="23"/>
  <c r="BK261" i="23"/>
  <c r="BK253" i="23"/>
  <c r="BK260" i="23"/>
  <c r="BK252" i="23"/>
  <c r="BK259" i="23"/>
  <c r="BK265" i="23"/>
  <c r="BK257" i="23"/>
  <c r="BM257" i="23" s="1"/>
  <c r="BN257" i="23" s="1"/>
  <c r="BK264" i="23"/>
  <c r="BM264" i="23" s="1"/>
  <c r="BN264" i="23" s="1"/>
  <c r="BK256" i="23"/>
  <c r="BK258" i="23"/>
  <c r="BK266" i="23"/>
  <c r="AC279" i="23"/>
  <c r="AC283" i="23"/>
  <c r="AQ284" i="23"/>
  <c r="AR284" i="23" s="1"/>
  <c r="BK291" i="23"/>
  <c r="BM291" i="23" s="1"/>
  <c r="BN291" i="23" s="1"/>
  <c r="BK283" i="23"/>
  <c r="BM283" i="23" s="1"/>
  <c r="BN283" i="23" s="1"/>
  <c r="BK290" i="23"/>
  <c r="BK282" i="23"/>
  <c r="BK289" i="23"/>
  <c r="BK281" i="23"/>
  <c r="BK288" i="23"/>
  <c r="BK280" i="23"/>
  <c r="BK287" i="23"/>
  <c r="BM287" i="23" s="1"/>
  <c r="BN287" i="23" s="1"/>
  <c r="BK293" i="23"/>
  <c r="BM293" i="23" s="1"/>
  <c r="BN293" i="23" s="1"/>
  <c r="BK285" i="23"/>
  <c r="BM285" i="23" s="1"/>
  <c r="BN285" i="23" s="1"/>
  <c r="BK292" i="23"/>
  <c r="BK284" i="23"/>
  <c r="BK294" i="23"/>
  <c r="BK286" i="23"/>
  <c r="BD322" i="23"/>
  <c r="BD314" i="23"/>
  <c r="BF314" i="23" s="1"/>
  <c r="BG314" i="23" s="1"/>
  <c r="BD315" i="23"/>
  <c r="BD321" i="23"/>
  <c r="BD320" i="23"/>
  <c r="BD319" i="23"/>
  <c r="BD318" i="23"/>
  <c r="BD317" i="23"/>
  <c r="BD316" i="23"/>
  <c r="BD311" i="23"/>
  <c r="BD313" i="23"/>
  <c r="BD307" i="23"/>
  <c r="BD312" i="23"/>
  <c r="BD309" i="23"/>
  <c r="BD310" i="23"/>
  <c r="BD308" i="23"/>
  <c r="AP17" i="23"/>
  <c r="AR17" i="23" s="1"/>
  <c r="AK71" i="23"/>
  <c r="BY71" i="23"/>
  <c r="CA71" i="23" s="1"/>
  <c r="CB71" i="23" s="1"/>
  <c r="BY63" i="23"/>
  <c r="BY70" i="23"/>
  <c r="BY62" i="23"/>
  <c r="CA62" i="23" s="1"/>
  <c r="CB62" i="23" s="1"/>
  <c r="BY69" i="23"/>
  <c r="CA69" i="23" s="1"/>
  <c r="CB69" i="23" s="1"/>
  <c r="BY61" i="23"/>
  <c r="BY68" i="23"/>
  <c r="CA68" i="23" s="1"/>
  <c r="CB68" i="23" s="1"/>
  <c r="BY60" i="23"/>
  <c r="CA60" i="23" s="1"/>
  <c r="CB60" i="23" s="1"/>
  <c r="BY75" i="23"/>
  <c r="CA75" i="23" s="1"/>
  <c r="CB75" i="23" s="1"/>
  <c r="BY67" i="23"/>
  <c r="CA67" i="23" s="1"/>
  <c r="CB67" i="23" s="1"/>
  <c r="BY73" i="23"/>
  <c r="CA73" i="23" s="1"/>
  <c r="CB73" i="23" s="1"/>
  <c r="BY65" i="23"/>
  <c r="CA65" i="23" s="1"/>
  <c r="CB65" i="23" s="1"/>
  <c r="BY72" i="23"/>
  <c r="BY64" i="23"/>
  <c r="BY66" i="23"/>
  <c r="CA66" i="23" s="1"/>
  <c r="CB66" i="23" s="1"/>
  <c r="BY74" i="23"/>
  <c r="CA74" i="23" s="1"/>
  <c r="CB74" i="23" s="1"/>
  <c r="AC101" i="23"/>
  <c r="BY98" i="23"/>
  <c r="BY90" i="23"/>
  <c r="BY97" i="23"/>
  <c r="CA97" i="23" s="1"/>
  <c r="CB97" i="23" s="1"/>
  <c r="BY89" i="23"/>
  <c r="CA89" i="23" s="1"/>
  <c r="CB89" i="23" s="1"/>
  <c r="BY96" i="23"/>
  <c r="CA96" i="23" s="1"/>
  <c r="CB96" i="23" s="1"/>
  <c r="BY88" i="23"/>
  <c r="CA88" i="23" s="1"/>
  <c r="CB88" i="23" s="1"/>
  <c r="BY95" i="23"/>
  <c r="CA95" i="23" s="1"/>
  <c r="CB95" i="23" s="1"/>
  <c r="BY87" i="23"/>
  <c r="BY102" i="23"/>
  <c r="BY94" i="23"/>
  <c r="BY100" i="23"/>
  <c r="CA100" i="23" s="1"/>
  <c r="CB100" i="23" s="1"/>
  <c r="BY92" i="23"/>
  <c r="CA92" i="23" s="1"/>
  <c r="CB92" i="23" s="1"/>
  <c r="BY99" i="23"/>
  <c r="CA99" i="23" s="1"/>
  <c r="CB99" i="23" s="1"/>
  <c r="BY91" i="23"/>
  <c r="CA91" i="23" s="1"/>
  <c r="CB91" i="23" s="1"/>
  <c r="BY101" i="23"/>
  <c r="BY93" i="23"/>
  <c r="CA93" i="23" s="1"/>
  <c r="CB93" i="23" s="1"/>
  <c r="AP153" i="23"/>
  <c r="AR153" i="23" s="1"/>
  <c r="BR157" i="23"/>
  <c r="BT157" i="23" s="1"/>
  <c r="BU157" i="23" s="1"/>
  <c r="BR149" i="23"/>
  <c r="BT149" i="23" s="1"/>
  <c r="BU149" i="23" s="1"/>
  <c r="BR156" i="23"/>
  <c r="BR148" i="23"/>
  <c r="BT148" i="23" s="1"/>
  <c r="BU148" i="23" s="1"/>
  <c r="BR155" i="23"/>
  <c r="BT155" i="23" s="1"/>
  <c r="BU155" i="23" s="1"/>
  <c r="BR147" i="23"/>
  <c r="BT147" i="23" s="1"/>
  <c r="BU147" i="23" s="1"/>
  <c r="BR154" i="23"/>
  <c r="BT154" i="23" s="1"/>
  <c r="BU154" i="23" s="1"/>
  <c r="BR146" i="23"/>
  <c r="BT146" i="23" s="1"/>
  <c r="BU146" i="23" s="1"/>
  <c r="BR153" i="23"/>
  <c r="BT153" i="23" s="1"/>
  <c r="BU153" i="23" s="1"/>
  <c r="BR145" i="23"/>
  <c r="BT145" i="23" s="1"/>
  <c r="BU145" i="23" s="1"/>
  <c r="BR159" i="23"/>
  <c r="BT159" i="23" s="1"/>
  <c r="BU159" i="23" s="1"/>
  <c r="BR151" i="23"/>
  <c r="BT151" i="23" s="1"/>
  <c r="BU151" i="23" s="1"/>
  <c r="BR158" i="23"/>
  <c r="BR150" i="23"/>
  <c r="BT150" i="23" s="1"/>
  <c r="BU150" i="23" s="1"/>
  <c r="BR160" i="23"/>
  <c r="BR152" i="23"/>
  <c r="BT152" i="23" s="1"/>
  <c r="BU152" i="23" s="1"/>
  <c r="AQ175" i="23"/>
  <c r="AI178" i="23"/>
  <c r="AK178" i="23" s="1"/>
  <c r="AB181" i="23"/>
  <c r="AD181" i="23" s="1"/>
  <c r="AI184" i="23"/>
  <c r="AK184" i="23" s="1"/>
  <c r="AX186" i="23"/>
  <c r="AB187" i="23"/>
  <c r="AD187" i="23" s="1"/>
  <c r="AJ202" i="23"/>
  <c r="BT231" i="23"/>
  <c r="BU231" i="23" s="1"/>
  <c r="AI235" i="23"/>
  <c r="AK235" i="23" s="1"/>
  <c r="BK238" i="23"/>
  <c r="BM238" i="23" s="1"/>
  <c r="BN238" i="23" s="1"/>
  <c r="BD237" i="23"/>
  <c r="BF237" i="23" s="1"/>
  <c r="BG237" i="23" s="1"/>
  <c r="BD229" i="23"/>
  <c r="BD236" i="23"/>
  <c r="BD228" i="23"/>
  <c r="BF228" i="23" s="1"/>
  <c r="BG228" i="23" s="1"/>
  <c r="BD235" i="23"/>
  <c r="BF235" i="23" s="1"/>
  <c r="BG235" i="23" s="1"/>
  <c r="BD227" i="23"/>
  <c r="BF227" i="23" s="1"/>
  <c r="BG227" i="23" s="1"/>
  <c r="BD234" i="23"/>
  <c r="BF234" i="23" s="1"/>
  <c r="BG234" i="23" s="1"/>
  <c r="BD226" i="23"/>
  <c r="BD233" i="23"/>
  <c r="BF233" i="23" s="1"/>
  <c r="BG233" i="23" s="1"/>
  <c r="BD225" i="23"/>
  <c r="BD239" i="23"/>
  <c r="BF239" i="23" s="1"/>
  <c r="BG239" i="23" s="1"/>
  <c r="BD231" i="23"/>
  <c r="BD238" i="23"/>
  <c r="BF238" i="23" s="1"/>
  <c r="BG238" i="23" s="1"/>
  <c r="BD230" i="23"/>
  <c r="BF230" i="23" s="1"/>
  <c r="BG230" i="23" s="1"/>
  <c r="BD240" i="23"/>
  <c r="BF240" i="23" s="1"/>
  <c r="BG240" i="23" s="1"/>
  <c r="BD232" i="23"/>
  <c r="AI256" i="23"/>
  <c r="AK256" i="23" s="1"/>
  <c r="AP262" i="23"/>
  <c r="AP264" i="23"/>
  <c r="AR264" i="23" s="1"/>
  <c r="AB265" i="23"/>
  <c r="AI285" i="23"/>
  <c r="BK322" i="23"/>
  <c r="BK314" i="23"/>
  <c r="BM314" i="23" s="1"/>
  <c r="BN314" i="23" s="1"/>
  <c r="BK321" i="23"/>
  <c r="BM321" i="23" s="1"/>
  <c r="BN321" i="23" s="1"/>
  <c r="BK320" i="23"/>
  <c r="BM320" i="23" s="1"/>
  <c r="BN320" i="23" s="1"/>
  <c r="BK319" i="23"/>
  <c r="BK318" i="23"/>
  <c r="BK315" i="23"/>
  <c r="BK317" i="23"/>
  <c r="BK316" i="23"/>
  <c r="BK309" i="23"/>
  <c r="BK312" i="23"/>
  <c r="BK307" i="23"/>
  <c r="BK308" i="23"/>
  <c r="BK313" i="23"/>
  <c r="BK310" i="23"/>
  <c r="BK311" i="23"/>
  <c r="BF35" i="23"/>
  <c r="BG35" i="23" s="1"/>
  <c r="AB36" i="23"/>
  <c r="AD36" i="23" s="1"/>
  <c r="BM39" i="23"/>
  <c r="BN39" i="23" s="1"/>
  <c r="AI40" i="23"/>
  <c r="AK40" i="23" s="1"/>
  <c r="AB43" i="23"/>
  <c r="AD43" i="23" s="1"/>
  <c r="AC63" i="23"/>
  <c r="AD63" i="23" s="1"/>
  <c r="AR65" i="23"/>
  <c r="AI69" i="23"/>
  <c r="AK69" i="23" s="1"/>
  <c r="BM89" i="23"/>
  <c r="BN89" i="23" s="1"/>
  <c r="AW120" i="23"/>
  <c r="AY120" i="23" s="1"/>
  <c r="AI123" i="23"/>
  <c r="AK123" i="23" s="1"/>
  <c r="AC127" i="23"/>
  <c r="AD127" i="23" s="1"/>
  <c r="AW128" i="23"/>
  <c r="AB157" i="23"/>
  <c r="AD157" i="23" s="1"/>
  <c r="AP159" i="23"/>
  <c r="BY156" i="23"/>
  <c r="CA156" i="23" s="1"/>
  <c r="CB156" i="23" s="1"/>
  <c r="BY148" i="23"/>
  <c r="BY155" i="23"/>
  <c r="CA155" i="23" s="1"/>
  <c r="CB155" i="23" s="1"/>
  <c r="BY147" i="23"/>
  <c r="BY154" i="23"/>
  <c r="CA154" i="23" s="1"/>
  <c r="CB154" i="23" s="1"/>
  <c r="BY146" i="23"/>
  <c r="BY153" i="23"/>
  <c r="BY145" i="23"/>
  <c r="CA145" i="23" s="1"/>
  <c r="BY160" i="23"/>
  <c r="CA160" i="23" s="1"/>
  <c r="CB160" i="23" s="1"/>
  <c r="BY152" i="23"/>
  <c r="CA152" i="23" s="1"/>
  <c r="CB152" i="23" s="1"/>
  <c r="BY158" i="23"/>
  <c r="CA158" i="23" s="1"/>
  <c r="CB158" i="23" s="1"/>
  <c r="BY150" i="23"/>
  <c r="CA150" i="23" s="1"/>
  <c r="CB150" i="23" s="1"/>
  <c r="BY157" i="23"/>
  <c r="BY149" i="23"/>
  <c r="CA149" i="23" s="1"/>
  <c r="CB149" i="23" s="1"/>
  <c r="BY159" i="23"/>
  <c r="CA159" i="23" s="1"/>
  <c r="CB159" i="23" s="1"/>
  <c r="BY151" i="23"/>
  <c r="BT185" i="23"/>
  <c r="BU185" i="23" s="1"/>
  <c r="AR205" i="23"/>
  <c r="AB210" i="23"/>
  <c r="AD210" i="23" s="1"/>
  <c r="AW211" i="23"/>
  <c r="AY211" i="23" s="1"/>
  <c r="AI213" i="23"/>
  <c r="AK213" i="23" s="1"/>
  <c r="BD210" i="23"/>
  <c r="BD202" i="23"/>
  <c r="BF202" i="23" s="1"/>
  <c r="BG202" i="23" s="1"/>
  <c r="BD209" i="23"/>
  <c r="BF209" i="23" s="1"/>
  <c r="BG209" i="23" s="1"/>
  <c r="BD201" i="23"/>
  <c r="BD208" i="23"/>
  <c r="BF208" i="23" s="1"/>
  <c r="BG208" i="23" s="1"/>
  <c r="BD200" i="23"/>
  <c r="BF200" i="23" s="1"/>
  <c r="BG200" i="23" s="1"/>
  <c r="BD207" i="23"/>
  <c r="BF207" i="23" s="1"/>
  <c r="BG207" i="23" s="1"/>
  <c r="BD199" i="23"/>
  <c r="BF199" i="23" s="1"/>
  <c r="BG199" i="23" s="1"/>
  <c r="BD206" i="23"/>
  <c r="BD198" i="23"/>
  <c r="BD212" i="23"/>
  <c r="BF212" i="23" s="1"/>
  <c r="BG212" i="23" s="1"/>
  <c r="BD204" i="23"/>
  <c r="BF204" i="23" s="1"/>
  <c r="BG204" i="23" s="1"/>
  <c r="BD211" i="23"/>
  <c r="BF211" i="23" s="1"/>
  <c r="BG211" i="23" s="1"/>
  <c r="BD203" i="23"/>
  <c r="BF203" i="23" s="1"/>
  <c r="BG203" i="23" s="1"/>
  <c r="BD213" i="23"/>
  <c r="BF213" i="23" s="1"/>
  <c r="BG213" i="23" s="1"/>
  <c r="BD205" i="23"/>
  <c r="BF205" i="23" s="1"/>
  <c r="BG205" i="23" s="1"/>
  <c r="BT236" i="23"/>
  <c r="BU236" i="23" s="1"/>
  <c r="BK237" i="23"/>
  <c r="BM237" i="23" s="1"/>
  <c r="BN237" i="23" s="1"/>
  <c r="BK229" i="23"/>
  <c r="BK236" i="23"/>
  <c r="BK228" i="23"/>
  <c r="BK235" i="23"/>
  <c r="BM235" i="23" s="1"/>
  <c r="BN235" i="23" s="1"/>
  <c r="BK227" i="23"/>
  <c r="BK234" i="23"/>
  <c r="BM234" i="23" s="1"/>
  <c r="BN234" i="23" s="1"/>
  <c r="BK226" i="23"/>
  <c r="BK233" i="23"/>
  <c r="BK225" i="23"/>
  <c r="BM225" i="23" s="1"/>
  <c r="BN225" i="23" s="1"/>
  <c r="BK231" i="23"/>
  <c r="BM231" i="23" s="1"/>
  <c r="BN231" i="23" s="1"/>
  <c r="BK230" i="23"/>
  <c r="BK232" i="23"/>
  <c r="BM232" i="23" s="1"/>
  <c r="BN232" i="23" s="1"/>
  <c r="AC251" i="23"/>
  <c r="AP253" i="23"/>
  <c r="AR253" i="23" s="1"/>
  <c r="BT254" i="23"/>
  <c r="BU254" i="23" s="1"/>
  <c r="BY262" i="23"/>
  <c r="BY254" i="23"/>
  <c r="BY261" i="23"/>
  <c r="CA261" i="23" s="1"/>
  <c r="CB261" i="23" s="1"/>
  <c r="BY253" i="23"/>
  <c r="CA253" i="23" s="1"/>
  <c r="CB253" i="23" s="1"/>
  <c r="BY260" i="23"/>
  <c r="BY252" i="23"/>
  <c r="CA252" i="23" s="1"/>
  <c r="CB252" i="23" s="1"/>
  <c r="BY259" i="23"/>
  <c r="BY266" i="23"/>
  <c r="BY258" i="23"/>
  <c r="CA258" i="23" s="1"/>
  <c r="CB258" i="23" s="1"/>
  <c r="BY264" i="23"/>
  <c r="BY256" i="23"/>
  <c r="CA256" i="23" s="1"/>
  <c r="CB256" i="23" s="1"/>
  <c r="BY263" i="23"/>
  <c r="CA263" i="23" s="1"/>
  <c r="CB263" i="23" s="1"/>
  <c r="BY255" i="23"/>
  <c r="BY265" i="23"/>
  <c r="CA265" i="23" s="1"/>
  <c r="CB265" i="23" s="1"/>
  <c r="BY257" i="23"/>
  <c r="AQ281" i="23"/>
  <c r="AR281" i="23" s="1"/>
  <c r="AI283" i="23"/>
  <c r="AK283" i="23" s="1"/>
  <c r="AK290" i="23"/>
  <c r="AQ292" i="23"/>
  <c r="AR292" i="23" s="1"/>
  <c r="BY290" i="23"/>
  <c r="BY282" i="23"/>
  <c r="BY289" i="23"/>
  <c r="CA289" i="23" s="1"/>
  <c r="CB289" i="23" s="1"/>
  <c r="BY281" i="23"/>
  <c r="BY288" i="23"/>
  <c r="BY280" i="23"/>
  <c r="BY287" i="23"/>
  <c r="BY294" i="23"/>
  <c r="CA294" i="23" s="1"/>
  <c r="CB294" i="23" s="1"/>
  <c r="BY286" i="23"/>
  <c r="BY292" i="23"/>
  <c r="BY284" i="23"/>
  <c r="BY291" i="23"/>
  <c r="BY283" i="23"/>
  <c r="BY285" i="23"/>
  <c r="BY293" i="23"/>
  <c r="BR322" i="23"/>
  <c r="BT322" i="23" s="1"/>
  <c r="BU322" i="23" s="1"/>
  <c r="BR314" i="23"/>
  <c r="BR321" i="23"/>
  <c r="BR320" i="23"/>
  <c r="BT320" i="23" s="1"/>
  <c r="BU320" i="23" s="1"/>
  <c r="BR319" i="23"/>
  <c r="BR318" i="23"/>
  <c r="BR315" i="23"/>
  <c r="BR317" i="23"/>
  <c r="BR316" i="23"/>
  <c r="BT316" i="23" s="1"/>
  <c r="BU316" i="23" s="1"/>
  <c r="BR311" i="23"/>
  <c r="BR312" i="23"/>
  <c r="BR310" i="23"/>
  <c r="BT310" i="23" s="1"/>
  <c r="BU310" i="23" s="1"/>
  <c r="BR313" i="23"/>
  <c r="BR308" i="23"/>
  <c r="BR309" i="23"/>
  <c r="BR307" i="23"/>
  <c r="BT307" i="23" s="1"/>
  <c r="BU307" i="23" s="1"/>
  <c r="AP11" i="23"/>
  <c r="AR11" i="23" s="1"/>
  <c r="AX12" i="23"/>
  <c r="AY12" i="23" s="1"/>
  <c r="AW13" i="23"/>
  <c r="AB15" i="23"/>
  <c r="AD15" i="23" s="1"/>
  <c r="BT61" i="23"/>
  <c r="BU61" i="23" s="1"/>
  <c r="AQ73" i="23"/>
  <c r="BF93" i="23"/>
  <c r="BG93" i="23" s="1"/>
  <c r="BM97" i="23"/>
  <c r="BN97" i="23" s="1"/>
  <c r="BF98" i="23"/>
  <c r="BG98" i="23" s="1"/>
  <c r="AX153" i="23"/>
  <c r="AY153" i="23" s="1"/>
  <c r="CA157" i="23"/>
  <c r="CB157" i="23" s="1"/>
  <c r="BM158" i="23"/>
  <c r="BN158" i="23" s="1"/>
  <c r="BM160" i="23"/>
  <c r="BN160" i="23" s="1"/>
  <c r="BD184" i="23"/>
  <c r="BF184" i="23" s="1"/>
  <c r="BG184" i="23" s="1"/>
  <c r="BD176" i="23"/>
  <c r="BD183" i="23"/>
  <c r="BF183" i="23" s="1"/>
  <c r="BG183" i="23" s="1"/>
  <c r="BD175" i="23"/>
  <c r="BF175" i="23" s="1"/>
  <c r="BG175" i="23" s="1"/>
  <c r="BD182" i="23"/>
  <c r="BF182" i="23" s="1"/>
  <c r="BG182" i="23" s="1"/>
  <c r="BD174" i="23"/>
  <c r="BF174" i="23" s="1"/>
  <c r="BG174" i="23" s="1"/>
  <c r="BD181" i="23"/>
  <c r="BD173" i="23"/>
  <c r="BF173" i="23" s="1"/>
  <c r="BG173" i="23" s="1"/>
  <c r="BD180" i="23"/>
  <c r="BF180" i="23" s="1"/>
  <c r="BG180" i="23" s="1"/>
  <c r="BD172" i="23"/>
  <c r="BD186" i="23"/>
  <c r="BF186" i="23" s="1"/>
  <c r="BG186" i="23" s="1"/>
  <c r="BD178" i="23"/>
  <c r="BF178" i="23" s="1"/>
  <c r="BG178" i="23" s="1"/>
  <c r="BD185" i="23"/>
  <c r="BD177" i="23"/>
  <c r="BF177" i="23" s="1"/>
  <c r="BG177" i="23" s="1"/>
  <c r="BD179" i="23"/>
  <c r="BD187" i="23"/>
  <c r="BK210" i="23"/>
  <c r="BK202" i="23"/>
  <c r="BM202" i="23" s="1"/>
  <c r="BN202" i="23" s="1"/>
  <c r="BK209" i="23"/>
  <c r="BK201" i="23"/>
  <c r="BM201" i="23" s="1"/>
  <c r="BN201" i="23" s="1"/>
  <c r="BK208" i="23"/>
  <c r="BM208" i="23" s="1"/>
  <c r="BN208" i="23" s="1"/>
  <c r="BK200" i="23"/>
  <c r="BK207" i="23"/>
  <c r="BK199" i="23"/>
  <c r="BM199" i="23" s="1"/>
  <c r="BN199" i="23" s="1"/>
  <c r="BK206" i="23"/>
  <c r="BM206" i="23" s="1"/>
  <c r="BN206" i="23" s="1"/>
  <c r="BK198" i="23"/>
  <c r="BM198" i="23" s="1"/>
  <c r="BN198" i="23" s="1"/>
  <c r="BK212" i="23"/>
  <c r="BK204" i="23"/>
  <c r="BM204" i="23" s="1"/>
  <c r="BN204" i="23" s="1"/>
  <c r="BK211" i="23"/>
  <c r="BM211" i="23" s="1"/>
  <c r="BN211" i="23" s="1"/>
  <c r="BK203" i="23"/>
  <c r="BK213" i="23"/>
  <c r="BK205" i="23"/>
  <c r="BM205" i="23" s="1"/>
  <c r="BN205" i="23" s="1"/>
  <c r="AK238" i="23"/>
  <c r="BY322" i="23"/>
  <c r="CA322" i="23" s="1"/>
  <c r="CB322" i="23" s="1"/>
  <c r="BY314" i="23"/>
  <c r="BY321" i="23"/>
  <c r="BY320" i="23"/>
  <c r="CA320" i="23" s="1"/>
  <c r="CB320" i="23" s="1"/>
  <c r="BY319" i="23"/>
  <c r="CA319" i="23" s="1"/>
  <c r="CB319" i="23" s="1"/>
  <c r="BY318" i="23"/>
  <c r="BY317" i="23"/>
  <c r="BY315" i="23"/>
  <c r="BY316" i="23"/>
  <c r="CA316" i="23" s="1"/>
  <c r="CB316" i="23" s="1"/>
  <c r="BY312" i="23"/>
  <c r="BY313" i="23"/>
  <c r="BY311" i="23"/>
  <c r="CA311" i="23" s="1"/>
  <c r="CB311" i="23" s="1"/>
  <c r="BY309" i="23"/>
  <c r="BY307" i="23"/>
  <c r="CA307" i="23" s="1"/>
  <c r="CB307" i="23" s="1"/>
  <c r="BY310" i="23"/>
  <c r="BY308" i="23"/>
  <c r="CA18" i="23"/>
  <c r="CB18" i="23" s="1"/>
  <c r="AB24" i="23"/>
  <c r="AD24" i="23" s="1"/>
  <c r="BM35" i="23"/>
  <c r="BN35" i="23" s="1"/>
  <c r="AB39" i="23"/>
  <c r="AD39" i="23" s="1"/>
  <c r="BM40" i="23"/>
  <c r="BN40" i="23" s="1"/>
  <c r="BT64" i="23"/>
  <c r="BU64" i="23" s="1"/>
  <c r="AC68" i="23"/>
  <c r="BM70" i="23"/>
  <c r="BN70" i="23" s="1"/>
  <c r="BM93" i="23"/>
  <c r="BN93" i="23" s="1"/>
  <c r="AR116" i="23"/>
  <c r="AQ154" i="23"/>
  <c r="AI182" i="23"/>
  <c r="AK182" i="23" s="1"/>
  <c r="AB185" i="23"/>
  <c r="AD185" i="23" s="1"/>
  <c r="BK184" i="23"/>
  <c r="BK176" i="23"/>
  <c r="BK183" i="23"/>
  <c r="BM183" i="23" s="1"/>
  <c r="BN183" i="23" s="1"/>
  <c r="BK175" i="23"/>
  <c r="BM175" i="23" s="1"/>
  <c r="BN175" i="23" s="1"/>
  <c r="BK182" i="23"/>
  <c r="BK174" i="23"/>
  <c r="BM174" i="23" s="1"/>
  <c r="BN174" i="23" s="1"/>
  <c r="BK181" i="23"/>
  <c r="BM181" i="23" s="1"/>
  <c r="BN181" i="23" s="1"/>
  <c r="BK173" i="23"/>
  <c r="BK180" i="23"/>
  <c r="BK172" i="23"/>
  <c r="BM172" i="23" s="1"/>
  <c r="BN172" i="23" s="1"/>
  <c r="BK186" i="23"/>
  <c r="BK178" i="23"/>
  <c r="BM178" i="23" s="1"/>
  <c r="BN178" i="23" s="1"/>
  <c r="BK185" i="23"/>
  <c r="BK177" i="23"/>
  <c r="BM177" i="23" s="1"/>
  <c r="BN177" i="23" s="1"/>
  <c r="BK187" i="23"/>
  <c r="BM187" i="23" s="1"/>
  <c r="BN187" i="23" s="1"/>
  <c r="BK179" i="23"/>
  <c r="BM179" i="23" s="1"/>
  <c r="BN179" i="23" s="1"/>
  <c r="AW198" i="23"/>
  <c r="AW202" i="23"/>
  <c r="AC211" i="23"/>
  <c r="BR210" i="23"/>
  <c r="BT210" i="23" s="1"/>
  <c r="BU210" i="23" s="1"/>
  <c r="BR202" i="23"/>
  <c r="BT202" i="23" s="1"/>
  <c r="BU202" i="23" s="1"/>
  <c r="BR209" i="23"/>
  <c r="BR201" i="23"/>
  <c r="BT201" i="23" s="1"/>
  <c r="BU201" i="23" s="1"/>
  <c r="BR208" i="23"/>
  <c r="BT208" i="23" s="1"/>
  <c r="BU208" i="23" s="1"/>
  <c r="BR200" i="23"/>
  <c r="BR207" i="23"/>
  <c r="BR199" i="23"/>
  <c r="BT199" i="23" s="1"/>
  <c r="BU199" i="23" s="1"/>
  <c r="BR206" i="23"/>
  <c r="BT206" i="23" s="1"/>
  <c r="BU206" i="23" s="1"/>
  <c r="BR198" i="23"/>
  <c r="BT198" i="23" s="1"/>
  <c r="BU198" i="23" s="1"/>
  <c r="BR212" i="23"/>
  <c r="BT212" i="23" s="1"/>
  <c r="BU212" i="23" s="1"/>
  <c r="BR204" i="23"/>
  <c r="BT204" i="23" s="1"/>
  <c r="BU204" i="23" s="1"/>
  <c r="BR211" i="23"/>
  <c r="BT211" i="23" s="1"/>
  <c r="BU211" i="23" s="1"/>
  <c r="BR203" i="23"/>
  <c r="BR213" i="23"/>
  <c r="BT213" i="23" s="1"/>
  <c r="BU213" i="23" s="1"/>
  <c r="BR205" i="23"/>
  <c r="AP231" i="23"/>
  <c r="AR231" i="23" s="1"/>
  <c r="AW235" i="23"/>
  <c r="AY235" i="23" s="1"/>
  <c r="AB236" i="23"/>
  <c r="BY236" i="23"/>
  <c r="CA236" i="23" s="1"/>
  <c r="CB236" i="23" s="1"/>
  <c r="BY228" i="23"/>
  <c r="BY235" i="23"/>
  <c r="BY227" i="23"/>
  <c r="BY234" i="23"/>
  <c r="BY226" i="23"/>
  <c r="CA226" i="23" s="1"/>
  <c r="CB226" i="23" s="1"/>
  <c r="BY233" i="23"/>
  <c r="BY225" i="23"/>
  <c r="BY240" i="23"/>
  <c r="CA240" i="23" s="1"/>
  <c r="CB240" i="23" s="1"/>
  <c r="BY232" i="23"/>
  <c r="BY238" i="23"/>
  <c r="BY230" i="23"/>
  <c r="BY237" i="23"/>
  <c r="BY229" i="23"/>
  <c r="CA229" i="23" s="1"/>
  <c r="CB229" i="23" s="1"/>
  <c r="BY239" i="23"/>
  <c r="CA239" i="23" s="1"/>
  <c r="CB239" i="23" s="1"/>
  <c r="BY231" i="23"/>
  <c r="AP259" i="23"/>
  <c r="AR259" i="23" s="1"/>
  <c r="AJ282" i="23"/>
  <c r="BT284" i="23"/>
  <c r="BU284" i="23" s="1"/>
  <c r="BT294" i="23"/>
  <c r="BU294" i="23" s="1"/>
  <c r="AY282" i="23"/>
  <c r="AR9" i="23"/>
  <c r="AY13" i="23"/>
  <c r="BD24" i="23"/>
  <c r="BF24" i="23" s="1"/>
  <c r="BG24" i="23" s="1"/>
  <c r="BD9" i="23"/>
  <c r="BF9" i="23" s="1"/>
  <c r="BG9" i="23" s="1"/>
  <c r="AQ160" i="23"/>
  <c r="AP160" i="23"/>
  <c r="AJ281" i="23"/>
  <c r="AI281" i="23"/>
  <c r="AB10" i="23"/>
  <c r="AD10" i="23" s="1"/>
  <c r="BD10" i="23"/>
  <c r="BF10" i="23" s="1"/>
  <c r="BG10" i="23" s="1"/>
  <c r="BT11" i="23"/>
  <c r="BU11" i="23" s="1"/>
  <c r="AP14" i="23"/>
  <c r="AR14" i="23" s="1"/>
  <c r="AW16" i="23"/>
  <c r="AY16" i="23" s="1"/>
  <c r="BM17" i="23"/>
  <c r="BN17" i="23" s="1"/>
  <c r="AB18" i="23"/>
  <c r="AD18" i="23" s="1"/>
  <c r="BD18" i="23"/>
  <c r="BF18" i="23" s="1"/>
  <c r="BG18" i="23" s="1"/>
  <c r="BD21" i="23"/>
  <c r="BF21" i="23" s="1"/>
  <c r="BG21" i="23" s="1"/>
  <c r="BM22" i="23"/>
  <c r="BN22" i="23" s="1"/>
  <c r="AB23" i="23"/>
  <c r="AD23" i="23" s="1"/>
  <c r="AP33" i="23"/>
  <c r="AR33" i="23" s="1"/>
  <c r="BM34" i="23"/>
  <c r="BN34" i="23" s="1"/>
  <c r="AP36" i="23"/>
  <c r="AR36" i="23" s="1"/>
  <c r="BD38" i="23"/>
  <c r="BD39" i="23"/>
  <c r="BF39" i="23" s="1"/>
  <c r="BG39" i="23" s="1"/>
  <c r="AP40" i="23"/>
  <c r="AR40" i="23" s="1"/>
  <c r="BD42" i="23"/>
  <c r="BD43" i="23"/>
  <c r="BF43" i="23" s="1"/>
  <c r="BG43" i="23" s="1"/>
  <c r="AP44" i="23"/>
  <c r="AR44" i="23" s="1"/>
  <c r="CA61" i="23"/>
  <c r="CB61" i="23" s="1"/>
  <c r="AP62" i="23"/>
  <c r="BM63" i="23"/>
  <c r="BN63" i="23" s="1"/>
  <c r="AB64" i="23"/>
  <c r="AD64" i="23" s="1"/>
  <c r="BF64" i="23"/>
  <c r="BG64" i="23" s="1"/>
  <c r="AW65" i="23"/>
  <c r="AY65" i="23" s="1"/>
  <c r="AQ67" i="23"/>
  <c r="AR67" i="23" s="1"/>
  <c r="BT67" i="23"/>
  <c r="BU67" i="23" s="1"/>
  <c r="BF69" i="23"/>
  <c r="BG69" i="23" s="1"/>
  <c r="AX71" i="23"/>
  <c r="AY71" i="23" s="1"/>
  <c r="BM75" i="23"/>
  <c r="BN75" i="23" s="1"/>
  <c r="AI91" i="23"/>
  <c r="AK91" i="23" s="1"/>
  <c r="AJ92" i="23"/>
  <c r="AI92" i="23"/>
  <c r="BT92" i="23"/>
  <c r="BU92" i="23" s="1"/>
  <c r="AX93" i="23"/>
  <c r="AW93" i="23"/>
  <c r="AK95" i="23"/>
  <c r="AP97" i="23"/>
  <c r="AQ97" i="23"/>
  <c r="AP98" i="23"/>
  <c r="AQ98" i="23"/>
  <c r="AW100" i="23"/>
  <c r="AX100" i="23"/>
  <c r="AJ121" i="23"/>
  <c r="AW122" i="23"/>
  <c r="AX122" i="23"/>
  <c r="AW124" i="23"/>
  <c r="AY124" i="23" s="1"/>
  <c r="BM125" i="23"/>
  <c r="BN125" i="23" s="1"/>
  <c r="BT128" i="23"/>
  <c r="BU128" i="23" s="1"/>
  <c r="AX129" i="23"/>
  <c r="AW129" i="23"/>
  <c r="AP145" i="23"/>
  <c r="AQ145" i="23"/>
  <c r="AQ150" i="23"/>
  <c r="AR150" i="23" s="1"/>
  <c r="BF154" i="23"/>
  <c r="BG154" i="23" s="1"/>
  <c r="BF155" i="23"/>
  <c r="BG155" i="23" s="1"/>
  <c r="BT181" i="23"/>
  <c r="BU181" i="23" s="1"/>
  <c r="AW182" i="23"/>
  <c r="AX182" i="23"/>
  <c r="AY182" i="23" s="1"/>
  <c r="CA182" i="23"/>
  <c r="CB182" i="23" s="1"/>
  <c r="AC255" i="23"/>
  <c r="AB255" i="23"/>
  <c r="AD279" i="23"/>
  <c r="AP128" i="23"/>
  <c r="AQ128" i="23"/>
  <c r="AQ261" i="23"/>
  <c r="AP261" i="23"/>
  <c r="AY11" i="23"/>
  <c r="BM12" i="23"/>
  <c r="BN12" i="23" s="1"/>
  <c r="BD13" i="23"/>
  <c r="BF13" i="23" s="1"/>
  <c r="BG13" i="23" s="1"/>
  <c r="BT14" i="23"/>
  <c r="BU14" i="23" s="1"/>
  <c r="CA19" i="23"/>
  <c r="CB19" i="23" s="1"/>
  <c r="AK22" i="23"/>
  <c r="BM24" i="23"/>
  <c r="BN24" i="23" s="1"/>
  <c r="CA36" i="23"/>
  <c r="CB36" i="23" s="1"/>
  <c r="CA40" i="23"/>
  <c r="CB40" i="23" s="1"/>
  <c r="AY47" i="23"/>
  <c r="BM64" i="23"/>
  <c r="BN64" i="23" s="1"/>
  <c r="AY67" i="23"/>
  <c r="AB72" i="23"/>
  <c r="AC72" i="23"/>
  <c r="BM72" i="23"/>
  <c r="BN72" i="23" s="1"/>
  <c r="BM73" i="23"/>
  <c r="BN73" i="23" s="1"/>
  <c r="CA87" i="23"/>
  <c r="CB87" i="23" s="1"/>
  <c r="AX101" i="23"/>
  <c r="AW101" i="23"/>
  <c r="CA101" i="23"/>
  <c r="CB101" i="23" s="1"/>
  <c r="BF116" i="23"/>
  <c r="BG116" i="23" s="1"/>
  <c r="AB119" i="23"/>
  <c r="AC119" i="23"/>
  <c r="BT126" i="23"/>
  <c r="BU126" i="23" s="1"/>
  <c r="AY128" i="23"/>
  <c r="AY172" i="23"/>
  <c r="AI173" i="23"/>
  <c r="AJ173" i="23"/>
  <c r="AI177" i="23"/>
  <c r="AJ177" i="23"/>
  <c r="AX206" i="23"/>
  <c r="AW206" i="23"/>
  <c r="AJ240" i="23"/>
  <c r="AI240" i="23"/>
  <c r="AK240" i="23" s="1"/>
  <c r="AW252" i="23"/>
  <c r="AX252" i="23"/>
  <c r="BF264" i="23"/>
  <c r="BG264" i="23" s="1"/>
  <c r="AK265" i="23"/>
  <c r="BM289" i="23"/>
  <c r="BN289" i="23" s="1"/>
  <c r="AW92" i="23"/>
  <c r="AX92" i="23"/>
  <c r="AP95" i="23"/>
  <c r="AQ95" i="23"/>
  <c r="AQ213" i="23"/>
  <c r="AP213" i="23"/>
  <c r="AB44" i="12"/>
  <c r="AC44" i="12"/>
  <c r="AM44" i="12"/>
  <c r="AL44" i="12"/>
  <c r="AD44" i="12"/>
  <c r="AK44" i="12"/>
  <c r="AJ44" i="12"/>
  <c r="AH44" i="12"/>
  <c r="AI44" i="12"/>
  <c r="AG44" i="12"/>
  <c r="AE44" i="12"/>
  <c r="AF44" i="12"/>
  <c r="AB11" i="23"/>
  <c r="AD11" i="23" s="1"/>
  <c r="AP15" i="23"/>
  <c r="AR15" i="23" s="1"/>
  <c r="AB19" i="23"/>
  <c r="AD19" i="23" s="1"/>
  <c r="BM21" i="23"/>
  <c r="BN21" i="23" s="1"/>
  <c r="AP23" i="23"/>
  <c r="AR23" i="23" s="1"/>
  <c r="AB40" i="23"/>
  <c r="AD40" i="23" s="1"/>
  <c r="AX44" i="23"/>
  <c r="AW45" i="23"/>
  <c r="AY45" i="23" s="1"/>
  <c r="AW46" i="23"/>
  <c r="AY46" i="23" s="1"/>
  <c r="AP60" i="23"/>
  <c r="AR60" i="23" s="1"/>
  <c r="AB61" i="23"/>
  <c r="AD61" i="23" s="1"/>
  <c r="BF61" i="23"/>
  <c r="BG61" i="23" s="1"/>
  <c r="BT63" i="23"/>
  <c r="BU63" i="23" s="1"/>
  <c r="AX68" i="23"/>
  <c r="AQ69" i="23"/>
  <c r="AR69" i="23" s="1"/>
  <c r="AI72" i="23"/>
  <c r="AK72" i="23" s="1"/>
  <c r="AP89" i="23"/>
  <c r="AQ89" i="23"/>
  <c r="AX91" i="23"/>
  <c r="AY91" i="23" s="1"/>
  <c r="AI119" i="23"/>
  <c r="AK119" i="23" s="1"/>
  <c r="AW126" i="23"/>
  <c r="AX126" i="23"/>
  <c r="AX146" i="23"/>
  <c r="AW146" i="23"/>
  <c r="CA146" i="23"/>
  <c r="CB146" i="23" s="1"/>
  <c r="AP157" i="23"/>
  <c r="AR157" i="23" s="1"/>
  <c r="AC176" i="23"/>
  <c r="AB176" i="23"/>
  <c r="AX213" i="23"/>
  <c r="AW213" i="23"/>
  <c r="AQ255" i="23"/>
  <c r="AP255" i="23"/>
  <c r="AP120" i="23"/>
  <c r="AQ120" i="23"/>
  <c r="AB130" i="23"/>
  <c r="AC130" i="23"/>
  <c r="AP152" i="23"/>
  <c r="AQ152" i="23"/>
  <c r="AC238" i="23"/>
  <c r="AB238" i="23"/>
  <c r="AP239" i="23"/>
  <c r="AQ239" i="23"/>
  <c r="AC258" i="23"/>
  <c r="AB258" i="23"/>
  <c r="AE77" i="12"/>
  <c r="AM77" i="12"/>
  <c r="AK77" i="12"/>
  <c r="AD77" i="12"/>
  <c r="AC77" i="12"/>
  <c r="AG77" i="12"/>
  <c r="AF77" i="12"/>
  <c r="AI77" i="12"/>
  <c r="AH77" i="12"/>
  <c r="AB77" i="12"/>
  <c r="AJ77" i="12"/>
  <c r="BD11" i="23"/>
  <c r="BF11" i="23" s="1"/>
  <c r="BG11" i="23" s="1"/>
  <c r="AW17" i="23"/>
  <c r="AY17" i="23" s="1"/>
  <c r="AI24" i="23"/>
  <c r="AK24" i="23" s="1"/>
  <c r="AW33" i="23"/>
  <c r="AY33" i="23" s="1"/>
  <c r="AP34" i="23"/>
  <c r="AR34" i="23" s="1"/>
  <c r="AX36" i="23"/>
  <c r="AX40" i="23"/>
  <c r="AB44" i="23"/>
  <c r="AD44" i="23" s="1"/>
  <c r="AP10" i="23"/>
  <c r="AR10" i="23" s="1"/>
  <c r="BM13" i="23"/>
  <c r="BN13" i="23" s="1"/>
  <c r="AB14" i="23"/>
  <c r="AD14" i="23" s="1"/>
  <c r="BD14" i="23"/>
  <c r="BF14" i="23" s="1"/>
  <c r="BG14" i="23" s="1"/>
  <c r="BT15" i="23"/>
  <c r="BU15" i="23" s="1"/>
  <c r="AP18" i="23"/>
  <c r="AR18" i="23" s="1"/>
  <c r="AB20" i="23"/>
  <c r="AD20" i="23" s="1"/>
  <c r="BM20" i="23"/>
  <c r="BN20" i="23" s="1"/>
  <c r="AI21" i="23"/>
  <c r="BD36" i="23"/>
  <c r="BF36" i="23" s="1"/>
  <c r="BG36" i="23" s="1"/>
  <c r="AB37" i="23"/>
  <c r="AD37" i="23" s="1"/>
  <c r="BK37" i="23"/>
  <c r="BM37" i="23" s="1"/>
  <c r="BN37" i="23" s="1"/>
  <c r="AJ39" i="23"/>
  <c r="AK39" i="23" s="1"/>
  <c r="BD40" i="23"/>
  <c r="AB41" i="23"/>
  <c r="AD41" i="23" s="1"/>
  <c r="BK41" i="23"/>
  <c r="BM41" i="23" s="1"/>
  <c r="BN41" i="23" s="1"/>
  <c r="AJ43" i="23"/>
  <c r="AK43" i="23" s="1"/>
  <c r="BD44" i="23"/>
  <c r="AB45" i="23"/>
  <c r="AD45" i="23" s="1"/>
  <c r="CA45" i="23"/>
  <c r="CB45" i="23" s="1"/>
  <c r="BM61" i="23"/>
  <c r="BN61" i="23" s="1"/>
  <c r="CA63" i="23"/>
  <c r="CB63" i="23" s="1"/>
  <c r="AI87" i="23"/>
  <c r="AJ87" i="23"/>
  <c r="BF91" i="23"/>
  <c r="BG91" i="23" s="1"/>
  <c r="AB100" i="23"/>
  <c r="AC100" i="23"/>
  <c r="AI130" i="23"/>
  <c r="AK130" i="23" s="1"/>
  <c r="AJ131" i="23"/>
  <c r="AI131" i="23"/>
  <c r="AX149" i="23"/>
  <c r="AY149" i="23" s="1"/>
  <c r="AX156" i="23"/>
  <c r="AY156" i="23" s="1"/>
  <c r="AC159" i="23"/>
  <c r="CA174" i="23"/>
  <c r="CB174" i="23" s="1"/>
  <c r="AJ186" i="23"/>
  <c r="AK186" i="23" s="1"/>
  <c r="AI186" i="23"/>
  <c r="AJ198" i="23"/>
  <c r="AI198" i="23"/>
  <c r="AX210" i="23"/>
  <c r="AW210" i="23"/>
  <c r="AC230" i="23"/>
  <c r="AB230" i="23"/>
  <c r="AB233" i="23"/>
  <c r="AC233" i="23"/>
  <c r="AX240" i="23"/>
  <c r="AW240" i="23"/>
  <c r="AX255" i="23"/>
  <c r="AW255" i="23"/>
  <c r="AC260" i="23"/>
  <c r="AB260" i="23"/>
  <c r="AP94" i="23"/>
  <c r="AQ94" i="23"/>
  <c r="AJ118" i="23"/>
  <c r="AK118" i="23" s="1"/>
  <c r="AC123" i="23"/>
  <c r="AD123" i="23" s="1"/>
  <c r="BM123" i="23"/>
  <c r="BN123" i="23" s="1"/>
  <c r="AJ124" i="23"/>
  <c r="AK124" i="23" s="1"/>
  <c r="AC128" i="23"/>
  <c r="BM150" i="23"/>
  <c r="BN150" i="23" s="1"/>
  <c r="AB153" i="23"/>
  <c r="AD153" i="23" s="1"/>
  <c r="AC158" i="23"/>
  <c r="AB158" i="23"/>
  <c r="AC172" i="23"/>
  <c r="AB172" i="23"/>
  <c r="AQ176" i="23"/>
  <c r="AP176" i="23"/>
  <c r="AQ180" i="23"/>
  <c r="AP180" i="23"/>
  <c r="AC203" i="23"/>
  <c r="AB203" i="23"/>
  <c r="AQ207" i="23"/>
  <c r="AP207" i="23"/>
  <c r="AQ209" i="23"/>
  <c r="AP209" i="23"/>
  <c r="AX227" i="23"/>
  <c r="AW227" i="23"/>
  <c r="BN251" i="23"/>
  <c r="AI252" i="23"/>
  <c r="AK252" i="23" s="1"/>
  <c r="AJ286" i="23"/>
  <c r="AI286" i="23"/>
  <c r="AY288" i="23"/>
  <c r="BD41" i="23"/>
  <c r="AB71" i="23"/>
  <c r="AC71" i="23"/>
  <c r="AY15" i="23"/>
  <c r="BD17" i="23"/>
  <c r="BF17" i="23" s="1"/>
  <c r="BG17" i="23" s="1"/>
  <c r="BD22" i="23"/>
  <c r="BF22" i="23" s="1"/>
  <c r="BG22" i="23" s="1"/>
  <c r="BD34" i="23"/>
  <c r="BF34" i="23" s="1"/>
  <c r="BG34" i="23" s="1"/>
  <c r="BD45" i="23"/>
  <c r="BF45" i="23" s="1"/>
  <c r="BG45" i="23" s="1"/>
  <c r="AK47" i="23"/>
  <c r="AJ88" i="23"/>
  <c r="AI88" i="23"/>
  <c r="AX89" i="23"/>
  <c r="AW89" i="23"/>
  <c r="BM11" i="23"/>
  <c r="BN11" i="23" s="1"/>
  <c r="AB12" i="23"/>
  <c r="AD12" i="23" s="1"/>
  <c r="BD12" i="23"/>
  <c r="BF12" i="23" s="1"/>
  <c r="BG12" i="23" s="1"/>
  <c r="BT13" i="23"/>
  <c r="BU13" i="23" s="1"/>
  <c r="AP16" i="23"/>
  <c r="AR16" i="23" s="1"/>
  <c r="AP19" i="23"/>
  <c r="AR19" i="23" s="1"/>
  <c r="AP21" i="23"/>
  <c r="AR21" i="23" s="1"/>
  <c r="CA21" i="23"/>
  <c r="CB21" i="23" s="1"/>
  <c r="AX23" i="23"/>
  <c r="CA23" i="23"/>
  <c r="CB23" i="23" s="1"/>
  <c r="CA24" i="23"/>
  <c r="CB24" i="23" s="1"/>
  <c r="CA33" i="23"/>
  <c r="CB33" i="23" s="1"/>
  <c r="AK35" i="23"/>
  <c r="AI37" i="23"/>
  <c r="AI41" i="23"/>
  <c r="AK41" i="23" s="1"/>
  <c r="CA64" i="23"/>
  <c r="CB64" i="23" s="1"/>
  <c r="BT65" i="23"/>
  <c r="BU65" i="23" s="1"/>
  <c r="BT69" i="23"/>
  <c r="BU69" i="23" s="1"/>
  <c r="BF90" i="23"/>
  <c r="BG90" i="23" s="1"/>
  <c r="AP93" i="23"/>
  <c r="AQ93" i="23"/>
  <c r="AI99" i="23"/>
  <c r="AI101" i="23"/>
  <c r="AK101" i="23" s="1"/>
  <c r="AI117" i="23"/>
  <c r="AK117" i="23" s="1"/>
  <c r="AJ117" i="23"/>
  <c r="BF125" i="23"/>
  <c r="BG125" i="23" s="1"/>
  <c r="BT129" i="23"/>
  <c r="BU129" i="23" s="1"/>
  <c r="AB145" i="23"/>
  <c r="AD145" i="23" s="1"/>
  <c r="AP147" i="23"/>
  <c r="AQ147" i="23"/>
  <c r="AB149" i="23"/>
  <c r="AC149" i="23"/>
  <c r="AB174" i="23"/>
  <c r="AD174" i="23" s="1"/>
  <c r="CA176" i="23"/>
  <c r="CB176" i="23" s="1"/>
  <c r="AP200" i="23"/>
  <c r="AR200" i="23" s="1"/>
  <c r="CB172" i="23"/>
  <c r="AY202" i="23"/>
  <c r="BM207" i="23"/>
  <c r="BN207" i="23" s="1"/>
  <c r="AQ235" i="23"/>
  <c r="AP235" i="23"/>
  <c r="AB237" i="23"/>
  <c r="AC237" i="23"/>
  <c r="AJ253" i="23"/>
  <c r="AI253" i="23"/>
  <c r="AR72" i="23"/>
  <c r="BT75" i="23"/>
  <c r="BU75" i="23" s="1"/>
  <c r="BF87" i="23"/>
  <c r="BG87" i="23" s="1"/>
  <c r="BT88" i="23"/>
  <c r="BU88" i="23" s="1"/>
  <c r="BT96" i="23"/>
  <c r="BU96" i="23" s="1"/>
  <c r="BM98" i="23"/>
  <c r="BN98" i="23" s="1"/>
  <c r="BM102" i="23"/>
  <c r="BN102" i="23" s="1"/>
  <c r="BT122" i="23"/>
  <c r="BU122" i="23" s="1"/>
  <c r="CA127" i="23"/>
  <c r="CB127" i="23" s="1"/>
  <c r="BM128" i="23"/>
  <c r="BN128" i="23" s="1"/>
  <c r="BF130" i="23"/>
  <c r="BG130" i="23" s="1"/>
  <c r="BM131" i="23"/>
  <c r="BN131" i="23" s="1"/>
  <c r="AC146" i="23"/>
  <c r="CA147" i="23"/>
  <c r="CB147" i="23" s="1"/>
  <c r="CA148" i="23"/>
  <c r="CB148" i="23" s="1"/>
  <c r="AI150" i="23"/>
  <c r="AK150" i="23" s="1"/>
  <c r="AX154" i="23"/>
  <c r="AY154" i="23" s="1"/>
  <c r="AP156" i="23"/>
  <c r="AR156" i="23" s="1"/>
  <c r="BM157" i="23"/>
  <c r="BN157" i="23" s="1"/>
  <c r="AP172" i="23"/>
  <c r="AR172" i="23" s="1"/>
  <c r="AX175" i="23"/>
  <c r="BT200" i="23"/>
  <c r="BU200" i="23" s="1"/>
  <c r="AQ201" i="23"/>
  <c r="AR201" i="23" s="1"/>
  <c r="CA203" i="23"/>
  <c r="CB203" i="23" s="1"/>
  <c r="AX205" i="23"/>
  <c r="AW205" i="23"/>
  <c r="AC207" i="23"/>
  <c r="AB207" i="23"/>
  <c r="AJ210" i="23"/>
  <c r="AI210" i="23"/>
  <c r="AR211" i="23"/>
  <c r="BT225" i="23"/>
  <c r="BU225" i="23" s="1"/>
  <c r="AR226" i="23"/>
  <c r="AQ230" i="23"/>
  <c r="AP230" i="23"/>
  <c r="CA230" i="23"/>
  <c r="CB230" i="23" s="1"/>
  <c r="AI233" i="23"/>
  <c r="AK233" i="23" s="1"/>
  <c r="BF236" i="23"/>
  <c r="BG236" i="23" s="1"/>
  <c r="CA238" i="23"/>
  <c r="CB238" i="23" s="1"/>
  <c r="BF254" i="23"/>
  <c r="BG254" i="23" s="1"/>
  <c r="AP256" i="23"/>
  <c r="AR256" i="23" s="1"/>
  <c r="AR263" i="23"/>
  <c r="AD265" i="23"/>
  <c r="AB280" i="23"/>
  <c r="AC280" i="23"/>
  <c r="AX285" i="23"/>
  <c r="AW285" i="23"/>
  <c r="AY292" i="23"/>
  <c r="AQ318" i="23"/>
  <c r="AP318" i="23"/>
  <c r="BM155" i="23"/>
  <c r="BN155" i="23" s="1"/>
  <c r="BT160" i="23"/>
  <c r="BU160" i="23" s="1"/>
  <c r="BM173" i="23"/>
  <c r="BN173" i="23" s="1"/>
  <c r="BF176" i="23"/>
  <c r="BG176" i="23" s="1"/>
  <c r="AQ178" i="23"/>
  <c r="AP178" i="23"/>
  <c r="AC206" i="23"/>
  <c r="AB206" i="23"/>
  <c r="BT232" i="23"/>
  <c r="BU232" i="23" s="1"/>
  <c r="AC254" i="23"/>
  <c r="AB254" i="23"/>
  <c r="BR253" i="23"/>
  <c r="BT253" i="23" s="1"/>
  <c r="BU253" i="23" s="1"/>
  <c r="BR257" i="23"/>
  <c r="BT257" i="23" s="1"/>
  <c r="BU257" i="23" s="1"/>
  <c r="BR252" i="23"/>
  <c r="BT252" i="23" s="1"/>
  <c r="BU252" i="23" s="1"/>
  <c r="BR255" i="23"/>
  <c r="BT255" i="23" s="1"/>
  <c r="BU255" i="23" s="1"/>
  <c r="AI279" i="23"/>
  <c r="AJ279" i="23"/>
  <c r="AX284" i="23"/>
  <c r="AW284" i="23"/>
  <c r="AJ26" i="12"/>
  <c r="AI26" i="12"/>
  <c r="AL26" i="12"/>
  <c r="AM26" i="12"/>
  <c r="AK26" i="12"/>
  <c r="AE26" i="12"/>
  <c r="AD26" i="12"/>
  <c r="AC26" i="12"/>
  <c r="AF26" i="12"/>
  <c r="AB26" i="12"/>
  <c r="AH26" i="12"/>
  <c r="AG26" i="12"/>
  <c r="AF36" i="12"/>
  <c r="AB36" i="12"/>
  <c r="AM36" i="12"/>
  <c r="AE36" i="12"/>
  <c r="AJ36" i="12"/>
  <c r="AL36" i="12"/>
  <c r="AD36" i="12"/>
  <c r="AK36" i="12"/>
  <c r="AC36" i="12"/>
  <c r="AI36" i="12"/>
  <c r="AH36" i="12"/>
  <c r="AG36" i="12"/>
  <c r="AR73" i="23"/>
  <c r="AC96" i="23"/>
  <c r="AD96" i="23" s="1"/>
  <c r="AQ102" i="23"/>
  <c r="AR102" i="23" s="1"/>
  <c r="AX118" i="23"/>
  <c r="AY118" i="23" s="1"/>
  <c r="AI122" i="23"/>
  <c r="AK122" i="23" s="1"/>
  <c r="AW123" i="23"/>
  <c r="AQ124" i="23"/>
  <c r="AR124" i="23" s="1"/>
  <c r="AI126" i="23"/>
  <c r="AJ128" i="23"/>
  <c r="AK128" i="23" s="1"/>
  <c r="CA131" i="23"/>
  <c r="CB131" i="23" s="1"/>
  <c r="AI148" i="23"/>
  <c r="AK148" i="23" s="1"/>
  <c r="AW150" i="23"/>
  <c r="AY150" i="23" s="1"/>
  <c r="BM153" i="23"/>
  <c r="BN153" i="23" s="1"/>
  <c r="BT158" i="23"/>
  <c r="BU158" i="23" s="1"/>
  <c r="AI159" i="23"/>
  <c r="AK159" i="23" s="1"/>
  <c r="AW177" i="23"/>
  <c r="AY177" i="23" s="1"/>
  <c r="AP184" i="23"/>
  <c r="AR184" i="23" s="1"/>
  <c r="BF198" i="23"/>
  <c r="BG198" i="23" s="1"/>
  <c r="AP199" i="23"/>
  <c r="AQ199" i="23"/>
  <c r="AC212" i="23"/>
  <c r="AB212" i="23"/>
  <c r="AJ231" i="23"/>
  <c r="AI231" i="23"/>
  <c r="AB235" i="23"/>
  <c r="AC235" i="23"/>
  <c r="AQ257" i="23"/>
  <c r="AP257" i="23"/>
  <c r="AQ260" i="23"/>
  <c r="AP260" i="23"/>
  <c r="AB261" i="23"/>
  <c r="AD261" i="23" s="1"/>
  <c r="AC266" i="23"/>
  <c r="AB266" i="23"/>
  <c r="CA264" i="23"/>
  <c r="CB264" i="23" s="1"/>
  <c r="CA266" i="23"/>
  <c r="CB266" i="23" s="1"/>
  <c r="CA262" i="23"/>
  <c r="CB262" i="23" s="1"/>
  <c r="CA255" i="23"/>
  <c r="CB255" i="23" s="1"/>
  <c r="CA254" i="23"/>
  <c r="CB254" i="23" s="1"/>
  <c r="CA260" i="23"/>
  <c r="CB260" i="23" s="1"/>
  <c r="CA259" i="23"/>
  <c r="CB259" i="23" s="1"/>
  <c r="CA257" i="23"/>
  <c r="CB257" i="23" s="1"/>
  <c r="AX289" i="23"/>
  <c r="AW289" i="23"/>
  <c r="BF307" i="23"/>
  <c r="BG307" i="23" s="1"/>
  <c r="BF293" i="23"/>
  <c r="BG293" i="23" s="1"/>
  <c r="BF290" i="23"/>
  <c r="BG290" i="23" s="1"/>
  <c r="BF289" i="23"/>
  <c r="BG289" i="23" s="1"/>
  <c r="BF286" i="23"/>
  <c r="BG286" i="23" s="1"/>
  <c r="BF283" i="23"/>
  <c r="BG283" i="23" s="1"/>
  <c r="BF285" i="23"/>
  <c r="BG285" i="23" s="1"/>
  <c r="BF280" i="23"/>
  <c r="BG280" i="23" s="1"/>
  <c r="BF292" i="23"/>
  <c r="BG292" i="23" s="1"/>
  <c r="BF291" i="23"/>
  <c r="BG291" i="23" s="1"/>
  <c r="CA70" i="23"/>
  <c r="CB70" i="23" s="1"/>
  <c r="CA72" i="23"/>
  <c r="CB72" i="23" s="1"/>
  <c r="AP87" i="23"/>
  <c r="AR87" i="23" s="1"/>
  <c r="AC88" i="23"/>
  <c r="AD88" i="23" s="1"/>
  <c r="AQ91" i="23"/>
  <c r="BF94" i="23"/>
  <c r="BG94" i="23" s="1"/>
  <c r="AX95" i="23"/>
  <c r="AY95" i="23" s="1"/>
  <c r="BF101" i="23"/>
  <c r="BG101" i="23" s="1"/>
  <c r="AW121" i="23"/>
  <c r="AY121" i="23" s="1"/>
  <c r="BM122" i="23"/>
  <c r="BN122" i="23" s="1"/>
  <c r="BT124" i="23"/>
  <c r="BU124" i="23" s="1"/>
  <c r="AW125" i="23"/>
  <c r="AY125" i="23" s="1"/>
  <c r="CA128" i="23"/>
  <c r="CB128" i="23" s="1"/>
  <c r="AC131" i="23"/>
  <c r="AD131" i="23" s="1"/>
  <c r="AJ145" i="23"/>
  <c r="AK145" i="23" s="1"/>
  <c r="AQ146" i="23"/>
  <c r="AR146" i="23" s="1"/>
  <c r="AJ147" i="23"/>
  <c r="AK147" i="23" s="1"/>
  <c r="AQ151" i="23"/>
  <c r="AR151" i="23" s="1"/>
  <c r="AX152" i="23"/>
  <c r="AY152" i="23" s="1"/>
  <c r="BF172" i="23"/>
  <c r="BG172" i="23" s="1"/>
  <c r="BT172" i="23"/>
  <c r="BU172" i="23" s="1"/>
  <c r="AQ173" i="23"/>
  <c r="BT175" i="23"/>
  <c r="BU175" i="23" s="1"/>
  <c r="AB177" i="23"/>
  <c r="AD177" i="23" s="1"/>
  <c r="AC201" i="23"/>
  <c r="AB201" i="23"/>
  <c r="AQ202" i="23"/>
  <c r="AP202" i="23"/>
  <c r="AD209" i="23"/>
  <c r="AD213" i="23"/>
  <c r="AQ227" i="23"/>
  <c r="AP227" i="23"/>
  <c r="AP236" i="23"/>
  <c r="AQ236" i="23"/>
  <c r="BR256" i="23"/>
  <c r="BT256" i="23" s="1"/>
  <c r="BU256" i="23" s="1"/>
  <c r="AD259" i="23"/>
  <c r="AW262" i="23"/>
  <c r="AX262" i="23"/>
  <c r="AY281" i="23"/>
  <c r="AK289" i="23"/>
  <c r="BM312" i="23"/>
  <c r="BN312" i="23" s="1"/>
  <c r="BM318" i="23"/>
  <c r="BN318" i="23" s="1"/>
  <c r="BM319" i="23"/>
  <c r="BN319" i="23" s="1"/>
  <c r="AL11" i="12"/>
  <c r="AM11" i="12"/>
  <c r="AF11" i="12"/>
  <c r="AE11" i="12"/>
  <c r="AJ11" i="12"/>
  <c r="AK11" i="12"/>
  <c r="AG11" i="12"/>
  <c r="AI11" i="12"/>
  <c r="AH11" i="12"/>
  <c r="AL43" i="12"/>
  <c r="AB43" i="12"/>
  <c r="AH43" i="12"/>
  <c r="AD43" i="12"/>
  <c r="AG43" i="12"/>
  <c r="AF43" i="12"/>
  <c r="AM43" i="12"/>
  <c r="AE43" i="12"/>
  <c r="AK43" i="12"/>
  <c r="AC43" i="12"/>
  <c r="AI43" i="12"/>
  <c r="AJ43" i="12"/>
  <c r="AJ30" i="12"/>
  <c r="AI30" i="12"/>
  <c r="AH30" i="12"/>
  <c r="AG30" i="12"/>
  <c r="AF30" i="12"/>
  <c r="AE30" i="12"/>
  <c r="AK30" i="12"/>
  <c r="AM30" i="12"/>
  <c r="AD30" i="12"/>
  <c r="AB30" i="12"/>
  <c r="AL30" i="12"/>
  <c r="AC30" i="12"/>
  <c r="AF88" i="12"/>
  <c r="AE88" i="12"/>
  <c r="AD88" i="12"/>
  <c r="AH88" i="12"/>
  <c r="AG88" i="12"/>
  <c r="AC88" i="12"/>
  <c r="AK88" i="12"/>
  <c r="AJ88" i="12"/>
  <c r="AI88" i="12"/>
  <c r="AB88" i="12"/>
  <c r="AM88" i="12"/>
  <c r="BM185" i="23"/>
  <c r="BN185" i="23" s="1"/>
  <c r="BM200" i="23"/>
  <c r="BN200" i="23" s="1"/>
  <c r="BT228" i="23"/>
  <c r="BU228" i="23" s="1"/>
  <c r="BT230" i="23"/>
  <c r="BU230" i="23" s="1"/>
  <c r="CA251" i="23"/>
  <c r="CB251" i="23" s="1"/>
  <c r="AW287" i="23"/>
  <c r="AY287" i="23" s="1"/>
  <c r="BM290" i="23"/>
  <c r="BN290" i="23" s="1"/>
  <c r="AI291" i="23"/>
  <c r="AK291" i="23" s="1"/>
  <c r="BM292" i="23"/>
  <c r="BN292" i="23" s="1"/>
  <c r="AI293" i="23"/>
  <c r="AW294" i="23"/>
  <c r="AY294" i="23" s="1"/>
  <c r="BM313" i="23"/>
  <c r="BN313" i="23" s="1"/>
  <c r="AJ27" i="12"/>
  <c r="AE27" i="12"/>
  <c r="AI27" i="12"/>
  <c r="AH27" i="12"/>
  <c r="AL27" i="12"/>
  <c r="AG27" i="12"/>
  <c r="AK27" i="12"/>
  <c r="AF27" i="12"/>
  <c r="AM27" i="12"/>
  <c r="AK31" i="12"/>
  <c r="AI31" i="12"/>
  <c r="AJ31" i="12"/>
  <c r="AM31" i="12"/>
  <c r="AH31" i="12"/>
  <c r="AF31" i="12"/>
  <c r="AL31" i="12"/>
  <c r="AE31" i="12"/>
  <c r="AG31" i="12"/>
  <c r="AK22" i="12"/>
  <c r="AC22" i="12"/>
  <c r="AG22" i="12"/>
  <c r="AJ22" i="12"/>
  <c r="AB22" i="12"/>
  <c r="AI22" i="12"/>
  <c r="AH22" i="12"/>
  <c r="AD22" i="12"/>
  <c r="AF22" i="12"/>
  <c r="AL22" i="12"/>
  <c r="AM22" i="12"/>
  <c r="AE22" i="12"/>
  <c r="AM10" i="12"/>
  <c r="AL10" i="12"/>
  <c r="BT186" i="23"/>
  <c r="BU186" i="23" s="1"/>
  <c r="AK202" i="23"/>
  <c r="AR203" i="23"/>
  <c r="AY204" i="23"/>
  <c r="AB208" i="23"/>
  <c r="AD208" i="23" s="1"/>
  <c r="BT209" i="23"/>
  <c r="BU209" i="23" s="1"/>
  <c r="CA228" i="23"/>
  <c r="CB228" i="23" s="1"/>
  <c r="BM233" i="23"/>
  <c r="BN233" i="23" s="1"/>
  <c r="AB234" i="23"/>
  <c r="AD234" i="23" s="1"/>
  <c r="AY253" i="23"/>
  <c r="AR262" i="23"/>
  <c r="AX279" i="23"/>
  <c r="AY279" i="23" s="1"/>
  <c r="BM280" i="23"/>
  <c r="BN280" i="23" s="1"/>
  <c r="AQ285" i="23"/>
  <c r="AR285" i="23" s="1"/>
  <c r="BM286" i="23"/>
  <c r="BN286" i="23" s="1"/>
  <c r="AC287" i="23"/>
  <c r="AD287" i="23" s="1"/>
  <c r="AL12" i="12"/>
  <c r="AM12" i="12"/>
  <c r="AE12" i="12"/>
  <c r="AD12" i="12"/>
  <c r="AI12" i="12"/>
  <c r="AF12" i="12"/>
  <c r="AK12" i="12"/>
  <c r="AC12" i="12"/>
  <c r="AJ12" i="12"/>
  <c r="AB12" i="12"/>
  <c r="AH12" i="12"/>
  <c r="AG12" i="12"/>
  <c r="AK37" i="12"/>
  <c r="AC37" i="12"/>
  <c r="AJ37" i="12"/>
  <c r="AB37" i="12"/>
  <c r="AI37" i="12"/>
  <c r="AG37" i="12"/>
  <c r="AH37" i="12"/>
  <c r="AD37" i="12"/>
  <c r="AF37" i="12"/>
  <c r="AM37" i="12"/>
  <c r="AE37" i="12"/>
  <c r="AL37" i="12"/>
  <c r="AC38" i="12"/>
  <c r="AL38" i="12"/>
  <c r="AK38" i="12"/>
  <c r="AJ38" i="12"/>
  <c r="AI38" i="12"/>
  <c r="AG38" i="12"/>
  <c r="AM38" i="12"/>
  <c r="AH38" i="12"/>
  <c r="AF38" i="12"/>
  <c r="AE38" i="12"/>
  <c r="AL32" i="12"/>
  <c r="AM32" i="12"/>
  <c r="AG32" i="12"/>
  <c r="AK32" i="12"/>
  <c r="AF32" i="12"/>
  <c r="AH32" i="12"/>
  <c r="AE32" i="12"/>
  <c r="AC32" i="12"/>
  <c r="AD32" i="12"/>
  <c r="AJ32" i="12"/>
  <c r="AB32" i="12"/>
  <c r="AI32" i="12"/>
  <c r="BM308" i="23"/>
  <c r="BN308" i="23" s="1"/>
  <c r="BM316" i="23"/>
  <c r="BN316" i="23" s="1"/>
  <c r="AK16" i="12"/>
  <c r="AL16" i="12"/>
  <c r="AM16" i="12"/>
  <c r="AI16" i="12"/>
  <c r="AJ16" i="12"/>
  <c r="AD16" i="12"/>
  <c r="AE16" i="12"/>
  <c r="AC16" i="12"/>
  <c r="AB16" i="12"/>
  <c r="AH16" i="12"/>
  <c r="AG16" i="12"/>
  <c r="AF16" i="12"/>
  <c r="AI29" i="12"/>
  <c r="AG29" i="12"/>
  <c r="AE29" i="12"/>
  <c r="AM29" i="12"/>
  <c r="AF29" i="12"/>
  <c r="AL29" i="12"/>
  <c r="AK29" i="12"/>
  <c r="AJ29" i="12"/>
  <c r="AH29" i="12"/>
  <c r="AG76" i="12"/>
  <c r="AF76" i="12"/>
  <c r="AM76" i="12"/>
  <c r="AE76" i="12"/>
  <c r="AI76" i="12"/>
  <c r="AH76" i="12"/>
  <c r="AK76" i="12"/>
  <c r="AB76" i="12"/>
  <c r="AJ76" i="12"/>
  <c r="AD76" i="12"/>
  <c r="AC76" i="12"/>
  <c r="AK74" i="12"/>
  <c r="AC74" i="12"/>
  <c r="AB74" i="12"/>
  <c r="AI74" i="12"/>
  <c r="AE74" i="12"/>
  <c r="AD74" i="12"/>
  <c r="AM74" i="12"/>
  <c r="AH74" i="12"/>
  <c r="AG74" i="12"/>
  <c r="AF74" i="12"/>
  <c r="BT178" i="23"/>
  <c r="BU178" i="23" s="1"/>
  <c r="BT180" i="23"/>
  <c r="BU180" i="23" s="1"/>
  <c r="CA210" i="23"/>
  <c r="CB210" i="23" s="1"/>
  <c r="BF225" i="23"/>
  <c r="BG225" i="23" s="1"/>
  <c r="BM240" i="23"/>
  <c r="BN240" i="23" s="1"/>
  <c r="AD283" i="23"/>
  <c r="AC285" i="23"/>
  <c r="AD285" i="23" s="1"/>
  <c r="AW286" i="23"/>
  <c r="AY286" i="23" s="1"/>
  <c r="AI287" i="23"/>
  <c r="AK287" i="23" s="1"/>
  <c r="AI288" i="23"/>
  <c r="AK288" i="23" s="1"/>
  <c r="AW290" i="23"/>
  <c r="AY290" i="23" s="1"/>
  <c r="AQ291" i="23"/>
  <c r="AR291" i="23" s="1"/>
  <c r="AI292" i="23"/>
  <c r="AK292" i="23" s="1"/>
  <c r="AW293" i="23"/>
  <c r="AY293" i="23" s="1"/>
  <c r="AI294" i="23"/>
  <c r="AK294" i="23" s="1"/>
  <c r="BM317" i="23"/>
  <c r="BN317" i="23" s="1"/>
  <c r="AG18" i="12"/>
  <c r="AF18" i="12"/>
  <c r="AK18" i="12"/>
  <c r="AM18" i="12"/>
  <c r="AE18" i="12"/>
  <c r="AC18" i="12"/>
  <c r="AL18" i="12"/>
  <c r="AD18" i="12"/>
  <c r="AJ18" i="12"/>
  <c r="AB18" i="12"/>
  <c r="AI18" i="12"/>
  <c r="AH18" i="12"/>
  <c r="AK24" i="12"/>
  <c r="AC24" i="12"/>
  <c r="AJ24" i="12"/>
  <c r="AB24" i="12"/>
  <c r="AG24" i="12"/>
  <c r="AI24" i="12"/>
  <c r="AD24" i="12"/>
  <c r="AH24" i="12"/>
  <c r="AL24" i="12"/>
  <c r="AF24" i="12"/>
  <c r="AM24" i="12"/>
  <c r="AE24" i="12"/>
  <c r="AD38" i="12"/>
  <c r="AJ83" i="12"/>
  <c r="AB83" i="12"/>
  <c r="AI83" i="12"/>
  <c r="AH83" i="12"/>
  <c r="AD83" i="12"/>
  <c r="AC83" i="12"/>
  <c r="AK83" i="12"/>
  <c r="AM83" i="12"/>
  <c r="AG83" i="12"/>
  <c r="AF83" i="12"/>
  <c r="AE83" i="12"/>
  <c r="AD82" i="12"/>
  <c r="AK82" i="12"/>
  <c r="AC82" i="12"/>
  <c r="AJ82" i="12"/>
  <c r="AB82" i="12"/>
  <c r="AF82" i="12"/>
  <c r="AM82" i="12"/>
  <c r="AE82" i="12"/>
  <c r="AG82" i="12"/>
  <c r="AI82" i="12"/>
  <c r="AH82" i="12"/>
  <c r="CA183" i="23"/>
  <c r="CB183" i="23" s="1"/>
  <c r="AX184" i="23"/>
  <c r="AQ198" i="23"/>
  <c r="AR198" i="23" s="1"/>
  <c r="AX200" i="23"/>
  <c r="AY200" i="23" s="1"/>
  <c r="AW201" i="23"/>
  <c r="AY201" i="23" s="1"/>
  <c r="CA211" i="23"/>
  <c r="CB211" i="23" s="1"/>
  <c r="CA213" i="23"/>
  <c r="CB213" i="23" s="1"/>
  <c r="AD228" i="23"/>
  <c r="AW232" i="23"/>
  <c r="AY232" i="23" s="1"/>
  <c r="CA232" i="23"/>
  <c r="CB232" i="23" s="1"/>
  <c r="AP233" i="23"/>
  <c r="AR233" i="23" s="1"/>
  <c r="BU251" i="23"/>
  <c r="AJ259" i="23"/>
  <c r="AK259" i="23" s="1"/>
  <c r="BF261" i="23"/>
  <c r="BG261" i="23" s="1"/>
  <c r="AX264" i="23"/>
  <c r="AY264" i="23" s="1"/>
  <c r="BT283" i="23"/>
  <c r="BU283" i="23" s="1"/>
  <c r="BM284" i="23"/>
  <c r="BN284" i="23" s="1"/>
  <c r="BM310" i="23"/>
  <c r="BN310" i="23" s="1"/>
  <c r="AK17" i="12"/>
  <c r="AC17" i="12"/>
  <c r="AJ17" i="12"/>
  <c r="AB17" i="12"/>
  <c r="AL17" i="12"/>
  <c r="AI17" i="12"/>
  <c r="AH17" i="12"/>
  <c r="AG17" i="12"/>
  <c r="AD17" i="12"/>
  <c r="AF17" i="12"/>
  <c r="AM17" i="12"/>
  <c r="AE17" i="12"/>
  <c r="AG23" i="12"/>
  <c r="AF23" i="12"/>
  <c r="AM23" i="12"/>
  <c r="AE23" i="12"/>
  <c r="AK23" i="12"/>
  <c r="AL23" i="12"/>
  <c r="AD23" i="12"/>
  <c r="AC23" i="12"/>
  <c r="AH23" i="12"/>
  <c r="AJ23" i="12"/>
  <c r="AB23" i="12"/>
  <c r="AI23" i="12"/>
  <c r="AB38" i="12"/>
  <c r="AJ79" i="12"/>
  <c r="AI79" i="12"/>
  <c r="AH79" i="12"/>
  <c r="AG79" i="12"/>
  <c r="AC79" i="12"/>
  <c r="AB79" i="12"/>
  <c r="AK79" i="12"/>
  <c r="AM79" i="12"/>
  <c r="AF79" i="12"/>
  <c r="AD79" i="12"/>
  <c r="AE79" i="12"/>
  <c r="AI75" i="12"/>
  <c r="AM75" i="12"/>
  <c r="AH75" i="12"/>
  <c r="AG75" i="12"/>
  <c r="AK75" i="12"/>
  <c r="AC75" i="12"/>
  <c r="AJ75" i="12"/>
  <c r="AB75" i="12"/>
  <c r="AF75" i="12"/>
  <c r="AE75" i="12"/>
  <c r="AD75" i="12"/>
  <c r="AX178" i="23"/>
  <c r="AX180" i="23"/>
  <c r="AY180" i="23" s="1"/>
  <c r="BF201" i="23"/>
  <c r="BG201" i="23" s="1"/>
  <c r="CA201" i="23"/>
  <c r="CB201" i="23" s="1"/>
  <c r="AK203" i="23"/>
  <c r="AR204" i="23"/>
  <c r="AD211" i="23"/>
  <c r="BF232" i="23"/>
  <c r="BG232" i="23" s="1"/>
  <c r="AR258" i="23"/>
  <c r="BM281" i="23"/>
  <c r="BN281" i="23" s="1"/>
  <c r="AK282" i="23"/>
  <c r="BM282" i="23"/>
  <c r="BN282" i="23" s="1"/>
  <c r="AK285" i="23"/>
  <c r="BM288" i="23"/>
  <c r="BN288" i="23" s="1"/>
  <c r="AY291" i="23"/>
  <c r="BM294" i="23"/>
  <c r="BN294" i="23" s="1"/>
  <c r="BM311" i="23"/>
  <c r="BN311" i="23" s="1"/>
  <c r="AK28" i="12"/>
  <c r="AI28" i="12"/>
  <c r="AM28" i="12"/>
  <c r="AH28" i="12"/>
  <c r="AE28" i="12"/>
  <c r="AL28" i="12"/>
  <c r="AJ28" i="12"/>
  <c r="AG28" i="12"/>
  <c r="AF28" i="12"/>
  <c r="AI34" i="12"/>
  <c r="AF34" i="12"/>
  <c r="AE34" i="12"/>
  <c r="AK34" i="12"/>
  <c r="AM34" i="12"/>
  <c r="AD34" i="12"/>
  <c r="AB34" i="12"/>
  <c r="AG34" i="12"/>
  <c r="AL34" i="12"/>
  <c r="AC34" i="12"/>
  <c r="AJ34" i="12"/>
  <c r="AH34" i="12"/>
  <c r="AL42" i="12"/>
  <c r="AF42" i="12"/>
  <c r="AM42" i="12"/>
  <c r="AE42" i="12"/>
  <c r="AI42" i="12"/>
  <c r="AG42" i="12"/>
  <c r="AK42" i="12"/>
  <c r="AH42" i="12"/>
  <c r="AJ42" i="12"/>
  <c r="AI71" i="12"/>
  <c r="AH71" i="12"/>
  <c r="AE71" i="12"/>
  <c r="AK71" i="12"/>
  <c r="AC71" i="12"/>
  <c r="AJ71" i="12"/>
  <c r="AB71" i="12"/>
  <c r="AF71" i="12"/>
  <c r="AM71" i="12"/>
  <c r="AG71" i="12"/>
  <c r="AD71" i="12"/>
  <c r="AM33" i="12"/>
  <c r="AE33" i="12"/>
  <c r="AL33" i="12"/>
  <c r="AD33" i="12"/>
  <c r="AI33" i="12"/>
  <c r="AK33" i="12"/>
  <c r="AC33" i="12"/>
  <c r="AJ33" i="12"/>
  <c r="AB33" i="12"/>
  <c r="AH33" i="12"/>
  <c r="AG33" i="12"/>
  <c r="AF33" i="12"/>
  <c r="BM309" i="23"/>
  <c r="BN309" i="23" s="1"/>
  <c r="BM322" i="23"/>
  <c r="BN322" i="23" s="1"/>
  <c r="BM315" i="23"/>
  <c r="BN315" i="23" s="1"/>
  <c r="AC307" i="23"/>
  <c r="AD307" i="23" s="1"/>
  <c r="AC316" i="23"/>
  <c r="AX315" i="23"/>
  <c r="AY315" i="23" s="1"/>
  <c r="AQ322" i="23"/>
  <c r="AR322" i="23" s="1"/>
  <c r="AB322" i="23"/>
  <c r="AD322" i="23" s="1"/>
  <c r="AB321" i="23"/>
  <c r="AD321" i="23" s="1"/>
  <c r="AP320" i="23"/>
  <c r="AR320" i="23" s="1"/>
  <c r="AB320" i="23"/>
  <c r="AD320" i="23" s="1"/>
  <c r="AP319" i="23"/>
  <c r="AR319" i="23" s="1"/>
  <c r="AB319" i="23"/>
  <c r="AD319" i="23" s="1"/>
  <c r="AC318" i="23"/>
  <c r="AD318" i="23" s="1"/>
  <c r="AW307" i="23"/>
  <c r="AY307" i="23" s="1"/>
  <c r="AX319" i="23"/>
  <c r="AY319" i="23" s="1"/>
  <c r="AX321" i="23"/>
  <c r="AY321" i="23" s="1"/>
  <c r="AX318" i="23"/>
  <c r="AY318" i="23" s="1"/>
  <c r="AX322" i="23"/>
  <c r="AY322" i="23" s="1"/>
  <c r="AQ312" i="23"/>
  <c r="AR312" i="23" s="1"/>
  <c r="AP321" i="23"/>
  <c r="AR321" i="23" s="1"/>
  <c r="AI307" i="23"/>
  <c r="AK307" i="23" s="1"/>
  <c r="AX317" i="23"/>
  <c r="AY317" i="23" s="1"/>
  <c r="AP317" i="23"/>
  <c r="AR317" i="23" s="1"/>
  <c r="AB317" i="23"/>
  <c r="AD317" i="23" s="1"/>
  <c r="AX316" i="23"/>
  <c r="AY316" i="23" s="1"/>
  <c r="AP316" i="23"/>
  <c r="AR316" i="23" s="1"/>
  <c r="AD316" i="23"/>
  <c r="AP315" i="23"/>
  <c r="AR315" i="23" s="1"/>
  <c r="AB315" i="23"/>
  <c r="AD315" i="23" s="1"/>
  <c r="AP314" i="23"/>
  <c r="AR314" i="23" s="1"/>
  <c r="AB314" i="23"/>
  <c r="AD314" i="23" s="1"/>
  <c r="AX313" i="23"/>
  <c r="AY313" i="23" s="1"/>
  <c r="AP313" i="23"/>
  <c r="AR313" i="23" s="1"/>
  <c r="AB313" i="23"/>
  <c r="AD313" i="23" s="1"/>
  <c r="AX312" i="23"/>
  <c r="AY312" i="23" s="1"/>
  <c r="AB312" i="23"/>
  <c r="AD312" i="23" s="1"/>
  <c r="AX311" i="23"/>
  <c r="AY311" i="23" s="1"/>
  <c r="AP311" i="23"/>
  <c r="AR311" i="23" s="1"/>
  <c r="AB311" i="23"/>
  <c r="AD311" i="23" s="1"/>
  <c r="AP310" i="23"/>
  <c r="AR310" i="23" s="1"/>
  <c r="AJ310" i="23"/>
  <c r="AK310" i="23" s="1"/>
  <c r="AB310" i="23"/>
  <c r="AD310" i="23" s="1"/>
  <c r="AX309" i="23"/>
  <c r="AY309" i="23" s="1"/>
  <c r="AQ309" i="23"/>
  <c r="AR309" i="23" s="1"/>
  <c r="AB309" i="23"/>
  <c r="AD309" i="23" s="1"/>
  <c r="AP308" i="23"/>
  <c r="AR308" i="23" s="1"/>
  <c r="AJ308" i="23"/>
  <c r="AK308" i="23" s="1"/>
  <c r="AB308" i="23"/>
  <c r="AD308" i="23" s="1"/>
  <c r="AH10" i="12"/>
  <c r="AD10" i="12"/>
  <c r="AC10" i="12"/>
  <c r="AJ10" i="12"/>
  <c r="AB10" i="12"/>
  <c r="AI10" i="12"/>
  <c r="AG10" i="12"/>
  <c r="AF10" i="12"/>
  <c r="AE10" i="12"/>
  <c r="AK10" i="12"/>
  <c r="AB31" i="12"/>
  <c r="AD31" i="12"/>
  <c r="AC31" i="12"/>
  <c r="AC42" i="12"/>
  <c r="AD42" i="12"/>
  <c r="AB42" i="12"/>
  <c r="AB27" i="12"/>
  <c r="AD27" i="12"/>
  <c r="AC27" i="12"/>
  <c r="AD29" i="12"/>
  <c r="AC29" i="12"/>
  <c r="AB29" i="12"/>
  <c r="AB11" i="12"/>
  <c r="AD11" i="12"/>
  <c r="AC11" i="12"/>
  <c r="AD28" i="12"/>
  <c r="AC28" i="12"/>
  <c r="AB28" i="12"/>
  <c r="AC9" i="23"/>
  <c r="AD9" i="23" s="1"/>
  <c r="AW9" i="23"/>
  <c r="AY9" i="23" s="1"/>
  <c r="AJ10" i="23"/>
  <c r="AK10" i="23" s="1"/>
  <c r="AJ11" i="23"/>
  <c r="AK11" i="23" s="1"/>
  <c r="AJ12" i="23"/>
  <c r="AK12" i="23" s="1"/>
  <c r="AJ13" i="23"/>
  <c r="AK13" i="23" s="1"/>
  <c r="AJ14" i="23"/>
  <c r="AK14" i="23" s="1"/>
  <c r="AJ15" i="23"/>
  <c r="AK15" i="23" s="1"/>
  <c r="AJ16" i="23"/>
  <c r="AK16" i="23" s="1"/>
  <c r="AJ17" i="23"/>
  <c r="AK17" i="23" s="1"/>
  <c r="AJ18" i="23"/>
  <c r="AK18" i="23" s="1"/>
  <c r="AB21" i="23"/>
  <c r="AD21" i="23" s="1"/>
  <c r="AX21" i="23"/>
  <c r="AY21" i="23" s="1"/>
  <c r="BD33" i="23"/>
  <c r="BF33" i="23" s="1"/>
  <c r="BG33" i="23" s="1"/>
  <c r="AB34" i="23"/>
  <c r="AD34" i="23" s="1"/>
  <c r="AX34" i="23"/>
  <c r="BK36" i="23"/>
  <c r="BM36" i="23" s="1"/>
  <c r="BN36" i="23" s="1"/>
  <c r="AB38" i="23"/>
  <c r="AD38" i="23" s="1"/>
  <c r="AX38" i="23"/>
  <c r="AY38" i="23" s="1"/>
  <c r="AB42" i="23"/>
  <c r="AD42" i="23" s="1"/>
  <c r="AX42" i="23"/>
  <c r="AY42" i="23" s="1"/>
  <c r="BD47" i="23"/>
  <c r="BF47" i="23" s="1"/>
  <c r="BG47" i="23" s="1"/>
  <c r="AX60" i="23"/>
  <c r="AW60" i="23"/>
  <c r="AD62" i="23"/>
  <c r="AJ63" i="23"/>
  <c r="AI63" i="23"/>
  <c r="AR66" i="23"/>
  <c r="AB67" i="23"/>
  <c r="AC67" i="23"/>
  <c r="AP68" i="23"/>
  <c r="AQ68" i="23"/>
  <c r="AY69" i="23"/>
  <c r="AY74" i="23"/>
  <c r="AK75" i="23"/>
  <c r="AW88" i="23"/>
  <c r="AX88" i="23"/>
  <c r="AB91" i="23"/>
  <c r="AC91" i="23"/>
  <c r="AI93" i="23"/>
  <c r="AK93" i="23" s="1"/>
  <c r="AI98" i="23"/>
  <c r="AJ98" i="23"/>
  <c r="AD101" i="23"/>
  <c r="AW116" i="23"/>
  <c r="AX116" i="23"/>
  <c r="AI120" i="23"/>
  <c r="AJ120" i="23"/>
  <c r="AY123" i="23"/>
  <c r="AY20" i="23"/>
  <c r="AY24" i="23"/>
  <c r="AY37" i="23"/>
  <c r="BF38" i="23"/>
  <c r="BG38" i="23" s="1"/>
  <c r="AY41" i="23"/>
  <c r="BF42" i="23"/>
  <c r="BG42" i="23" s="1"/>
  <c r="BT45" i="23"/>
  <c r="BU45" i="23" s="1"/>
  <c r="AX61" i="23"/>
  <c r="AW61" i="23"/>
  <c r="AX64" i="23"/>
  <c r="AW64" i="23"/>
  <c r="AJ65" i="23"/>
  <c r="AI65" i="23"/>
  <c r="AW87" i="23"/>
  <c r="AX87" i="23"/>
  <c r="AP100" i="23"/>
  <c r="AQ100" i="23"/>
  <c r="AP119" i="23"/>
  <c r="AQ119" i="23"/>
  <c r="AC182" i="23"/>
  <c r="AB182" i="23"/>
  <c r="AK21" i="23"/>
  <c r="AK34" i="23"/>
  <c r="AK38" i="23"/>
  <c r="AK42" i="23"/>
  <c r="AJ62" i="23"/>
  <c r="AI62" i="23"/>
  <c r="AX66" i="23"/>
  <c r="AW66" i="23"/>
  <c r="AP70" i="23"/>
  <c r="AQ70" i="23"/>
  <c r="AB89" i="23"/>
  <c r="AC89" i="23"/>
  <c r="AP92" i="23"/>
  <c r="AQ92" i="23"/>
  <c r="AI125" i="23"/>
  <c r="AJ125" i="23"/>
  <c r="AC152" i="23"/>
  <c r="AB152" i="23"/>
  <c r="AD152" i="23" s="1"/>
  <c r="AY19" i="23"/>
  <c r="BD20" i="23"/>
  <c r="BF20" i="23" s="1"/>
  <c r="BG20" i="23" s="1"/>
  <c r="AP22" i="23"/>
  <c r="AR22" i="23" s="1"/>
  <c r="AY23" i="23"/>
  <c r="AP35" i="23"/>
  <c r="AR35" i="23" s="1"/>
  <c r="AY36" i="23"/>
  <c r="BF37" i="23"/>
  <c r="BG37" i="23" s="1"/>
  <c r="AP39" i="23"/>
  <c r="AR39" i="23" s="1"/>
  <c r="AY40" i="23"/>
  <c r="BF41" i="23"/>
  <c r="BG41" i="23" s="1"/>
  <c r="AP43" i="23"/>
  <c r="AR43" i="23" s="1"/>
  <c r="AY44" i="23"/>
  <c r="AP47" i="23"/>
  <c r="AR47" i="23" s="1"/>
  <c r="BF46" i="23"/>
  <c r="BG46" i="23" s="1"/>
  <c r="AI60" i="23"/>
  <c r="AK60" i="23" s="1"/>
  <c r="AR63" i="23"/>
  <c r="AX73" i="23"/>
  <c r="AW73" i="23"/>
  <c r="AK74" i="23"/>
  <c r="AQ75" i="23"/>
  <c r="AR75" i="23" s="1"/>
  <c r="AJ89" i="23"/>
  <c r="AI89" i="23"/>
  <c r="AK89" i="23" s="1"/>
  <c r="AI94" i="23"/>
  <c r="AJ94" i="23"/>
  <c r="AB97" i="23"/>
  <c r="AC97" i="23"/>
  <c r="AX98" i="23"/>
  <c r="AW98" i="23"/>
  <c r="AW102" i="23"/>
  <c r="AY102" i="23" s="1"/>
  <c r="AC116" i="23"/>
  <c r="AB116" i="23"/>
  <c r="AK20" i="23"/>
  <c r="AD33" i="23"/>
  <c r="AK37" i="23"/>
  <c r="BK47" i="23"/>
  <c r="BM47" i="23" s="1"/>
  <c r="BN47" i="23" s="1"/>
  <c r="BK46" i="23"/>
  <c r="BM46" i="23" s="1"/>
  <c r="BN46" i="23" s="1"/>
  <c r="BK45" i="23"/>
  <c r="BM45" i="23" s="1"/>
  <c r="BN45" i="23" s="1"/>
  <c r="BK44" i="23"/>
  <c r="BM44" i="23" s="1"/>
  <c r="BN44" i="23" s="1"/>
  <c r="BK33" i="23"/>
  <c r="BM33" i="23" s="1"/>
  <c r="BN33" i="23" s="1"/>
  <c r="AJ61" i="23"/>
  <c r="AI61" i="23"/>
  <c r="AB66" i="23"/>
  <c r="AC66" i="23"/>
  <c r="AB73" i="23"/>
  <c r="AC73" i="23"/>
  <c r="AW75" i="23"/>
  <c r="AX75" i="23"/>
  <c r="AB87" i="23"/>
  <c r="AC87" i="23"/>
  <c r="AI116" i="23"/>
  <c r="AJ116" i="23"/>
  <c r="AP117" i="23"/>
  <c r="AQ117" i="23"/>
  <c r="AB124" i="23"/>
  <c r="AC124" i="23"/>
  <c r="AJ127" i="23"/>
  <c r="AI127" i="23"/>
  <c r="AP38" i="23"/>
  <c r="AR38" i="23" s="1"/>
  <c r="AY39" i="23"/>
  <c r="BF40" i="23"/>
  <c r="BG40" i="23" s="1"/>
  <c r="AP42" i="23"/>
  <c r="AR42" i="23" s="1"/>
  <c r="AY43" i="23"/>
  <c r="BF44" i="23"/>
  <c r="BG44" i="23" s="1"/>
  <c r="AP46" i="23"/>
  <c r="AR46" i="23" s="1"/>
  <c r="AB47" i="23"/>
  <c r="AD47" i="23" s="1"/>
  <c r="BT47" i="23"/>
  <c r="BU47" i="23" s="1"/>
  <c r="AR62" i="23"/>
  <c r="AX63" i="23"/>
  <c r="AW63" i="23"/>
  <c r="AY63" i="23" s="1"/>
  <c r="AJ64" i="23"/>
  <c r="AI64" i="23"/>
  <c r="AD68" i="23"/>
  <c r="AB70" i="23"/>
  <c r="AC70" i="23"/>
  <c r="AK96" i="23"/>
  <c r="AX117" i="23"/>
  <c r="AW117" i="23"/>
  <c r="AY117" i="23" s="1"/>
  <c r="AK126" i="23"/>
  <c r="AI129" i="23"/>
  <c r="AJ129" i="23"/>
  <c r="AB147" i="23"/>
  <c r="AC147" i="23"/>
  <c r="AC175" i="23"/>
  <c r="AB175" i="23"/>
  <c r="AI19" i="23"/>
  <c r="AK19" i="23" s="1"/>
  <c r="AB22" i="23"/>
  <c r="AD22" i="23" s="1"/>
  <c r="AX22" i="23"/>
  <c r="AY22" i="23" s="1"/>
  <c r="AI23" i="23"/>
  <c r="AK23" i="23" s="1"/>
  <c r="AB35" i="23"/>
  <c r="AD35" i="23" s="1"/>
  <c r="AX35" i="23"/>
  <c r="AY35" i="23" s="1"/>
  <c r="AI36" i="23"/>
  <c r="AK36" i="23" s="1"/>
  <c r="AX72" i="23"/>
  <c r="AW72" i="23"/>
  <c r="AB93" i="23"/>
  <c r="AC93" i="23"/>
  <c r="AP96" i="23"/>
  <c r="AQ96" i="23"/>
  <c r="AB102" i="23"/>
  <c r="AC102" i="23"/>
  <c r="AP129" i="23"/>
  <c r="AQ129" i="23"/>
  <c r="AJ153" i="23"/>
  <c r="AI153" i="23"/>
  <c r="AW157" i="23"/>
  <c r="AX157" i="23"/>
  <c r="AP20" i="23"/>
  <c r="AR20" i="23" s="1"/>
  <c r="AP24" i="23"/>
  <c r="AR24" i="23" s="1"/>
  <c r="AI33" i="23"/>
  <c r="AK33" i="23" s="1"/>
  <c r="AY34" i="23"/>
  <c r="AP37" i="23"/>
  <c r="AR37" i="23" s="1"/>
  <c r="AP41" i="23"/>
  <c r="AR41" i="23" s="1"/>
  <c r="AP45" i="23"/>
  <c r="AR45" i="23" s="1"/>
  <c r="AB46" i="23"/>
  <c r="AD46" i="23" s="1"/>
  <c r="AJ66" i="23"/>
  <c r="AK66" i="23" s="1"/>
  <c r="AJ68" i="23"/>
  <c r="AI68" i="23"/>
  <c r="AP71" i="23"/>
  <c r="AQ71" i="23"/>
  <c r="AP88" i="23"/>
  <c r="AQ88" i="23"/>
  <c r="AX94" i="23"/>
  <c r="AW94" i="23"/>
  <c r="AW99" i="23"/>
  <c r="AX99" i="23"/>
  <c r="AB120" i="23"/>
  <c r="AC120" i="23"/>
  <c r="AX199" i="23"/>
  <c r="AW199" i="23"/>
  <c r="BT18" i="23"/>
  <c r="BU18" i="23" s="1"/>
  <c r="BT19" i="23"/>
  <c r="BU19" i="23" s="1"/>
  <c r="BT20" i="23"/>
  <c r="BU20" i="23" s="1"/>
  <c r="BT21" i="23"/>
  <c r="BU21" i="23" s="1"/>
  <c r="BT22" i="23"/>
  <c r="BU22" i="23" s="1"/>
  <c r="BT23" i="23"/>
  <c r="BU23" i="23" s="1"/>
  <c r="BT24" i="23"/>
  <c r="BU24" i="23" s="1"/>
  <c r="BT34" i="23"/>
  <c r="BU34" i="23" s="1"/>
  <c r="BT35" i="23"/>
  <c r="BU35" i="23" s="1"/>
  <c r="BT36" i="23"/>
  <c r="BU36" i="23" s="1"/>
  <c r="BT37" i="23"/>
  <c r="BU37" i="23" s="1"/>
  <c r="BT38" i="23"/>
  <c r="BU38" i="23" s="1"/>
  <c r="BT39" i="23"/>
  <c r="BU39" i="23" s="1"/>
  <c r="BT40" i="23"/>
  <c r="BU40" i="23" s="1"/>
  <c r="BT41" i="23"/>
  <c r="BU41" i="23" s="1"/>
  <c r="BT42" i="23"/>
  <c r="BU42" i="23" s="1"/>
  <c r="BT43" i="23"/>
  <c r="BU43" i="23" s="1"/>
  <c r="AK46" i="23"/>
  <c r="AR61" i="23"/>
  <c r="AX62" i="23"/>
  <c r="AW62" i="23"/>
  <c r="AY68" i="23"/>
  <c r="AB75" i="23"/>
  <c r="AC75" i="23"/>
  <c r="AX90" i="23"/>
  <c r="AW90" i="23"/>
  <c r="AY92" i="23"/>
  <c r="AI102" i="23"/>
  <c r="AJ102" i="23"/>
  <c r="AP118" i="23"/>
  <c r="AQ118" i="23"/>
  <c r="AP121" i="23"/>
  <c r="AQ121" i="23"/>
  <c r="AP125" i="23"/>
  <c r="AQ125" i="23"/>
  <c r="AP148" i="23"/>
  <c r="AQ148" i="23"/>
  <c r="AP294" i="23"/>
  <c r="AQ294" i="23"/>
  <c r="AB74" i="23"/>
  <c r="AC74" i="23"/>
  <c r="AR90" i="23"/>
  <c r="BM90" i="23"/>
  <c r="BN90" i="23" s="1"/>
  <c r="AY93" i="23"/>
  <c r="AB94" i="23"/>
  <c r="AC94" i="23"/>
  <c r="CA98" i="23"/>
  <c r="CB98" i="23" s="1"/>
  <c r="AR99" i="23"/>
  <c r="CA117" i="23"/>
  <c r="CB117" i="23" s="1"/>
  <c r="CA120" i="23"/>
  <c r="CB120" i="23" s="1"/>
  <c r="AB125" i="23"/>
  <c r="AC125" i="23"/>
  <c r="AY127" i="23"/>
  <c r="AB129" i="23"/>
  <c r="AC129" i="23"/>
  <c r="CA153" i="23"/>
  <c r="CB153" i="23" s="1"/>
  <c r="AJ155" i="23"/>
  <c r="AI155" i="23"/>
  <c r="BT156" i="23"/>
  <c r="BU156" i="23" s="1"/>
  <c r="AR159" i="23"/>
  <c r="AR173" i="23"/>
  <c r="AJ179" i="23"/>
  <c r="AI179" i="23"/>
  <c r="AC205" i="23"/>
  <c r="AB205" i="23"/>
  <c r="CA205" i="23"/>
  <c r="CB205" i="23" s="1"/>
  <c r="AP149" i="23"/>
  <c r="AQ149" i="23"/>
  <c r="AY176" i="23"/>
  <c r="AK177" i="23"/>
  <c r="AP179" i="23"/>
  <c r="AQ179" i="23"/>
  <c r="AK205" i="23"/>
  <c r="AC225" i="23"/>
  <c r="AB225" i="23"/>
  <c r="CB145" i="23"/>
  <c r="AB148" i="23"/>
  <c r="AC148" i="23"/>
  <c r="AX148" i="23"/>
  <c r="AY148" i="23" s="1"/>
  <c r="AC150" i="23"/>
  <c r="AD150" i="23" s="1"/>
  <c r="AB151" i="23"/>
  <c r="AC151" i="23"/>
  <c r="AW151" i="23"/>
  <c r="AY151" i="23" s="1"/>
  <c r="AJ152" i="23"/>
  <c r="AK152" i="23" s="1"/>
  <c r="AP155" i="23"/>
  <c r="AR155" i="23" s="1"/>
  <c r="AI157" i="23"/>
  <c r="AK157" i="23" s="1"/>
  <c r="AW160" i="23"/>
  <c r="AY160" i="23" s="1"/>
  <c r="AI175" i="23"/>
  <c r="AK175" i="23" s="1"/>
  <c r="AX179" i="23"/>
  <c r="AW179" i="23"/>
  <c r="AJ181" i="23"/>
  <c r="AI181" i="23"/>
  <c r="AJ225" i="23"/>
  <c r="AI225" i="23"/>
  <c r="AB227" i="23"/>
  <c r="AC227" i="23"/>
  <c r="AB90" i="23"/>
  <c r="AC90" i="23"/>
  <c r="CA94" i="23"/>
  <c r="CB94" i="23" s="1"/>
  <c r="AB99" i="23"/>
  <c r="AC99" i="23"/>
  <c r="CA116" i="23"/>
  <c r="CB116" i="23" s="1"/>
  <c r="AB121" i="23"/>
  <c r="AC121" i="23"/>
  <c r="AP126" i="23"/>
  <c r="AQ126" i="23"/>
  <c r="AP130" i="23"/>
  <c r="AQ130" i="23"/>
  <c r="AP131" i="23"/>
  <c r="AQ131" i="23"/>
  <c r="AD146" i="23"/>
  <c r="AR152" i="23"/>
  <c r="AB154" i="23"/>
  <c r="AD154" i="23" s="1"/>
  <c r="AP158" i="23"/>
  <c r="AR158" i="23" s="1"/>
  <c r="AD159" i="23"/>
  <c r="AX159" i="23"/>
  <c r="AY159" i="23" s="1"/>
  <c r="BF160" i="23"/>
  <c r="BG160" i="23" s="1"/>
  <c r="AX173" i="23"/>
  <c r="AY173" i="23" s="1"/>
  <c r="AR175" i="23"/>
  <c r="AC178" i="23"/>
  <c r="AB178" i="23"/>
  <c r="BF179" i="23"/>
  <c r="BG179" i="23" s="1"/>
  <c r="AP181" i="23"/>
  <c r="AQ181" i="23"/>
  <c r="AP182" i="23"/>
  <c r="AR182" i="23" s="1"/>
  <c r="AD183" i="23"/>
  <c r="AP186" i="23"/>
  <c r="AR186" i="23" s="1"/>
  <c r="AD198" i="23"/>
  <c r="AD199" i="23"/>
  <c r="AP286" i="23"/>
  <c r="AQ286" i="23"/>
  <c r="AJ174" i="23"/>
  <c r="AI174" i="23"/>
  <c r="AX181" i="23"/>
  <c r="AW181" i="23"/>
  <c r="AJ183" i="23"/>
  <c r="AI183" i="23"/>
  <c r="AX187" i="23"/>
  <c r="AW187" i="23"/>
  <c r="AW251" i="23"/>
  <c r="AX251" i="23"/>
  <c r="BM94" i="23"/>
  <c r="BN94" i="23" s="1"/>
  <c r="AY97" i="23"/>
  <c r="AB98" i="23"/>
  <c r="AC98" i="23"/>
  <c r="CA102" i="23"/>
  <c r="CB102" i="23" s="1"/>
  <c r="AK121" i="23"/>
  <c r="CA121" i="23"/>
  <c r="CB121" i="23" s="1"/>
  <c r="CA124" i="23"/>
  <c r="CB124" i="23" s="1"/>
  <c r="AP127" i="23"/>
  <c r="AQ127" i="23"/>
  <c r="AJ151" i="23"/>
  <c r="AK151" i="23" s="1"/>
  <c r="CA151" i="23"/>
  <c r="CB151" i="23" s="1"/>
  <c r="AI154" i="23"/>
  <c r="AK154" i="23" s="1"/>
  <c r="AX155" i="23"/>
  <c r="AY155" i="23" s="1"/>
  <c r="AI156" i="23"/>
  <c r="AK156" i="23" s="1"/>
  <c r="AW158" i="23"/>
  <c r="AY158" i="23" s="1"/>
  <c r="AB173" i="23"/>
  <c r="AD173" i="23" s="1"/>
  <c r="AY175" i="23"/>
  <c r="AJ176" i="23"/>
  <c r="AI176" i="23"/>
  <c r="AC180" i="23"/>
  <c r="AB180" i="23"/>
  <c r="BF181" i="23"/>
  <c r="BG181" i="23" s="1"/>
  <c r="AP183" i="23"/>
  <c r="AQ183" i="23"/>
  <c r="AX185" i="23"/>
  <c r="AW185" i="23"/>
  <c r="BF187" i="23"/>
  <c r="BG187" i="23" s="1"/>
  <c r="AQ206" i="23"/>
  <c r="AP206" i="23"/>
  <c r="AR74" i="23"/>
  <c r="CA90" i="23"/>
  <c r="CB90" i="23" s="1"/>
  <c r="AR91" i="23"/>
  <c r="AB95" i="23"/>
  <c r="AC95" i="23"/>
  <c r="AK99" i="23"/>
  <c r="AB117" i="23"/>
  <c r="AC117" i="23"/>
  <c r="AP122" i="23"/>
  <c r="AQ122" i="23"/>
  <c r="AP123" i="23"/>
  <c r="AQ123" i="23"/>
  <c r="BM124" i="23"/>
  <c r="BN124" i="23" s="1"/>
  <c r="AD128" i="23"/>
  <c r="AY131" i="23"/>
  <c r="AR154" i="23"/>
  <c r="AD155" i="23"/>
  <c r="AK172" i="23"/>
  <c r="BM176" i="23"/>
  <c r="BN176" i="23" s="1"/>
  <c r="AX183" i="23"/>
  <c r="AW183" i="23"/>
  <c r="BF185" i="23"/>
  <c r="BG185" i="23" s="1"/>
  <c r="AW203" i="23"/>
  <c r="AX203" i="23"/>
  <c r="AX236" i="23"/>
  <c r="AW236" i="23"/>
  <c r="AW258" i="23"/>
  <c r="AX258" i="23"/>
  <c r="AI261" i="23"/>
  <c r="AJ261" i="23"/>
  <c r="BM180" i="23"/>
  <c r="BN180" i="23" s="1"/>
  <c r="BM182" i="23"/>
  <c r="BN182" i="23" s="1"/>
  <c r="BM184" i="23"/>
  <c r="BN184" i="23" s="1"/>
  <c r="BM186" i="23"/>
  <c r="BN186" i="23" s="1"/>
  <c r="AY198" i="23"/>
  <c r="AR202" i="23"/>
  <c r="BT203" i="23"/>
  <c r="BU203" i="23" s="1"/>
  <c r="AJ207" i="23"/>
  <c r="AI207" i="23"/>
  <c r="BF210" i="23"/>
  <c r="BG210" i="23" s="1"/>
  <c r="AI312" i="23"/>
  <c r="AJ312" i="23"/>
  <c r="AI311" i="23"/>
  <c r="AJ311" i="23"/>
  <c r="BT87" i="23"/>
  <c r="BU87" i="23" s="1"/>
  <c r="AY178" i="23"/>
  <c r="AY184" i="23"/>
  <c r="AY186" i="23"/>
  <c r="AJ201" i="23"/>
  <c r="AI201" i="23"/>
  <c r="BF206" i="23"/>
  <c r="BG206" i="23" s="1"/>
  <c r="AC253" i="23"/>
  <c r="AB253" i="23"/>
  <c r="AJ185" i="23"/>
  <c r="AI185" i="23"/>
  <c r="AJ187" i="23"/>
  <c r="AI187" i="23"/>
  <c r="AJ199" i="23"/>
  <c r="AI199" i="23"/>
  <c r="AC202" i="23"/>
  <c r="AB202" i="23"/>
  <c r="AJ211" i="23"/>
  <c r="AI211" i="23"/>
  <c r="AJ228" i="23"/>
  <c r="AI228" i="23"/>
  <c r="AP282" i="23"/>
  <c r="AQ282" i="23"/>
  <c r="AC184" i="23"/>
  <c r="AB184" i="23"/>
  <c r="AC186" i="23"/>
  <c r="AB186" i="23"/>
  <c r="AC200" i="23"/>
  <c r="AB200" i="23"/>
  <c r="AC204" i="23"/>
  <c r="AD204" i="23" s="1"/>
  <c r="AW207" i="23"/>
  <c r="AY207" i="23" s="1"/>
  <c r="AQ208" i="23"/>
  <c r="AR208" i="23" s="1"/>
  <c r="AD236" i="23"/>
  <c r="AQ185" i="23"/>
  <c r="AR185" i="23" s="1"/>
  <c r="AQ187" i="23"/>
  <c r="AR187" i="23" s="1"/>
  <c r="BM203" i="23"/>
  <c r="BN203" i="23" s="1"/>
  <c r="AJ204" i="23"/>
  <c r="AI204" i="23"/>
  <c r="AJ206" i="23"/>
  <c r="AK206" i="23" s="1"/>
  <c r="CA207" i="23"/>
  <c r="CB207" i="23" s="1"/>
  <c r="AY225" i="23"/>
  <c r="AC232" i="23"/>
  <c r="AB232" i="23"/>
  <c r="AK209" i="23"/>
  <c r="BM229" i="23"/>
  <c r="BN229" i="23" s="1"/>
  <c r="AR254" i="23"/>
  <c r="AK257" i="23"/>
  <c r="AR279" i="23"/>
  <c r="AK280" i="23"/>
  <c r="AB284" i="23"/>
  <c r="AC284" i="23"/>
  <c r="AB289" i="23"/>
  <c r="AC289" i="23"/>
  <c r="CA293" i="23"/>
  <c r="CB293" i="23" s="1"/>
  <c r="CA292" i="23"/>
  <c r="CB292" i="23" s="1"/>
  <c r="CA291" i="23"/>
  <c r="CB291" i="23" s="1"/>
  <c r="CA290" i="23"/>
  <c r="CB290" i="23" s="1"/>
  <c r="CA288" i="23"/>
  <c r="CB288" i="23" s="1"/>
  <c r="CA287" i="23"/>
  <c r="CB287" i="23" s="1"/>
  <c r="CA286" i="23"/>
  <c r="CB286" i="23" s="1"/>
  <c r="CA285" i="23"/>
  <c r="CB285" i="23" s="1"/>
  <c r="CA284" i="23"/>
  <c r="CB284" i="23" s="1"/>
  <c r="CA283" i="23"/>
  <c r="CB283" i="23" s="1"/>
  <c r="CA282" i="23"/>
  <c r="CB282" i="23" s="1"/>
  <c r="CA281" i="23"/>
  <c r="CB281" i="23" s="1"/>
  <c r="CA280" i="23"/>
  <c r="CB280" i="23" s="1"/>
  <c r="CA318" i="23"/>
  <c r="CB318" i="23" s="1"/>
  <c r="CA315" i="23"/>
  <c r="CB315" i="23" s="1"/>
  <c r="CA314" i="23"/>
  <c r="CB314" i="23" s="1"/>
  <c r="CA309" i="23"/>
  <c r="CB309" i="23" s="1"/>
  <c r="CA321" i="23"/>
  <c r="CB321" i="23" s="1"/>
  <c r="CA317" i="23"/>
  <c r="CB317" i="23" s="1"/>
  <c r="CA313" i="23"/>
  <c r="CB313" i="23" s="1"/>
  <c r="CA312" i="23"/>
  <c r="CB312" i="23" s="1"/>
  <c r="CA310" i="23"/>
  <c r="CB310" i="23" s="1"/>
  <c r="CA308" i="23"/>
  <c r="CB308" i="23" s="1"/>
  <c r="AI313" i="23"/>
  <c r="AJ313" i="23"/>
  <c r="AJ227" i="23"/>
  <c r="AI227" i="23"/>
  <c r="AW260" i="23"/>
  <c r="AX260" i="23"/>
  <c r="AB226" i="23"/>
  <c r="AD226" i="23" s="1"/>
  <c r="AX226" i="23"/>
  <c r="AW226" i="23"/>
  <c r="AP228" i="23"/>
  <c r="AR228" i="23" s="1"/>
  <c r="AW230" i="23"/>
  <c r="AY230" i="23" s="1"/>
  <c r="AW231" i="23"/>
  <c r="AY231" i="23" s="1"/>
  <c r="AJ232" i="23"/>
  <c r="AI232" i="23"/>
  <c r="AP238" i="23"/>
  <c r="AQ238" i="23"/>
  <c r="AW256" i="23"/>
  <c r="AY256" i="23" s="1"/>
  <c r="AB293" i="23"/>
  <c r="AC293" i="23"/>
  <c r="AB294" i="23"/>
  <c r="AC294" i="23"/>
  <c r="BM307" i="23"/>
  <c r="BN307" i="23" s="1"/>
  <c r="BT207" i="23"/>
  <c r="BU207" i="23" s="1"/>
  <c r="AP210" i="23"/>
  <c r="AR210" i="23" s="1"/>
  <c r="AR212" i="23"/>
  <c r="BF226" i="23"/>
  <c r="BG226" i="23" s="1"/>
  <c r="AB229" i="23"/>
  <c r="AC229" i="23"/>
  <c r="BF231" i="23"/>
  <c r="BG231" i="23" s="1"/>
  <c r="AP237" i="23"/>
  <c r="AR237" i="23" s="1"/>
  <c r="AC239" i="23"/>
  <c r="AD239" i="23" s="1"/>
  <c r="AI251" i="23"/>
  <c r="AK251" i="23" s="1"/>
  <c r="AW254" i="23"/>
  <c r="AY254" i="23" s="1"/>
  <c r="AR255" i="23"/>
  <c r="AD256" i="23"/>
  <c r="AI258" i="23"/>
  <c r="AJ258" i="23"/>
  <c r="AW265" i="23"/>
  <c r="AX265" i="23"/>
  <c r="AC286" i="23"/>
  <c r="AD286" i="23" s="1"/>
  <c r="AB288" i="23"/>
  <c r="AC288" i="23"/>
  <c r="CA206" i="23"/>
  <c r="CB206" i="23" s="1"/>
  <c r="AY208" i="23"/>
  <c r="BM209" i="23"/>
  <c r="BN209" i="23" s="1"/>
  <c r="AJ226" i="23"/>
  <c r="AI226" i="23"/>
  <c r="BM227" i="23"/>
  <c r="BN227" i="23" s="1"/>
  <c r="AX228" i="23"/>
  <c r="AW228" i="23"/>
  <c r="BM236" i="23"/>
  <c r="BN236" i="23" s="1"/>
  <c r="AW238" i="23"/>
  <c r="AX238" i="23"/>
  <c r="AD240" i="23"/>
  <c r="AC252" i="23"/>
  <c r="AB252" i="23"/>
  <c r="AI260" i="23"/>
  <c r="AJ260" i="23"/>
  <c r="AW261" i="23"/>
  <c r="AX261" i="23"/>
  <c r="AK293" i="23"/>
  <c r="CB198" i="23"/>
  <c r="AD206" i="23"/>
  <c r="AK208" i="23"/>
  <c r="AJ230" i="23"/>
  <c r="AI230" i="23"/>
  <c r="AX237" i="23"/>
  <c r="AW237" i="23"/>
  <c r="AQ289" i="23"/>
  <c r="AR289" i="23" s="1"/>
  <c r="AC292" i="23"/>
  <c r="AD292" i="23" s="1"/>
  <c r="AI309" i="23"/>
  <c r="AJ309" i="23"/>
  <c r="BT205" i="23"/>
  <c r="BU205" i="23" s="1"/>
  <c r="AX209" i="23"/>
  <c r="AW209" i="23"/>
  <c r="AW212" i="23"/>
  <c r="AY212" i="23" s="1"/>
  <c r="BM226" i="23"/>
  <c r="BN226" i="23" s="1"/>
  <c r="BT227" i="23"/>
  <c r="BU227" i="23" s="1"/>
  <c r="AI229" i="23"/>
  <c r="AK229" i="23" s="1"/>
  <c r="BF229" i="23"/>
  <c r="BG229" i="23" s="1"/>
  <c r="AW233" i="23"/>
  <c r="AY233" i="23" s="1"/>
  <c r="AJ234" i="23"/>
  <c r="AI234" i="23"/>
  <c r="AI254" i="23"/>
  <c r="AK254" i="23" s="1"/>
  <c r="AC257" i="23"/>
  <c r="AB257" i="23"/>
  <c r="AJ263" i="23"/>
  <c r="AK263" i="23" s="1"/>
  <c r="AX266" i="23"/>
  <c r="AY266" i="23" s="1"/>
  <c r="BF279" i="23"/>
  <c r="BG279" i="23" s="1"/>
  <c r="AC281" i="23"/>
  <c r="AD281" i="23" s="1"/>
  <c r="AB291" i="23"/>
  <c r="AC291" i="23"/>
  <c r="BM213" i="23"/>
  <c r="BN213" i="23" s="1"/>
  <c r="BM228" i="23"/>
  <c r="BN228" i="23" s="1"/>
  <c r="CA234" i="23"/>
  <c r="CB234" i="23" s="1"/>
  <c r="AJ236" i="23"/>
  <c r="AI236" i="23"/>
  <c r="AR252" i="23"/>
  <c r="BM259" i="23"/>
  <c r="BN259" i="23" s="1"/>
  <c r="BM263" i="23"/>
  <c r="BN263" i="23" s="1"/>
  <c r="BM265" i="23"/>
  <c r="BN265" i="23" s="1"/>
  <c r="BM260" i="23"/>
  <c r="BN260" i="23" s="1"/>
  <c r="BM255" i="23"/>
  <c r="BN255" i="23" s="1"/>
  <c r="BM253" i="23"/>
  <c r="BN253" i="23" s="1"/>
  <c r="BM266" i="23"/>
  <c r="BN266" i="23" s="1"/>
  <c r="BM261" i="23"/>
  <c r="BN261" i="23" s="1"/>
  <c r="BM258" i="23"/>
  <c r="BN258" i="23" s="1"/>
  <c r="BM256" i="23"/>
  <c r="BN256" i="23" s="1"/>
  <c r="BM254" i="23"/>
  <c r="BN254" i="23" s="1"/>
  <c r="BM252" i="23"/>
  <c r="BN252" i="23" s="1"/>
  <c r="BM230" i="23"/>
  <c r="BN230" i="23" s="1"/>
  <c r="AD251" i="23"/>
  <c r="AW263" i="23"/>
  <c r="AX263" i="23"/>
  <c r="AD280" i="23"/>
  <c r="BM210" i="23"/>
  <c r="BN210" i="23" s="1"/>
  <c r="BM212" i="23"/>
  <c r="BN212" i="23" s="1"/>
  <c r="CA225" i="23"/>
  <c r="CB225" i="23" s="1"/>
  <c r="CA227" i="23"/>
  <c r="CB227" i="23" s="1"/>
  <c r="CA231" i="23"/>
  <c r="CB231" i="23" s="1"/>
  <c r="CA233" i="23"/>
  <c r="CB233" i="23" s="1"/>
  <c r="CA235" i="23"/>
  <c r="CB235" i="23" s="1"/>
  <c r="CA237" i="23"/>
  <c r="CB237" i="23" s="1"/>
  <c r="BT321" i="23"/>
  <c r="BU321" i="23" s="1"/>
  <c r="BT319" i="23"/>
  <c r="BU319" i="23" s="1"/>
  <c r="BT318" i="23"/>
  <c r="BU318" i="23" s="1"/>
  <c r="BT317" i="23"/>
  <c r="BU317" i="23" s="1"/>
  <c r="BT315" i="23"/>
  <c r="BU315" i="23" s="1"/>
  <c r="BT314" i="23"/>
  <c r="BU314" i="23" s="1"/>
  <c r="BT313" i="23"/>
  <c r="BU313" i="23" s="1"/>
  <c r="BT312" i="23"/>
  <c r="BU312" i="23" s="1"/>
  <c r="BT311" i="23"/>
  <c r="BU311" i="23" s="1"/>
  <c r="BT309" i="23"/>
  <c r="BU309" i="23" s="1"/>
  <c r="BT308" i="23"/>
  <c r="BU308" i="23" s="1"/>
  <c r="BR289" i="23"/>
  <c r="BT289" i="23" s="1"/>
  <c r="BU289" i="23" s="1"/>
  <c r="BR281" i="23"/>
  <c r="BT281" i="23" s="1"/>
  <c r="BU281" i="23" s="1"/>
  <c r="AI318" i="23"/>
  <c r="AJ318" i="23"/>
  <c r="AI317" i="23"/>
  <c r="AJ317" i="23"/>
  <c r="AI322" i="23"/>
  <c r="AJ322" i="23"/>
  <c r="AI316" i="23"/>
  <c r="AJ316" i="23"/>
  <c r="AX320" i="23"/>
  <c r="AY320" i="23" s="1"/>
  <c r="AI321" i="23"/>
  <c r="AJ321" i="23"/>
  <c r="BM279" i="23"/>
  <c r="BN279" i="23" s="1"/>
  <c r="AP287" i="23"/>
  <c r="AQ287" i="23"/>
  <c r="AR290" i="23"/>
  <c r="AX310" i="23"/>
  <c r="AY310" i="23" s="1"/>
  <c r="AX314" i="23"/>
  <c r="AY314" i="23" s="1"/>
  <c r="AI315" i="23"/>
  <c r="AJ315" i="23"/>
  <c r="AB282" i="23"/>
  <c r="AC282" i="23"/>
  <c r="AP307" i="23"/>
  <c r="AQ307" i="23"/>
  <c r="AI320" i="23"/>
  <c r="AJ320" i="23"/>
  <c r="AY257" i="23"/>
  <c r="AJ262" i="23"/>
  <c r="AK262" i="23" s="1"/>
  <c r="AJ264" i="23"/>
  <c r="AK264" i="23" s="1"/>
  <c r="AQ280" i="23"/>
  <c r="AR280" i="23" s="1"/>
  <c r="AK281" i="23"/>
  <c r="AQ283" i="23"/>
  <c r="AR283" i="23" s="1"/>
  <c r="AB290" i="23"/>
  <c r="AC290" i="23"/>
  <c r="AQ293" i="23"/>
  <c r="AR293" i="23" s="1"/>
  <c r="AX308" i="23"/>
  <c r="AY308" i="23" s="1"/>
  <c r="AI314" i="23"/>
  <c r="AJ314" i="23"/>
  <c r="AI319" i="23"/>
  <c r="AJ319" i="23"/>
  <c r="BR266" i="23"/>
  <c r="BT266" i="23" s="1"/>
  <c r="BU266" i="23" s="1"/>
  <c r="BR265" i="23"/>
  <c r="BT265" i="23" s="1"/>
  <c r="BU265" i="23" s="1"/>
  <c r="BR264" i="23"/>
  <c r="BT264" i="23" s="1"/>
  <c r="BU264" i="23" s="1"/>
  <c r="BR263" i="23"/>
  <c r="BT263" i="23" s="1"/>
  <c r="BU263" i="23" s="1"/>
  <c r="BR262" i="23"/>
  <c r="BT262" i="23" s="1"/>
  <c r="BU262" i="23" s="1"/>
  <c r="BR261" i="23"/>
  <c r="BT261" i="23" s="1"/>
  <c r="BU261" i="23" s="1"/>
  <c r="BR260" i="23"/>
  <c r="BT260" i="23" s="1"/>
  <c r="BU260" i="23" s="1"/>
  <c r="BR259" i="23"/>
  <c r="BT259" i="23" s="1"/>
  <c r="BU259" i="23" s="1"/>
  <c r="BR258" i="23"/>
  <c r="BT258" i="23" s="1"/>
  <c r="BU258" i="23" s="1"/>
  <c r="BF322" i="23"/>
  <c r="BG322" i="23" s="1"/>
  <c r="BF321" i="23"/>
  <c r="BG321" i="23" s="1"/>
  <c r="BF320" i="23"/>
  <c r="BG320" i="23" s="1"/>
  <c r="BF319" i="23"/>
  <c r="BG319" i="23" s="1"/>
  <c r="BF318" i="23"/>
  <c r="BG318" i="23" s="1"/>
  <c r="BF317" i="23"/>
  <c r="BG317" i="23" s="1"/>
  <c r="BF316" i="23"/>
  <c r="BG316" i="23" s="1"/>
  <c r="BF315" i="23"/>
  <c r="BG315" i="23" s="1"/>
  <c r="BF313" i="23"/>
  <c r="BG313" i="23" s="1"/>
  <c r="BF312" i="23"/>
  <c r="BG312" i="23" s="1"/>
  <c r="BF311" i="23"/>
  <c r="BG311" i="23" s="1"/>
  <c r="BF310" i="23"/>
  <c r="BG310" i="23" s="1"/>
  <c r="BF309" i="23"/>
  <c r="BG309" i="23" s="1"/>
  <c r="BF308" i="23"/>
  <c r="BG308" i="23" s="1"/>
  <c r="Y39" i="22"/>
  <c r="Y40" i="22"/>
  <c r="X39" i="22"/>
  <c r="X40" i="22"/>
  <c r="X38" i="22"/>
  <c r="W39" i="22"/>
  <c r="W40" i="22"/>
  <c r="V39" i="22"/>
  <c r="Y28" i="22"/>
  <c r="Y29" i="22"/>
  <c r="Y30" i="22"/>
  <c r="Y31" i="22"/>
  <c r="W29" i="22"/>
  <c r="W28" i="22"/>
  <c r="V29" i="22"/>
  <c r="V7" i="22"/>
  <c r="Y19" i="22"/>
  <c r="Y20" i="22"/>
  <c r="Y18" i="22"/>
  <c r="X19" i="22"/>
  <c r="X20" i="22"/>
  <c r="X18" i="22"/>
  <c r="Z20" i="22"/>
  <c r="W19" i="22"/>
  <c r="W20" i="22"/>
  <c r="W18" i="22"/>
  <c r="V19" i="22"/>
  <c r="Z19" i="22" s="1"/>
  <c r="V18" i="22"/>
  <c r="Z18" i="22" s="1"/>
  <c r="Z7" i="22"/>
  <c r="Y11" i="22"/>
  <c r="Y7" i="22"/>
  <c r="AA7" i="22" s="1"/>
  <c r="W9" i="22"/>
  <c r="W8" i="22"/>
  <c r="W7" i="22"/>
  <c r="V9" i="22"/>
  <c r="Z9" i="22" s="1"/>
  <c r="V8" i="22"/>
  <c r="Z8" i="22" s="1"/>
  <c r="P8" i="10"/>
  <c r="Q3" i="10"/>
  <c r="P4" i="10"/>
  <c r="P3" i="10"/>
  <c r="AD232" i="23" l="1"/>
  <c r="AK211" i="23"/>
  <c r="AK185" i="23"/>
  <c r="AD175" i="23"/>
  <c r="AK253" i="23"/>
  <c r="AD238" i="23"/>
  <c r="AD254" i="23"/>
  <c r="AY100" i="23"/>
  <c r="AD176" i="23"/>
  <c r="AK199" i="23"/>
  <c r="AY252" i="23"/>
  <c r="AK173" i="23"/>
  <c r="AK125" i="23"/>
  <c r="AK234" i="23"/>
  <c r="AY255" i="23"/>
  <c r="AK87" i="23"/>
  <c r="AY228" i="23"/>
  <c r="AD158" i="23"/>
  <c r="AY129" i="23"/>
  <c r="AY205" i="23"/>
  <c r="AD130" i="23"/>
  <c r="AR148" i="23"/>
  <c r="AK102" i="23"/>
  <c r="AR147" i="23"/>
  <c r="AY146" i="23"/>
  <c r="AY87" i="23"/>
  <c r="AR257" i="23"/>
  <c r="AK65" i="23"/>
  <c r="AD71" i="23"/>
  <c r="AY227" i="23"/>
  <c r="AR180" i="23"/>
  <c r="AD184" i="23"/>
  <c r="AY185" i="23"/>
  <c r="AK183" i="23"/>
  <c r="AD178" i="23"/>
  <c r="AK62" i="23"/>
  <c r="AD201" i="23"/>
  <c r="AR239" i="23"/>
  <c r="AY73" i="23"/>
  <c r="AY89" i="23"/>
  <c r="AY210" i="23"/>
  <c r="AR95" i="23"/>
  <c r="AR261" i="23"/>
  <c r="AY209" i="23"/>
  <c r="AY237" i="23"/>
  <c r="AK204" i="23"/>
  <c r="AR122" i="23"/>
  <c r="AR183" i="23"/>
  <c r="AY240" i="23"/>
  <c r="AK226" i="23"/>
  <c r="AY226" i="23"/>
  <c r="AK68" i="23"/>
  <c r="AY61" i="23"/>
  <c r="AK63" i="23"/>
  <c r="AK210" i="23"/>
  <c r="AR94" i="23"/>
  <c r="AY101" i="23"/>
  <c r="AR128" i="23"/>
  <c r="AK236" i="23"/>
  <c r="AR179" i="23"/>
  <c r="AR117" i="23"/>
  <c r="AD73" i="23"/>
  <c r="AR236" i="23"/>
  <c r="AD266" i="23"/>
  <c r="AD207" i="23"/>
  <c r="AD237" i="23"/>
  <c r="AD260" i="23"/>
  <c r="AD230" i="23"/>
  <c r="AY126" i="23"/>
  <c r="AR160" i="23"/>
  <c r="AK179" i="23"/>
  <c r="AR227" i="23"/>
  <c r="AK231" i="23"/>
  <c r="AR178" i="23"/>
  <c r="AR230" i="23"/>
  <c r="AR235" i="23"/>
  <c r="AY263" i="23"/>
  <c r="AK227" i="23"/>
  <c r="AD98" i="23"/>
  <c r="AK181" i="23"/>
  <c r="AD212" i="23"/>
  <c r="AK286" i="23"/>
  <c r="AR207" i="23"/>
  <c r="AD172" i="23"/>
  <c r="AD119" i="23"/>
  <c r="AY122" i="23"/>
  <c r="AY289" i="23"/>
  <c r="AY285" i="23"/>
  <c r="AR318" i="23"/>
  <c r="AK318" i="23"/>
  <c r="AR282" i="23"/>
  <c r="AR181" i="23"/>
  <c r="AY157" i="23"/>
  <c r="AR96" i="23"/>
  <c r="AD147" i="23"/>
  <c r="AK279" i="23"/>
  <c r="AR98" i="23"/>
  <c r="AK92" i="23"/>
  <c r="AK228" i="23"/>
  <c r="AK187" i="23"/>
  <c r="AR286" i="23"/>
  <c r="AR131" i="23"/>
  <c r="AD125" i="23"/>
  <c r="AD120" i="23"/>
  <c r="AR71" i="23"/>
  <c r="AK153" i="23"/>
  <c r="AY262" i="23"/>
  <c r="AK88" i="23"/>
  <c r="AK198" i="23"/>
  <c r="AK131" i="23"/>
  <c r="AR120" i="23"/>
  <c r="AR213" i="23"/>
  <c r="AD255" i="23"/>
  <c r="AR97" i="23"/>
  <c r="AD87" i="23"/>
  <c r="AR260" i="23"/>
  <c r="AR93" i="23"/>
  <c r="AD203" i="23"/>
  <c r="AR89" i="23"/>
  <c r="AD293" i="23"/>
  <c r="AR129" i="23"/>
  <c r="AD233" i="23"/>
  <c r="AD72" i="23"/>
  <c r="AD229" i="23"/>
  <c r="AY260" i="23"/>
  <c r="AR68" i="23"/>
  <c r="AD282" i="23"/>
  <c r="AD289" i="23"/>
  <c r="AK261" i="23"/>
  <c r="AR126" i="23"/>
  <c r="AR199" i="23"/>
  <c r="AY284" i="23"/>
  <c r="AR145" i="23"/>
  <c r="AK176" i="23"/>
  <c r="AK174" i="23"/>
  <c r="AD129" i="23"/>
  <c r="AD74" i="23"/>
  <c r="AR121" i="23"/>
  <c r="AY199" i="23"/>
  <c r="AK94" i="23"/>
  <c r="AD89" i="23"/>
  <c r="AR119" i="23"/>
  <c r="AY116" i="23"/>
  <c r="AY88" i="23"/>
  <c r="AD235" i="23"/>
  <c r="AD149" i="23"/>
  <c r="AR209" i="23"/>
  <c r="AR176" i="23"/>
  <c r="AD100" i="23"/>
  <c r="AD258" i="23"/>
  <c r="AY213" i="23"/>
  <c r="AY206" i="23"/>
  <c r="AK316" i="23"/>
  <c r="AK320" i="23"/>
  <c r="AK309" i="23"/>
  <c r="AK311" i="23"/>
  <c r="AK322" i="23"/>
  <c r="AK314" i="23"/>
  <c r="AD252" i="23"/>
  <c r="AD288" i="23"/>
  <c r="AD294" i="23"/>
  <c r="AR238" i="23"/>
  <c r="AD117" i="23"/>
  <c r="AR206" i="23"/>
  <c r="AD180" i="23"/>
  <c r="AR127" i="23"/>
  <c r="AY181" i="23"/>
  <c r="AR130" i="23"/>
  <c r="AD99" i="23"/>
  <c r="AK225" i="23"/>
  <c r="AD94" i="23"/>
  <c r="AR294" i="23"/>
  <c r="AR118" i="23"/>
  <c r="AD124" i="23"/>
  <c r="AY75" i="23"/>
  <c r="AY64" i="23"/>
  <c r="AD67" i="23"/>
  <c r="AK258" i="23"/>
  <c r="AK313" i="23"/>
  <c r="AK317" i="23"/>
  <c r="AD257" i="23"/>
  <c r="AK230" i="23"/>
  <c r="AK232" i="23"/>
  <c r="AD200" i="23"/>
  <c r="AD202" i="23"/>
  <c r="AD253" i="23"/>
  <c r="AK207" i="23"/>
  <c r="AY183" i="23"/>
  <c r="AD205" i="23"/>
  <c r="AK155" i="23"/>
  <c r="AY62" i="23"/>
  <c r="AD116" i="23"/>
  <c r="AD290" i="23"/>
  <c r="AD70" i="23"/>
  <c r="AR100" i="23"/>
  <c r="AK319" i="23"/>
  <c r="AK315" i="23"/>
  <c r="AR287" i="23"/>
  <c r="AY265" i="23"/>
  <c r="AY258" i="23"/>
  <c r="AY251" i="23"/>
  <c r="AD148" i="23"/>
  <c r="AY99" i="23"/>
  <c r="AD93" i="23"/>
  <c r="AD291" i="23"/>
  <c r="AY261" i="23"/>
  <c r="AY238" i="23"/>
  <c r="AD186" i="23"/>
  <c r="AK201" i="23"/>
  <c r="AY236" i="23"/>
  <c r="AR123" i="23"/>
  <c r="AD95" i="23"/>
  <c r="AY187" i="23"/>
  <c r="AD121" i="23"/>
  <c r="AD90" i="23"/>
  <c r="AY179" i="23"/>
  <c r="AR125" i="23"/>
  <c r="AY90" i="23"/>
  <c r="AY94" i="23"/>
  <c r="AY72" i="23"/>
  <c r="AK129" i="23"/>
  <c r="AK116" i="23"/>
  <c r="AD66" i="23"/>
  <c r="AY98" i="23"/>
  <c r="AR70" i="23"/>
  <c r="AK98" i="23"/>
  <c r="AD225" i="23"/>
  <c r="AK64" i="23"/>
  <c r="AK127" i="23"/>
  <c r="AK61" i="23"/>
  <c r="AY66" i="23"/>
  <c r="AD182" i="23"/>
  <c r="AY60" i="23"/>
  <c r="AK321" i="23"/>
  <c r="AK260" i="23"/>
  <c r="AR307" i="23"/>
  <c r="AD284" i="23"/>
  <c r="AK312" i="23"/>
  <c r="AY203" i="23"/>
  <c r="AD227" i="23"/>
  <c r="AD151" i="23"/>
  <c r="AR149" i="23"/>
  <c r="AD75" i="23"/>
  <c r="AR88" i="23"/>
  <c r="AD102" i="23"/>
  <c r="AD97" i="23"/>
  <c r="AR92" i="23"/>
  <c r="AK120" i="23"/>
  <c r="AD91" i="23"/>
  <c r="Y8" i="22"/>
  <c r="AA8" i="22" s="1"/>
  <c r="Y9" i="22"/>
  <c r="AA9" i="22" s="1"/>
  <c r="Y10" i="22"/>
  <c r="AA10" i="22"/>
  <c r="AA11" i="22"/>
  <c r="AA18" i="22"/>
  <c r="AA19" i="22"/>
  <c r="AA20" i="22"/>
  <c r="AA27" i="22"/>
  <c r="AA28" i="22"/>
  <c r="Z28" i="22"/>
  <c r="Z29" i="22"/>
  <c r="AA29" i="22"/>
  <c r="AA30" i="22"/>
  <c r="AA31" i="22"/>
  <c r="AA38" i="22"/>
  <c r="AA39" i="22"/>
  <c r="Z39" i="22"/>
  <c r="Z40" i="22"/>
  <c r="AA40" i="22"/>
  <c r="M265" i="21"/>
  <c r="N265" i="21" s="1"/>
  <c r="W37" i="21" s="1"/>
  <c r="L265" i="21"/>
  <c r="M264" i="21"/>
  <c r="N264" i="21" s="1"/>
  <c r="W36" i="21" s="1"/>
  <c r="L264" i="21"/>
  <c r="M263" i="21"/>
  <c r="L263" i="21"/>
  <c r="M262" i="21"/>
  <c r="L262" i="21"/>
  <c r="N262" i="21" s="1"/>
  <c r="S49" i="21" s="1"/>
  <c r="M261" i="21"/>
  <c r="N261" i="21" s="1"/>
  <c r="S15" i="21" s="1"/>
  <c r="L261" i="21"/>
  <c r="M260" i="21"/>
  <c r="N260" i="21" s="1"/>
  <c r="S92" i="21" s="1"/>
  <c r="L260" i="21"/>
  <c r="M259" i="21"/>
  <c r="L259" i="21"/>
  <c r="N259" i="21" s="1"/>
  <c r="S87" i="21" s="1"/>
  <c r="M258" i="21"/>
  <c r="L258" i="21"/>
  <c r="M255" i="21"/>
  <c r="L255" i="21"/>
  <c r="M254" i="21"/>
  <c r="N254" i="21" s="1"/>
  <c r="S47" i="21" s="1"/>
  <c r="L254" i="21"/>
  <c r="M253" i="21"/>
  <c r="L253" i="21"/>
  <c r="M252" i="21"/>
  <c r="N252" i="21" s="1"/>
  <c r="S45" i="21" s="1"/>
  <c r="L252" i="21"/>
  <c r="M251" i="21"/>
  <c r="N251" i="21" s="1"/>
  <c r="S44" i="21" s="1"/>
  <c r="L251" i="21"/>
  <c r="M250" i="21"/>
  <c r="N250" i="21" s="1"/>
  <c r="S43" i="21" s="1"/>
  <c r="L250" i="21"/>
  <c r="M249" i="21"/>
  <c r="L249" i="21"/>
  <c r="M248" i="21"/>
  <c r="L248" i="21"/>
  <c r="N248" i="21" s="1"/>
  <c r="S41" i="21" s="1"/>
  <c r="M245" i="21"/>
  <c r="N245" i="21" s="1"/>
  <c r="W72" i="21" s="1"/>
  <c r="L245" i="21"/>
  <c r="M244" i="21"/>
  <c r="N244" i="21" s="1"/>
  <c r="W71" i="21" s="1"/>
  <c r="L244" i="21"/>
  <c r="M243" i="21"/>
  <c r="N243" i="21" s="1"/>
  <c r="S40" i="21" s="1"/>
  <c r="L243" i="21"/>
  <c r="M242" i="21"/>
  <c r="N242" i="21" s="1"/>
  <c r="S39" i="21" s="1"/>
  <c r="L242" i="21"/>
  <c r="M241" i="21"/>
  <c r="N241" i="21" s="1"/>
  <c r="S38" i="21" s="1"/>
  <c r="L241" i="21"/>
  <c r="M240" i="21"/>
  <c r="L240" i="21"/>
  <c r="N240" i="21" s="1"/>
  <c r="S37" i="21" s="1"/>
  <c r="M239" i="21"/>
  <c r="N239" i="21" s="1"/>
  <c r="S36" i="21" s="1"/>
  <c r="L239" i="21"/>
  <c r="M238" i="21"/>
  <c r="L238" i="21"/>
  <c r="M235" i="21"/>
  <c r="L235" i="21"/>
  <c r="M234" i="21"/>
  <c r="L234" i="21"/>
  <c r="M233" i="21"/>
  <c r="N233" i="21" s="1"/>
  <c r="W32" i="21" s="1"/>
  <c r="L233" i="21"/>
  <c r="M232" i="21"/>
  <c r="N232" i="21" s="1"/>
  <c r="W53" i="21" s="1"/>
  <c r="L232" i="21"/>
  <c r="M231" i="21"/>
  <c r="L231" i="21"/>
  <c r="N231" i="21" s="1"/>
  <c r="W52" i="21" s="1"/>
  <c r="N230" i="21"/>
  <c r="W51" i="21" s="1"/>
  <c r="M230" i="21"/>
  <c r="L230" i="21"/>
  <c r="M229" i="21"/>
  <c r="L229" i="21"/>
  <c r="M228" i="21"/>
  <c r="L228" i="21"/>
  <c r="M225" i="21"/>
  <c r="L225" i="21"/>
  <c r="M224" i="21"/>
  <c r="N224" i="21" s="1"/>
  <c r="S97" i="21" s="1"/>
  <c r="L224" i="21"/>
  <c r="M223" i="21"/>
  <c r="N223" i="21" s="1"/>
  <c r="S96" i="21" s="1"/>
  <c r="L223" i="21"/>
  <c r="M222" i="21"/>
  <c r="L222" i="21"/>
  <c r="N222" i="21" s="1"/>
  <c r="S95" i="21" s="1"/>
  <c r="N221" i="21"/>
  <c r="S94" i="21" s="1"/>
  <c r="M221" i="21"/>
  <c r="L221" i="21"/>
  <c r="M220" i="21"/>
  <c r="L220" i="21"/>
  <c r="N220" i="21" s="1"/>
  <c r="W15" i="21" s="1"/>
  <c r="M219" i="21"/>
  <c r="L219" i="21"/>
  <c r="M218" i="21"/>
  <c r="N218" i="21" s="1"/>
  <c r="W13" i="21" s="1"/>
  <c r="L218" i="21"/>
  <c r="M215" i="21"/>
  <c r="L215" i="21"/>
  <c r="M214" i="21"/>
  <c r="L214" i="21"/>
  <c r="M213" i="21"/>
  <c r="L213" i="21"/>
  <c r="N212" i="21"/>
  <c r="S89" i="21" s="1"/>
  <c r="M212" i="21"/>
  <c r="L212" i="21"/>
  <c r="M211" i="21"/>
  <c r="L211" i="21"/>
  <c r="N211" i="21" s="1"/>
  <c r="S58" i="21" s="1"/>
  <c r="M210" i="21"/>
  <c r="N210" i="21" s="1"/>
  <c r="S57" i="21" s="1"/>
  <c r="L210" i="21"/>
  <c r="M209" i="21"/>
  <c r="N209" i="21" s="1"/>
  <c r="S56" i="21" s="1"/>
  <c r="L209" i="21"/>
  <c r="M208" i="21"/>
  <c r="N208" i="21" s="1"/>
  <c r="W70" i="21" s="1"/>
  <c r="L208" i="21"/>
  <c r="M205" i="21"/>
  <c r="N205" i="21" s="1"/>
  <c r="S55" i="21" s="1"/>
  <c r="L205" i="21"/>
  <c r="M204" i="21"/>
  <c r="L204" i="21"/>
  <c r="M203" i="21"/>
  <c r="N203" i="21" s="1"/>
  <c r="W12" i="21" s="1"/>
  <c r="L203" i="21"/>
  <c r="M202" i="21"/>
  <c r="L202" i="21"/>
  <c r="N202" i="21" s="1"/>
  <c r="W11" i="21" s="1"/>
  <c r="M201" i="21"/>
  <c r="N201" i="21" s="1"/>
  <c r="W10" i="21" s="1"/>
  <c r="L201" i="21"/>
  <c r="N200" i="21"/>
  <c r="W69" i="21" s="1"/>
  <c r="M200" i="21"/>
  <c r="L200" i="21"/>
  <c r="M199" i="21"/>
  <c r="L199" i="21"/>
  <c r="M198" i="21"/>
  <c r="L198" i="21"/>
  <c r="N198" i="21" s="1"/>
  <c r="W67" i="21" s="1"/>
  <c r="M195" i="21"/>
  <c r="N195" i="21" s="1"/>
  <c r="S29" i="21" s="1"/>
  <c r="L195" i="21"/>
  <c r="M194" i="21"/>
  <c r="L194" i="21"/>
  <c r="M193" i="21"/>
  <c r="L193" i="21"/>
  <c r="M192" i="21"/>
  <c r="N192" i="21" s="1"/>
  <c r="S26" i="21" s="1"/>
  <c r="L192" i="21"/>
  <c r="N191" i="21"/>
  <c r="M191" i="21"/>
  <c r="L191" i="21"/>
  <c r="M190" i="21"/>
  <c r="N190" i="21" s="1"/>
  <c r="L190" i="21"/>
  <c r="M189" i="21"/>
  <c r="L189" i="21"/>
  <c r="M188" i="21"/>
  <c r="N188" i="21" s="1"/>
  <c r="S25" i="21" s="1"/>
  <c r="L188" i="21"/>
  <c r="M185" i="21"/>
  <c r="N185" i="21" s="1"/>
  <c r="W31" i="21" s="1"/>
  <c r="L185" i="21"/>
  <c r="M184" i="21"/>
  <c r="N184" i="21" s="1"/>
  <c r="W30" i="21" s="1"/>
  <c r="L184" i="21"/>
  <c r="M183" i="21"/>
  <c r="L183" i="21"/>
  <c r="N182" i="21"/>
  <c r="M182" i="21"/>
  <c r="L182" i="21"/>
  <c r="M181" i="21"/>
  <c r="N181" i="21" s="1"/>
  <c r="S32" i="21" s="1"/>
  <c r="L181" i="21"/>
  <c r="M180" i="21"/>
  <c r="N180" i="21" s="1"/>
  <c r="S31" i="21" s="1"/>
  <c r="L180" i="21"/>
  <c r="M179" i="21"/>
  <c r="L179" i="21"/>
  <c r="M178" i="21"/>
  <c r="L178" i="21"/>
  <c r="M175" i="21"/>
  <c r="L175" i="21"/>
  <c r="M174" i="21"/>
  <c r="N174" i="21" s="1"/>
  <c r="S20" i="21" s="1"/>
  <c r="L174" i="21"/>
  <c r="M173" i="21"/>
  <c r="L173" i="21"/>
  <c r="M172" i="21"/>
  <c r="N172" i="21" s="1"/>
  <c r="S18" i="21" s="1"/>
  <c r="L172" i="21"/>
  <c r="M171" i="21"/>
  <c r="N171" i="21" s="1"/>
  <c r="S17" i="21" s="1"/>
  <c r="L171" i="21"/>
  <c r="M170" i="21"/>
  <c r="N170" i="21" s="1"/>
  <c r="S16" i="21" s="1"/>
  <c r="L170" i="21"/>
  <c r="M169" i="21"/>
  <c r="L169" i="21"/>
  <c r="M168" i="21"/>
  <c r="L168" i="21"/>
  <c r="M165" i="21"/>
  <c r="N165" i="21" s="1"/>
  <c r="AA51" i="21" s="1"/>
  <c r="L165" i="21"/>
  <c r="M164" i="21"/>
  <c r="N164" i="21" s="1"/>
  <c r="AA50" i="21" s="1"/>
  <c r="L164" i="21"/>
  <c r="M163" i="21"/>
  <c r="N163" i="21" s="1"/>
  <c r="AA49" i="21" s="1"/>
  <c r="L163" i="21"/>
  <c r="M162" i="21"/>
  <c r="N162" i="21" s="1"/>
  <c r="AA48" i="21" s="1"/>
  <c r="L162" i="21"/>
  <c r="M161" i="21"/>
  <c r="N161" i="21" s="1"/>
  <c r="AA47" i="21" s="1"/>
  <c r="L161" i="21"/>
  <c r="M160" i="21"/>
  <c r="L160" i="21"/>
  <c r="N160" i="21" s="1"/>
  <c r="AA46" i="21" s="1"/>
  <c r="M159" i="21"/>
  <c r="N159" i="21" s="1"/>
  <c r="AA45" i="21" s="1"/>
  <c r="L159" i="21"/>
  <c r="M158" i="21"/>
  <c r="L158" i="21"/>
  <c r="M155" i="21"/>
  <c r="L155" i="21"/>
  <c r="M154" i="21"/>
  <c r="L154" i="21"/>
  <c r="M153" i="21"/>
  <c r="N153" i="21" s="1"/>
  <c r="AA41" i="21" s="1"/>
  <c r="L153" i="21"/>
  <c r="M152" i="21"/>
  <c r="N152" i="21" s="1"/>
  <c r="AA40" i="21" s="1"/>
  <c r="L152" i="21"/>
  <c r="M151" i="21"/>
  <c r="L151" i="21"/>
  <c r="N151" i="21" s="1"/>
  <c r="AA39" i="21" s="1"/>
  <c r="N150" i="21"/>
  <c r="AA38" i="21" s="1"/>
  <c r="M150" i="21"/>
  <c r="L150" i="21"/>
  <c r="M149" i="21"/>
  <c r="L149" i="21"/>
  <c r="M148" i="21"/>
  <c r="N148" i="21" s="1"/>
  <c r="AA36" i="21" s="1"/>
  <c r="L148" i="21"/>
  <c r="M145" i="21"/>
  <c r="L145" i="21"/>
  <c r="M144" i="21"/>
  <c r="N144" i="21" s="1"/>
  <c r="AA34" i="21" s="1"/>
  <c r="L144" i="21"/>
  <c r="M143" i="21"/>
  <c r="N143" i="21" s="1"/>
  <c r="AA33" i="21" s="1"/>
  <c r="L143" i="21"/>
  <c r="M142" i="21"/>
  <c r="L142" i="21"/>
  <c r="N142" i="21" s="1"/>
  <c r="AA32" i="21" s="1"/>
  <c r="N141" i="21"/>
  <c r="AA31" i="21" s="1"/>
  <c r="M141" i="21"/>
  <c r="L141" i="21"/>
  <c r="M140" i="21"/>
  <c r="L140" i="21"/>
  <c r="N140" i="21" s="1"/>
  <c r="AA30" i="21" s="1"/>
  <c r="M139" i="21"/>
  <c r="L139" i="21"/>
  <c r="N139" i="21" s="1"/>
  <c r="AA29" i="21" s="1"/>
  <c r="M138" i="21"/>
  <c r="L138" i="21"/>
  <c r="M135" i="21"/>
  <c r="L135" i="21"/>
  <c r="M134" i="21"/>
  <c r="L134" i="21"/>
  <c r="M133" i="21"/>
  <c r="L133" i="21"/>
  <c r="N132" i="21"/>
  <c r="AA14" i="21" s="1"/>
  <c r="M132" i="21"/>
  <c r="L132" i="21"/>
  <c r="M131" i="21"/>
  <c r="L131" i="21"/>
  <c r="N131" i="21" s="1"/>
  <c r="AA13" i="21" s="1"/>
  <c r="M130" i="21"/>
  <c r="N130" i="21" s="1"/>
  <c r="AA12" i="21" s="1"/>
  <c r="L130" i="21"/>
  <c r="M129" i="21"/>
  <c r="L129" i="21"/>
  <c r="M128" i="21"/>
  <c r="N128" i="21" s="1"/>
  <c r="AA10" i="21" s="1"/>
  <c r="L128" i="21"/>
  <c r="M125" i="21"/>
  <c r="N125" i="21" s="1"/>
  <c r="AA28" i="21" s="1"/>
  <c r="L125" i="21"/>
  <c r="M124" i="21"/>
  <c r="L124" i="21"/>
  <c r="M123" i="21"/>
  <c r="N123" i="21" s="1"/>
  <c r="AA26" i="21" s="1"/>
  <c r="L123" i="21"/>
  <c r="N122" i="21"/>
  <c r="M122" i="21"/>
  <c r="L122" i="21"/>
  <c r="M121" i="21"/>
  <c r="N121" i="21" s="1"/>
  <c r="AA24" i="21" s="1"/>
  <c r="L121" i="21"/>
  <c r="N120" i="21"/>
  <c r="AA23" i="21" s="1"/>
  <c r="M120" i="21"/>
  <c r="L120" i="21"/>
  <c r="M119" i="21"/>
  <c r="L119" i="21"/>
  <c r="M118" i="21"/>
  <c r="L118" i="21"/>
  <c r="N118" i="21" s="1"/>
  <c r="AA21" i="21" s="1"/>
  <c r="M115" i="21"/>
  <c r="N115" i="21" s="1"/>
  <c r="AA9" i="21" s="1"/>
  <c r="L115" i="21"/>
  <c r="M114" i="21"/>
  <c r="L114" i="21"/>
  <c r="M113" i="21"/>
  <c r="L113" i="21"/>
  <c r="M112" i="21"/>
  <c r="N112" i="21" s="1"/>
  <c r="S66" i="21" s="1"/>
  <c r="L112" i="21"/>
  <c r="N111" i="21"/>
  <c r="S65" i="21" s="1"/>
  <c r="M111" i="21"/>
  <c r="L111" i="21"/>
  <c r="M110" i="21"/>
  <c r="N110" i="21" s="1"/>
  <c r="S64" i="21" s="1"/>
  <c r="L110" i="21"/>
  <c r="M109" i="21"/>
  <c r="L109" i="21"/>
  <c r="M108" i="21"/>
  <c r="L108" i="21"/>
  <c r="M105" i="21"/>
  <c r="N105" i="21" s="1"/>
  <c r="S62" i="21" s="1"/>
  <c r="L105" i="21"/>
  <c r="M104" i="21"/>
  <c r="N104" i="21" s="1"/>
  <c r="W44" i="21" s="1"/>
  <c r="L104" i="21"/>
  <c r="M103" i="21"/>
  <c r="L103" i="21"/>
  <c r="N102" i="21"/>
  <c r="M102" i="21"/>
  <c r="L102" i="21"/>
  <c r="M101" i="21"/>
  <c r="N101" i="21" s="1"/>
  <c r="W41" i="21" s="1"/>
  <c r="L101" i="21"/>
  <c r="M99" i="21"/>
  <c r="N99" i="21" s="1"/>
  <c r="W39" i="21" s="1"/>
  <c r="L99" i="21"/>
  <c r="R98" i="21"/>
  <c r="Q98" i="21"/>
  <c r="M98" i="21"/>
  <c r="L98" i="21"/>
  <c r="N98" i="21" s="1"/>
  <c r="W21" i="21" s="1"/>
  <c r="R97" i="21"/>
  <c r="Q97" i="21"/>
  <c r="R96" i="21"/>
  <c r="Q96" i="21"/>
  <c r="R95" i="21"/>
  <c r="Q95" i="21"/>
  <c r="M95" i="21"/>
  <c r="N95" i="21" s="1"/>
  <c r="W20" i="21" s="1"/>
  <c r="L95" i="21"/>
  <c r="R94" i="21"/>
  <c r="Q94" i="21"/>
  <c r="M94" i="21"/>
  <c r="N94" i="21" s="1"/>
  <c r="W19" i="21" s="1"/>
  <c r="L94" i="21"/>
  <c r="R93" i="21"/>
  <c r="Q93" i="21"/>
  <c r="M93" i="21"/>
  <c r="L93" i="21"/>
  <c r="N93" i="21" s="1"/>
  <c r="W18" i="21" s="1"/>
  <c r="R92" i="21"/>
  <c r="Q92" i="21"/>
  <c r="M92" i="21"/>
  <c r="N92" i="21" s="1"/>
  <c r="W17" i="21" s="1"/>
  <c r="L92" i="21"/>
  <c r="R91" i="21"/>
  <c r="Q91" i="21"/>
  <c r="M91" i="21"/>
  <c r="N91" i="21" s="1"/>
  <c r="W16" i="21" s="1"/>
  <c r="L91" i="21"/>
  <c r="R90" i="21"/>
  <c r="Q90" i="21"/>
  <c r="M90" i="21"/>
  <c r="N90" i="21" s="1"/>
  <c r="W25" i="21" s="1"/>
  <c r="L90" i="21"/>
  <c r="R89" i="21"/>
  <c r="Q89" i="21"/>
  <c r="M89" i="21"/>
  <c r="L89" i="21"/>
  <c r="M88" i="21"/>
  <c r="N88" i="21" s="1"/>
  <c r="W23" i="21" s="1"/>
  <c r="L88" i="21"/>
  <c r="R87" i="21"/>
  <c r="Q87" i="21"/>
  <c r="R86" i="21"/>
  <c r="Q86" i="21"/>
  <c r="R85" i="21"/>
  <c r="Q85" i="21"/>
  <c r="N85" i="21"/>
  <c r="S83" i="21" s="1"/>
  <c r="M85" i="21"/>
  <c r="L85" i="21"/>
  <c r="R84" i="21"/>
  <c r="Q84" i="21"/>
  <c r="M84" i="21"/>
  <c r="N84" i="21" s="1"/>
  <c r="S82" i="21" s="1"/>
  <c r="L84" i="21"/>
  <c r="R83" i="21"/>
  <c r="Q83" i="21"/>
  <c r="M83" i="21"/>
  <c r="L83" i="21"/>
  <c r="R82" i="21"/>
  <c r="Q82" i="21"/>
  <c r="M82" i="21"/>
  <c r="N82" i="21" s="1"/>
  <c r="S80" i="21" s="1"/>
  <c r="L82" i="21"/>
  <c r="R81" i="21"/>
  <c r="Q81" i="21"/>
  <c r="M81" i="21"/>
  <c r="N81" i="21" s="1"/>
  <c r="S79" i="21" s="1"/>
  <c r="L81" i="21"/>
  <c r="R80" i="21"/>
  <c r="Q80" i="21"/>
  <c r="M80" i="21"/>
  <c r="L80" i="21"/>
  <c r="R79" i="21"/>
  <c r="Q79" i="21"/>
  <c r="M79" i="21"/>
  <c r="N79" i="21" s="1"/>
  <c r="S77" i="21" s="1"/>
  <c r="L79" i="21"/>
  <c r="R78" i="21"/>
  <c r="Q78" i="21"/>
  <c r="M78" i="21"/>
  <c r="N78" i="21" s="1"/>
  <c r="S76" i="21" s="1"/>
  <c r="L78" i="21"/>
  <c r="R77" i="21"/>
  <c r="Q77" i="21"/>
  <c r="R76" i="21"/>
  <c r="Q76" i="21"/>
  <c r="R75" i="21"/>
  <c r="Q75" i="21"/>
  <c r="M75" i="21"/>
  <c r="L75" i="21"/>
  <c r="R74" i="21"/>
  <c r="Q74" i="21"/>
  <c r="M74" i="21"/>
  <c r="N74" i="21" s="1"/>
  <c r="S74" i="21" s="1"/>
  <c r="L74" i="21"/>
  <c r="R73" i="21"/>
  <c r="Q73" i="21"/>
  <c r="M73" i="21"/>
  <c r="N73" i="21" s="1"/>
  <c r="S73" i="21" s="1"/>
  <c r="L73" i="21"/>
  <c r="V72" i="21"/>
  <c r="U72" i="21"/>
  <c r="R72" i="21"/>
  <c r="Q72" i="21"/>
  <c r="M72" i="21"/>
  <c r="N72" i="21" s="1"/>
  <c r="S72" i="21" s="1"/>
  <c r="L72" i="21"/>
  <c r="V71" i="21"/>
  <c r="U71" i="21"/>
  <c r="R71" i="21"/>
  <c r="Q71" i="21"/>
  <c r="M71" i="21"/>
  <c r="L71" i="21"/>
  <c r="V70" i="21"/>
  <c r="U70" i="21"/>
  <c r="R70" i="21"/>
  <c r="Q70" i="21"/>
  <c r="M70" i="21"/>
  <c r="N70" i="21" s="1"/>
  <c r="S70" i="21" s="1"/>
  <c r="L70" i="21"/>
  <c r="V69" i="21"/>
  <c r="U69" i="21"/>
  <c r="R69" i="21"/>
  <c r="Q69" i="21"/>
  <c r="M69" i="21"/>
  <c r="N69" i="21" s="1"/>
  <c r="S69" i="21" s="1"/>
  <c r="L69" i="21"/>
  <c r="V68" i="21"/>
  <c r="U68" i="21"/>
  <c r="M68" i="21"/>
  <c r="L68" i="21"/>
  <c r="Z67" i="21"/>
  <c r="Y67" i="21"/>
  <c r="V67" i="21"/>
  <c r="U67" i="21"/>
  <c r="R67" i="21"/>
  <c r="Q67" i="21"/>
  <c r="Z66" i="21"/>
  <c r="Y66" i="21"/>
  <c r="V66" i="21"/>
  <c r="U66" i="21"/>
  <c r="R66" i="21"/>
  <c r="Q66" i="21"/>
  <c r="Z65" i="21"/>
  <c r="Y65" i="21"/>
  <c r="V65" i="21"/>
  <c r="U65" i="21"/>
  <c r="R65" i="21"/>
  <c r="Q65" i="21"/>
  <c r="M65" i="21"/>
  <c r="N65" i="21" s="1"/>
  <c r="W65" i="21" s="1"/>
  <c r="L65" i="21"/>
  <c r="Z64" i="21"/>
  <c r="Y64" i="21"/>
  <c r="V64" i="21"/>
  <c r="U64" i="21"/>
  <c r="R64" i="21"/>
  <c r="Q64" i="21"/>
  <c r="M64" i="21"/>
  <c r="L64" i="21"/>
  <c r="N64" i="21" s="1"/>
  <c r="W64" i="21" s="1"/>
  <c r="Z63" i="21"/>
  <c r="Y63" i="21"/>
  <c r="V63" i="21"/>
  <c r="U63" i="21"/>
  <c r="R63" i="21"/>
  <c r="Q63" i="21"/>
  <c r="M63" i="21"/>
  <c r="L63" i="21"/>
  <c r="Z62" i="21"/>
  <c r="Y62" i="21"/>
  <c r="V62" i="21"/>
  <c r="U62" i="21"/>
  <c r="R62" i="21"/>
  <c r="Q62" i="21"/>
  <c r="M62" i="21"/>
  <c r="L62" i="21"/>
  <c r="N62" i="21" s="1"/>
  <c r="W62" i="21" s="1"/>
  <c r="Z61" i="21"/>
  <c r="Y61" i="21"/>
  <c r="V61" i="21"/>
  <c r="U61" i="21"/>
  <c r="R61" i="21"/>
  <c r="Q61" i="21"/>
  <c r="M61" i="21"/>
  <c r="L61" i="21"/>
  <c r="Z60" i="21"/>
  <c r="Y60" i="21"/>
  <c r="V60" i="21"/>
  <c r="U60" i="21"/>
  <c r="R60" i="21"/>
  <c r="Q60" i="21"/>
  <c r="M60" i="21"/>
  <c r="L60" i="21"/>
  <c r="N60" i="21" s="1"/>
  <c r="W60" i="21" s="1"/>
  <c r="Z59" i="21"/>
  <c r="Y59" i="21"/>
  <c r="V59" i="21"/>
  <c r="U59" i="21"/>
  <c r="R59" i="21"/>
  <c r="Q59" i="21"/>
  <c r="M59" i="21"/>
  <c r="L59" i="21"/>
  <c r="Z58" i="21"/>
  <c r="Y58" i="21"/>
  <c r="V58" i="21"/>
  <c r="U58" i="21"/>
  <c r="R58" i="21"/>
  <c r="Q58" i="21"/>
  <c r="M58" i="21"/>
  <c r="L58" i="21"/>
  <c r="Z57" i="21"/>
  <c r="Y57" i="21"/>
  <c r="V57" i="21"/>
  <c r="U57" i="21"/>
  <c r="R57" i="21"/>
  <c r="Q57" i="21"/>
  <c r="Z56" i="21"/>
  <c r="Y56" i="21"/>
  <c r="V56" i="21"/>
  <c r="U56" i="21"/>
  <c r="R56" i="21"/>
  <c r="Q56" i="21"/>
  <c r="V55" i="21"/>
  <c r="U55" i="21"/>
  <c r="R55" i="21"/>
  <c r="Q55" i="21"/>
  <c r="M55" i="21"/>
  <c r="L55" i="21"/>
  <c r="Z54" i="21"/>
  <c r="Y54" i="21"/>
  <c r="M54" i="21"/>
  <c r="L54" i="21"/>
  <c r="V53" i="21"/>
  <c r="U53" i="21"/>
  <c r="R53" i="21"/>
  <c r="Q53" i="21"/>
  <c r="N53" i="21"/>
  <c r="W55" i="21" s="1"/>
  <c r="M53" i="21"/>
  <c r="L53" i="21"/>
  <c r="V52" i="21"/>
  <c r="U52" i="21"/>
  <c r="R52" i="21"/>
  <c r="Q52" i="21"/>
  <c r="M52" i="21"/>
  <c r="L52" i="21"/>
  <c r="Z51" i="21"/>
  <c r="Y51" i="21"/>
  <c r="V51" i="21"/>
  <c r="U51" i="21"/>
  <c r="R51" i="21"/>
  <c r="Q51" i="21"/>
  <c r="N51" i="21"/>
  <c r="AA66" i="21" s="1"/>
  <c r="M51" i="21"/>
  <c r="L51" i="21"/>
  <c r="Z50" i="21"/>
  <c r="Y50" i="21"/>
  <c r="V50" i="21"/>
  <c r="U50" i="21"/>
  <c r="R50" i="21"/>
  <c r="Q50" i="21"/>
  <c r="M50" i="21"/>
  <c r="L50" i="21"/>
  <c r="N50" i="21" s="1"/>
  <c r="AA65" i="21" s="1"/>
  <c r="Z49" i="21"/>
  <c r="Y49" i="21"/>
  <c r="V49" i="21"/>
  <c r="U49" i="21"/>
  <c r="R49" i="21"/>
  <c r="Q49" i="21"/>
  <c r="M49" i="21"/>
  <c r="N49" i="21" s="1"/>
  <c r="AA64" i="21" s="1"/>
  <c r="L49" i="21"/>
  <c r="Z48" i="21"/>
  <c r="Y48" i="21"/>
  <c r="V48" i="21"/>
  <c r="U48" i="21"/>
  <c r="R48" i="21"/>
  <c r="Q48" i="21"/>
  <c r="M48" i="21"/>
  <c r="L48" i="21"/>
  <c r="Z47" i="21"/>
  <c r="Y47" i="21"/>
  <c r="V47" i="21"/>
  <c r="U47" i="21"/>
  <c r="R47" i="21"/>
  <c r="Q47" i="21"/>
  <c r="Z46" i="21"/>
  <c r="Y46" i="21"/>
  <c r="V46" i="21"/>
  <c r="U46" i="21"/>
  <c r="R46" i="21"/>
  <c r="Q46" i="21"/>
  <c r="Z45" i="21"/>
  <c r="Y45" i="21"/>
  <c r="V45" i="21"/>
  <c r="U45" i="21"/>
  <c r="R45" i="21"/>
  <c r="Q45" i="21"/>
  <c r="M45" i="21"/>
  <c r="L45" i="21"/>
  <c r="Z44" i="21"/>
  <c r="Y44" i="21"/>
  <c r="V44" i="21"/>
  <c r="U44" i="21"/>
  <c r="R44" i="21"/>
  <c r="Q44" i="21"/>
  <c r="M44" i="21"/>
  <c r="N44" i="21" s="1"/>
  <c r="AA61" i="21" s="1"/>
  <c r="L44" i="21"/>
  <c r="Z43" i="21"/>
  <c r="Y43" i="21"/>
  <c r="V43" i="21"/>
  <c r="U43" i="21"/>
  <c r="R43" i="21"/>
  <c r="Q43" i="21"/>
  <c r="M43" i="21"/>
  <c r="N43" i="21" s="1"/>
  <c r="AA60" i="21" s="1"/>
  <c r="L43" i="21"/>
  <c r="Z42" i="21"/>
  <c r="Y42" i="21"/>
  <c r="W42" i="21"/>
  <c r="V42" i="21"/>
  <c r="U42" i="21"/>
  <c r="R42" i="21"/>
  <c r="Q42" i="21"/>
  <c r="M42" i="21"/>
  <c r="L42" i="21"/>
  <c r="N42" i="21" s="1"/>
  <c r="AA59" i="21" s="1"/>
  <c r="Z41" i="21"/>
  <c r="Y41" i="21"/>
  <c r="V41" i="21"/>
  <c r="U41" i="21"/>
  <c r="R41" i="21"/>
  <c r="Q41" i="21"/>
  <c r="M41" i="21"/>
  <c r="N41" i="21" s="1"/>
  <c r="AA58" i="21" s="1"/>
  <c r="L41" i="21"/>
  <c r="Z40" i="21"/>
  <c r="Y40" i="21"/>
  <c r="V40" i="21"/>
  <c r="U40" i="21"/>
  <c r="R40" i="21"/>
  <c r="Q40" i="21"/>
  <c r="M40" i="21"/>
  <c r="N40" i="21" s="1"/>
  <c r="AA57" i="21" s="1"/>
  <c r="L40" i="21"/>
  <c r="Z39" i="21"/>
  <c r="Y39" i="21"/>
  <c r="V39" i="21"/>
  <c r="U39" i="21"/>
  <c r="R39" i="21"/>
  <c r="Q39" i="21"/>
  <c r="M39" i="21"/>
  <c r="L39" i="21"/>
  <c r="Z38" i="21"/>
  <c r="Y38" i="21"/>
  <c r="R38" i="21"/>
  <c r="Q38" i="21"/>
  <c r="M38" i="21"/>
  <c r="N38" i="21" s="1"/>
  <c r="AA54" i="21" s="1"/>
  <c r="L38" i="21"/>
  <c r="Z37" i="21"/>
  <c r="Y37" i="21"/>
  <c r="V37" i="21"/>
  <c r="U37" i="21"/>
  <c r="R37" i="21"/>
  <c r="Q37" i="21"/>
  <c r="Z36" i="21"/>
  <c r="Y36" i="21"/>
  <c r="V36" i="21"/>
  <c r="U36" i="21"/>
  <c r="R36" i="21"/>
  <c r="Q36" i="21"/>
  <c r="Z35" i="21"/>
  <c r="Y35" i="21"/>
  <c r="V35" i="21"/>
  <c r="U35" i="21"/>
  <c r="R35" i="21"/>
  <c r="Q35" i="21"/>
  <c r="M35" i="21"/>
  <c r="L35" i="21"/>
  <c r="Z34" i="21"/>
  <c r="Y34" i="21"/>
  <c r="V34" i="21"/>
  <c r="U34" i="21"/>
  <c r="M34" i="21"/>
  <c r="N34" i="21" s="1"/>
  <c r="W46" i="21" s="1"/>
  <c r="L34" i="21"/>
  <c r="Z33" i="21"/>
  <c r="Y33" i="21"/>
  <c r="V33" i="21"/>
  <c r="U33" i="21"/>
  <c r="S33" i="21"/>
  <c r="R33" i="21"/>
  <c r="Q33" i="21"/>
  <c r="M33" i="21"/>
  <c r="N33" i="21" s="1"/>
  <c r="W45" i="21" s="1"/>
  <c r="L33" i="21"/>
  <c r="Z32" i="21"/>
  <c r="Y32" i="21"/>
  <c r="V32" i="21"/>
  <c r="U32" i="21"/>
  <c r="R32" i="21"/>
  <c r="Q32" i="21"/>
  <c r="M32" i="21"/>
  <c r="L32" i="21"/>
  <c r="Z31" i="21"/>
  <c r="Y31" i="21"/>
  <c r="V31" i="21"/>
  <c r="U31" i="21"/>
  <c r="R31" i="21"/>
  <c r="Q31" i="21"/>
  <c r="M31" i="21"/>
  <c r="N31" i="21" s="1"/>
  <c r="W27" i="21" s="1"/>
  <c r="L31" i="21"/>
  <c r="Z30" i="21"/>
  <c r="Y30" i="21"/>
  <c r="V30" i="21"/>
  <c r="U30" i="21"/>
  <c r="R30" i="21"/>
  <c r="Q30" i="21"/>
  <c r="M30" i="21"/>
  <c r="L30" i="21"/>
  <c r="Z29" i="21"/>
  <c r="Y29" i="21"/>
  <c r="V29" i="21"/>
  <c r="U29" i="21"/>
  <c r="R29" i="21"/>
  <c r="Q29" i="21"/>
  <c r="M29" i="21"/>
  <c r="N29" i="21" s="1"/>
  <c r="W50" i="21" s="1"/>
  <c r="L29" i="21"/>
  <c r="Z28" i="21"/>
  <c r="Y28" i="21"/>
  <c r="V28" i="21"/>
  <c r="U28" i="21"/>
  <c r="R28" i="21"/>
  <c r="Q28" i="21"/>
  <c r="M28" i="21"/>
  <c r="N28" i="21" s="1"/>
  <c r="W49" i="21" s="1"/>
  <c r="L28" i="21"/>
  <c r="Z27" i="21"/>
  <c r="Y27" i="21"/>
  <c r="V27" i="21"/>
  <c r="U27" i="21"/>
  <c r="R27" i="21"/>
  <c r="Q27" i="21"/>
  <c r="Z26" i="21"/>
  <c r="Y26" i="21"/>
  <c r="V26" i="21"/>
  <c r="U26" i="21"/>
  <c r="R26" i="21"/>
  <c r="Q26" i="21"/>
  <c r="AA25" i="21"/>
  <c r="Z25" i="21"/>
  <c r="Y25" i="21"/>
  <c r="V25" i="21"/>
  <c r="U25" i="21"/>
  <c r="R25" i="21"/>
  <c r="Q25" i="21"/>
  <c r="M25" i="21"/>
  <c r="N25" i="21" s="1"/>
  <c r="W48" i="21" s="1"/>
  <c r="L25" i="21"/>
  <c r="Z24" i="21"/>
  <c r="Y24" i="21"/>
  <c r="V24" i="21"/>
  <c r="U24" i="21"/>
  <c r="S24" i="21"/>
  <c r="R24" i="21"/>
  <c r="Q24" i="21"/>
  <c r="M24" i="21"/>
  <c r="N24" i="21" s="1"/>
  <c r="W9" i="21" s="1"/>
  <c r="L24" i="21"/>
  <c r="Z23" i="21"/>
  <c r="Y23" i="21"/>
  <c r="V23" i="21"/>
  <c r="U23" i="21"/>
  <c r="R23" i="21"/>
  <c r="Q23" i="21"/>
  <c r="M23" i="21"/>
  <c r="L23" i="21"/>
  <c r="N23" i="21" s="1"/>
  <c r="W8" i="21" s="1"/>
  <c r="Z22" i="21"/>
  <c r="Y22" i="21"/>
  <c r="R22" i="21"/>
  <c r="Q22" i="21"/>
  <c r="M22" i="21"/>
  <c r="L22" i="21"/>
  <c r="Z21" i="21"/>
  <c r="Y21" i="21"/>
  <c r="V21" i="21"/>
  <c r="U21" i="21"/>
  <c r="R21" i="21"/>
  <c r="Q21" i="21"/>
  <c r="N21" i="21"/>
  <c r="M21" i="21"/>
  <c r="L21" i="21"/>
  <c r="V20" i="21"/>
  <c r="U20" i="21"/>
  <c r="R20" i="21"/>
  <c r="Q20" i="21"/>
  <c r="M20" i="21"/>
  <c r="N20" i="21" s="1"/>
  <c r="S11" i="21" s="1"/>
  <c r="L20" i="21"/>
  <c r="V19" i="21"/>
  <c r="U19" i="21"/>
  <c r="R19" i="21"/>
  <c r="Q19" i="21"/>
  <c r="M19" i="21"/>
  <c r="L19" i="21"/>
  <c r="N19" i="21" s="1"/>
  <c r="S10" i="21" s="1"/>
  <c r="Z18" i="21"/>
  <c r="Y18" i="21"/>
  <c r="V18" i="21"/>
  <c r="U18" i="21"/>
  <c r="R18" i="21"/>
  <c r="Q18" i="21"/>
  <c r="M18" i="21"/>
  <c r="L18" i="21"/>
  <c r="Z17" i="21"/>
  <c r="Y17" i="21"/>
  <c r="V17" i="21"/>
  <c r="U17" i="21"/>
  <c r="R17" i="21"/>
  <c r="Q17" i="21"/>
  <c r="Z16" i="21"/>
  <c r="Y16" i="21"/>
  <c r="V16" i="21"/>
  <c r="U16" i="21"/>
  <c r="R16" i="21"/>
  <c r="Q16" i="21"/>
  <c r="Z15" i="21"/>
  <c r="Y15" i="21"/>
  <c r="V15" i="21"/>
  <c r="U15" i="21"/>
  <c r="R15" i="21"/>
  <c r="Q15" i="21"/>
  <c r="M15" i="21"/>
  <c r="N15" i="21" s="1"/>
  <c r="S61" i="21" s="1"/>
  <c r="L15" i="21"/>
  <c r="Z14" i="21"/>
  <c r="Y14" i="21"/>
  <c r="V14" i="21"/>
  <c r="U14" i="21"/>
  <c r="R14" i="21"/>
  <c r="Q14" i="21"/>
  <c r="M14" i="21"/>
  <c r="N14" i="21" s="1"/>
  <c r="S60" i="21" s="1"/>
  <c r="L14" i="21"/>
  <c r="Z13" i="21"/>
  <c r="Y13" i="21"/>
  <c r="V13" i="21"/>
  <c r="U13" i="21"/>
  <c r="R13" i="21"/>
  <c r="Q13" i="21"/>
  <c r="M13" i="21"/>
  <c r="N13" i="21" s="1"/>
  <c r="S59" i="21" s="1"/>
  <c r="L13" i="21"/>
  <c r="Z12" i="21"/>
  <c r="Y12" i="21"/>
  <c r="V12" i="21"/>
  <c r="U12" i="21"/>
  <c r="S12" i="21"/>
  <c r="R12" i="21"/>
  <c r="Q12" i="21"/>
  <c r="M12" i="21"/>
  <c r="L12" i="21"/>
  <c r="Z11" i="21"/>
  <c r="Y11" i="21"/>
  <c r="V11" i="21"/>
  <c r="U11" i="21"/>
  <c r="R11" i="21"/>
  <c r="Q11" i="21"/>
  <c r="M11" i="21"/>
  <c r="L11" i="21"/>
  <c r="Z10" i="21"/>
  <c r="Y10" i="21"/>
  <c r="V10" i="21"/>
  <c r="U10" i="21"/>
  <c r="R10" i="21"/>
  <c r="Q10" i="21"/>
  <c r="M10" i="21"/>
  <c r="L10" i="21"/>
  <c r="N10" i="21" s="1"/>
  <c r="S50" i="21" s="1"/>
  <c r="Z9" i="21"/>
  <c r="Y9" i="21"/>
  <c r="V9" i="21"/>
  <c r="U9" i="21"/>
  <c r="R9" i="21"/>
  <c r="Q9" i="21"/>
  <c r="M9" i="21"/>
  <c r="L9" i="21"/>
  <c r="N9" i="21" s="1"/>
  <c r="S9" i="21" s="1"/>
  <c r="V8" i="21"/>
  <c r="U8" i="21"/>
  <c r="R8" i="21"/>
  <c r="Q8" i="21"/>
  <c r="M8" i="21"/>
  <c r="N8" i="21" s="1"/>
  <c r="S8" i="21" s="1"/>
  <c r="L8" i="21"/>
  <c r="Z7" i="21"/>
  <c r="Y7" i="21"/>
  <c r="V7" i="21"/>
  <c r="U7" i="21"/>
  <c r="R7" i="21"/>
  <c r="Q7" i="21"/>
  <c r="N30" i="21" l="1"/>
  <c r="W26" i="21" s="1"/>
  <c r="N124" i="21"/>
  <c r="AA27" i="21" s="1"/>
  <c r="N183" i="21"/>
  <c r="W29" i="21" s="1"/>
  <c r="N75" i="21"/>
  <c r="S75" i="21" s="1"/>
  <c r="N80" i="21"/>
  <c r="S78" i="21" s="1"/>
  <c r="N89" i="21"/>
  <c r="W24" i="21" s="1"/>
  <c r="N108" i="21"/>
  <c r="W40" i="21" s="1"/>
  <c r="N114" i="21"/>
  <c r="AA7" i="21" s="1"/>
  <c r="N129" i="21"/>
  <c r="AA11" i="21" s="1"/>
  <c r="N135" i="21"/>
  <c r="AA17" i="21" s="1"/>
  <c r="N158" i="21"/>
  <c r="AA44" i="21" s="1"/>
  <c r="N173" i="21"/>
  <c r="S19" i="21" s="1"/>
  <c r="N179" i="21"/>
  <c r="S86" i="21" s="1"/>
  <c r="N194" i="21"/>
  <c r="S28" i="21" s="1"/>
  <c r="N215" i="21"/>
  <c r="S93" i="21" s="1"/>
  <c r="N238" i="21"/>
  <c r="S35" i="21" s="1"/>
  <c r="N253" i="21"/>
  <c r="S46" i="21" s="1"/>
  <c r="AF10" i="21" s="1"/>
  <c r="N68" i="21"/>
  <c r="W66" i="21" s="1"/>
  <c r="N103" i="21"/>
  <c r="W43" i="21" s="1"/>
  <c r="N168" i="21"/>
  <c r="S13" i="21" s="1"/>
  <c r="N204" i="21"/>
  <c r="S53" i="21" s="1"/>
  <c r="N22" i="21"/>
  <c r="W7" i="21" s="1"/>
  <c r="N48" i="21"/>
  <c r="AA63" i="21" s="1"/>
  <c r="N55" i="21"/>
  <c r="W57" i="21" s="1"/>
  <c r="N138" i="21"/>
  <c r="AA18" i="21" s="1"/>
  <c r="N18" i="21"/>
  <c r="AI8" i="21" s="1"/>
  <c r="N145" i="21"/>
  <c r="AA35" i="21" s="1"/>
  <c r="N45" i="21"/>
  <c r="AA62" i="21" s="1"/>
  <c r="N58" i="21"/>
  <c r="W58" i="21" s="1"/>
  <c r="AH19" i="21" s="1"/>
  <c r="AJ19" i="21" s="1"/>
  <c r="N71" i="21"/>
  <c r="S71" i="21" s="1"/>
  <c r="N133" i="21"/>
  <c r="AA15" i="21" s="1"/>
  <c r="N154" i="21"/>
  <c r="AA42" i="21" s="1"/>
  <c r="N169" i="21"/>
  <c r="S14" i="21" s="1"/>
  <c r="AE9" i="21" s="1"/>
  <c r="N175" i="21"/>
  <c r="S21" i="21" s="1"/>
  <c r="AE10" i="21" s="1"/>
  <c r="N213" i="21"/>
  <c r="S90" i="21" s="1"/>
  <c r="N219" i="21"/>
  <c r="W14" i="21" s="1"/>
  <c r="N228" i="21"/>
  <c r="S22" i="21" s="1"/>
  <c r="N234" i="21"/>
  <c r="W33" i="21" s="1"/>
  <c r="N249" i="21"/>
  <c r="S42" i="21" s="1"/>
  <c r="N255" i="21"/>
  <c r="S48" i="21" s="1"/>
  <c r="N39" i="21"/>
  <c r="AA56" i="21" s="1"/>
  <c r="N109" i="21"/>
  <c r="S63" i="21" s="1"/>
  <c r="N189" i="21"/>
  <c r="S30" i="21" s="1"/>
  <c r="N263" i="21"/>
  <c r="W35" i="21" s="1"/>
  <c r="N32" i="21"/>
  <c r="W28" i="21" s="1"/>
  <c r="N225" i="21"/>
  <c r="S98" i="21" s="1"/>
  <c r="N11" i="21"/>
  <c r="S51" i="21" s="1"/>
  <c r="AF9" i="21" s="1"/>
  <c r="N12" i="21"/>
  <c r="S52" i="21" s="1"/>
  <c r="N35" i="21"/>
  <c r="W47" i="21" s="1"/>
  <c r="N52" i="21"/>
  <c r="AA67" i="21" s="1"/>
  <c r="N54" i="21"/>
  <c r="W56" i="21" s="1"/>
  <c r="N59" i="21"/>
  <c r="W59" i="21" s="1"/>
  <c r="N61" i="21"/>
  <c r="W61" i="21" s="1"/>
  <c r="N63" i="21"/>
  <c r="W63" i="21" s="1"/>
  <c r="N83" i="21"/>
  <c r="S81" i="21" s="1"/>
  <c r="AH10" i="21" s="1"/>
  <c r="AJ10" i="21" s="1"/>
  <c r="N113" i="21"/>
  <c r="S67" i="21" s="1"/>
  <c r="N119" i="21"/>
  <c r="AA22" i="21" s="1"/>
  <c r="N134" i="21"/>
  <c r="AA16" i="21" s="1"/>
  <c r="N149" i="21"/>
  <c r="AA37" i="21" s="1"/>
  <c r="N155" i="21"/>
  <c r="AA43" i="21" s="1"/>
  <c r="N178" i="21"/>
  <c r="S85" i="21" s="1"/>
  <c r="N193" i="21"/>
  <c r="S27" i="21" s="1"/>
  <c r="N199" i="21"/>
  <c r="W68" i="21" s="1"/>
  <c r="N214" i="21"/>
  <c r="S91" i="21" s="1"/>
  <c r="N229" i="21"/>
  <c r="S23" i="21" s="1"/>
  <c r="N235" i="21"/>
  <c r="W34" i="21" s="1"/>
  <c r="N258" i="21"/>
  <c r="S84" i="21" s="1"/>
  <c r="AH8" i="21" s="1"/>
  <c r="AJ8" i="21" s="1"/>
  <c r="AE21" i="21"/>
  <c r="AI21" i="21" s="1"/>
  <c r="AH12" i="21"/>
  <c r="AJ12" i="21" s="1"/>
  <c r="AH11" i="21"/>
  <c r="AJ11" i="21" s="1"/>
  <c r="AG19" i="21"/>
  <c r="AG21" i="21"/>
  <c r="AH20" i="21"/>
  <c r="AJ20" i="21" s="1"/>
  <c r="AH9" i="21"/>
  <c r="AJ9" i="21" s="1"/>
  <c r="AF21" i="21"/>
  <c r="O54" i="12"/>
  <c r="O61" i="12"/>
  <c r="O57" i="12"/>
  <c r="H103" i="12"/>
  <c r="H102" i="12"/>
  <c r="H101" i="12"/>
  <c r="H100" i="12"/>
  <c r="H99" i="12"/>
  <c r="G103" i="12"/>
  <c r="G102" i="12"/>
  <c r="G101" i="12"/>
  <c r="G100" i="12"/>
  <c r="G99" i="12"/>
  <c r="Q94" i="12"/>
  <c r="Q93" i="12"/>
  <c r="Q92" i="12"/>
  <c r="Q91" i="12"/>
  <c r="Q90" i="12"/>
  <c r="Q89" i="12"/>
  <c r="Q87" i="12"/>
  <c r="O87" i="12"/>
  <c r="Q86" i="12"/>
  <c r="P86" i="12"/>
  <c r="Q85" i="12"/>
  <c r="P85" i="12"/>
  <c r="O85" i="12"/>
  <c r="Q84" i="12"/>
  <c r="Q81" i="12"/>
  <c r="Q80" i="12"/>
  <c r="Q78" i="12"/>
  <c r="Q73" i="12"/>
  <c r="Q72" i="12"/>
  <c r="P72" i="12"/>
  <c r="O72" i="12"/>
  <c r="N72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N89" i="12"/>
  <c r="O86" i="12"/>
  <c r="N86" i="12"/>
  <c r="P87" i="12"/>
  <c r="N87" i="12"/>
  <c r="P84" i="12"/>
  <c r="O84" i="12"/>
  <c r="N84" i="12"/>
  <c r="P81" i="12"/>
  <c r="O81" i="12"/>
  <c r="P80" i="12"/>
  <c r="O80" i="12"/>
  <c r="N80" i="12"/>
  <c r="P78" i="12"/>
  <c r="O78" i="12"/>
  <c r="N78" i="12"/>
  <c r="P73" i="12"/>
  <c r="O73" i="12"/>
  <c r="N92" i="12"/>
  <c r="M92" i="12"/>
  <c r="L92" i="12"/>
  <c r="K92" i="12"/>
  <c r="J92" i="12"/>
  <c r="N85" i="12"/>
  <c r="M85" i="12"/>
  <c r="L85" i="12"/>
  <c r="K85" i="12"/>
  <c r="J85" i="12"/>
  <c r="M72" i="12"/>
  <c r="K72" i="12"/>
  <c r="J72" i="12"/>
  <c r="M87" i="12"/>
  <c r="L87" i="12"/>
  <c r="K87" i="12"/>
  <c r="M86" i="12"/>
  <c r="L86" i="12"/>
  <c r="K86" i="12"/>
  <c r="L74" i="12"/>
  <c r="AJ74" i="12" s="1"/>
  <c r="L72" i="12"/>
  <c r="AI10" i="21" l="1"/>
  <c r="AI9" i="21"/>
  <c r="X73" i="12"/>
  <c r="AG73" i="12" s="1"/>
  <c r="AH73" i="12"/>
  <c r="AD73" i="12"/>
  <c r="AJ73" i="12"/>
  <c r="AH85" i="12"/>
  <c r="AH84" i="12"/>
  <c r="X84" i="12"/>
  <c r="AG84" i="12" s="1"/>
  <c r="AC84" i="12"/>
  <c r="AJ90" i="12"/>
  <c r="AB90" i="12"/>
  <c r="AI90" i="12"/>
  <c r="AH90" i="12"/>
  <c r="X90" i="12"/>
  <c r="AD90" i="12" s="1"/>
  <c r="AF90" i="12"/>
  <c r="AG90" i="12"/>
  <c r="AE90" i="12"/>
  <c r="AI20" i="21"/>
  <c r="AB78" i="12"/>
  <c r="AI78" i="12"/>
  <c r="AE78" i="12"/>
  <c r="AD78" i="12"/>
  <c r="X78" i="12"/>
  <c r="AH78" i="12" s="1"/>
  <c r="X89" i="12"/>
  <c r="AK89" i="12" s="1"/>
  <c r="AH89" i="12"/>
  <c r="AJ85" i="12"/>
  <c r="AM72" i="12"/>
  <c r="AM85" i="12"/>
  <c r="AH91" i="12"/>
  <c r="AG91" i="12"/>
  <c r="X91" i="12"/>
  <c r="AF91" i="12" s="1"/>
  <c r="AI91" i="12"/>
  <c r="AE91" i="12"/>
  <c r="AK91" i="12"/>
  <c r="AD91" i="12"/>
  <c r="AH92" i="12"/>
  <c r="X86" i="12"/>
  <c r="AM86" i="12" s="1"/>
  <c r="AH86" i="12"/>
  <c r="AI85" i="12"/>
  <c r="AK85" i="12"/>
  <c r="AM73" i="12"/>
  <c r="AM92" i="12"/>
  <c r="AD72" i="12"/>
  <c r="X72" i="12"/>
  <c r="AJ72" i="12" s="1"/>
  <c r="AE85" i="12"/>
  <c r="AF85" i="12"/>
  <c r="AB85" i="12"/>
  <c r="AG85" i="12"/>
  <c r="X85" i="12"/>
  <c r="AD85" i="12"/>
  <c r="AC85" i="12"/>
  <c r="AD92" i="12"/>
  <c r="AC92" i="12"/>
  <c r="AB92" i="12"/>
  <c r="AF92" i="12"/>
  <c r="AE92" i="12"/>
  <c r="X92" i="12"/>
  <c r="AK92" i="12" s="1"/>
  <c r="AG92" i="12"/>
  <c r="AE93" i="12"/>
  <c r="AD93" i="12"/>
  <c r="AH93" i="12"/>
  <c r="AG93" i="12"/>
  <c r="X93" i="12"/>
  <c r="AK93" i="12" s="1"/>
  <c r="AI93" i="12"/>
  <c r="AB93" i="12"/>
  <c r="AH21" i="21"/>
  <c r="AJ21" i="21" s="1"/>
  <c r="AH72" i="12"/>
  <c r="X94" i="12"/>
  <c r="AE94" i="12" s="1"/>
  <c r="AC94" i="12"/>
  <c r="AJ94" i="12"/>
  <c r="AB94" i="12"/>
  <c r="AF94" i="12"/>
  <c r="AH94" i="12"/>
  <c r="AI72" i="12"/>
  <c r="AI92" i="12"/>
  <c r="AM78" i="12"/>
  <c r="AM84" i="12"/>
  <c r="X80" i="12"/>
  <c r="AH80" i="12" s="1"/>
  <c r="AJ80" i="12"/>
  <c r="AB80" i="12"/>
  <c r="AI80" i="12"/>
  <c r="AC80" i="12"/>
  <c r="AE80" i="12"/>
  <c r="AK72" i="12"/>
  <c r="AJ92" i="12"/>
  <c r="AM90" i="12"/>
  <c r="AM94" i="12"/>
  <c r="X81" i="12"/>
  <c r="AF81" i="12" s="1"/>
  <c r="AE81" i="12"/>
  <c r="AD81" i="12"/>
  <c r="AH81" i="12"/>
  <c r="AG81" i="12"/>
  <c r="AK81" i="12"/>
  <c r="AJ81" i="12"/>
  <c r="AC81" i="12"/>
  <c r="AB87" i="12"/>
  <c r="X87" i="12"/>
  <c r="AG87" i="12" s="1"/>
  <c r="AD87" i="12"/>
  <c r="AC87" i="12"/>
  <c r="AG20" i="21"/>
  <c r="AF20" i="21"/>
  <c r="AI19" i="21"/>
  <c r="AD89" i="12" l="1"/>
  <c r="AM81" i="12"/>
  <c r="AD86" i="12"/>
  <c r="AE89" i="12"/>
  <c r="AM87" i="12"/>
  <c r="AD84" i="12"/>
  <c r="AM89" i="12"/>
  <c r="AE73" i="12"/>
  <c r="AG89" i="12"/>
  <c r="AH87" i="12"/>
  <c r="AI86" i="12"/>
  <c r="AF80" i="12"/>
  <c r="AG94" i="12"/>
  <c r="AK94" i="12"/>
  <c r="AJ93" i="12"/>
  <c r="AF93" i="12"/>
  <c r="AC86" i="12"/>
  <c r="AB89" i="12"/>
  <c r="AF78" i="12"/>
  <c r="AJ78" i="12"/>
  <c r="AK90" i="12"/>
  <c r="AM91" i="12"/>
  <c r="AB84" i="12"/>
  <c r="AF73" i="12"/>
  <c r="AB73" i="12"/>
  <c r="AF89" i="12"/>
  <c r="AI84" i="12"/>
  <c r="AE87" i="12"/>
  <c r="AK87" i="12"/>
  <c r="AB72" i="12"/>
  <c r="AJ87" i="12"/>
  <c r="AB91" i="12"/>
  <c r="AI87" i="12"/>
  <c r="AJ89" i="12"/>
  <c r="AC78" i="12"/>
  <c r="AK86" i="12"/>
  <c r="AJ84" i="12"/>
  <c r="AI73" i="12"/>
  <c r="AC73" i="12"/>
  <c r="AJ86" i="12"/>
  <c r="AI94" i="12"/>
  <c r="AJ91" i="12"/>
  <c r="AM80" i="12"/>
  <c r="AC89" i="12"/>
  <c r="AG78" i="12"/>
  <c r="AK78" i="12"/>
  <c r="AC90" i="12"/>
  <c r="AE84" i="12"/>
  <c r="AF84" i="12"/>
  <c r="AK73" i="12"/>
  <c r="AB86" i="12"/>
  <c r="AF87" i="12"/>
  <c r="AB81" i="12"/>
  <c r="AD80" i="12"/>
  <c r="AG80" i="12"/>
  <c r="AD94" i="12"/>
  <c r="AC93" i="12"/>
  <c r="AC72" i="12"/>
  <c r="AI81" i="12"/>
  <c r="AK80" i="12"/>
  <c r="AM93" i="12"/>
  <c r="AE72" i="12"/>
  <c r="AC91" i="12"/>
  <c r="AI89" i="12"/>
  <c r="AK84" i="12"/>
  <c r="I86" i="12"/>
  <c r="AG86" i="12" s="1"/>
  <c r="I72" i="12"/>
  <c r="AG72" i="12" s="1"/>
  <c r="N61" i="12" l="1"/>
  <c r="N57" i="12"/>
  <c r="H86" i="12"/>
  <c r="H72" i="12"/>
  <c r="AF72" i="12" s="1"/>
  <c r="M53" i="12"/>
  <c r="L53" i="12"/>
  <c r="K53" i="12"/>
  <c r="M57" i="12"/>
  <c r="L57" i="12"/>
  <c r="V10" i="18"/>
  <c r="V9" i="18"/>
  <c r="V8" i="18"/>
  <c r="V4" i="18"/>
  <c r="V3" i="18"/>
  <c r="Q65" i="16"/>
  <c r="I65" i="16"/>
  <c r="H65" i="16"/>
  <c r="K65" i="16" s="1"/>
  <c r="Q64" i="16"/>
  <c r="I64" i="16"/>
  <c r="H64" i="16"/>
  <c r="K64" i="16" s="1"/>
  <c r="Q63" i="16"/>
  <c r="I63" i="16"/>
  <c r="H63" i="16"/>
  <c r="K63" i="16" s="1"/>
  <c r="Q62" i="16"/>
  <c r="I62" i="16"/>
  <c r="H62" i="16"/>
  <c r="K62" i="16" s="1"/>
  <c r="Q61" i="16"/>
  <c r="I61" i="16"/>
  <c r="H61" i="16"/>
  <c r="K61" i="16" s="1"/>
  <c r="Q60" i="16"/>
  <c r="I60" i="16"/>
  <c r="H60" i="16"/>
  <c r="K60" i="16" s="1"/>
  <c r="M60" i="16" s="1"/>
  <c r="Q59" i="16"/>
  <c r="I59" i="16"/>
  <c r="H59" i="16"/>
  <c r="K59" i="16" s="1"/>
  <c r="Q58" i="16"/>
  <c r="I58" i="16"/>
  <c r="H58" i="16"/>
  <c r="K58" i="16" s="1"/>
  <c r="Q57" i="16"/>
  <c r="I57" i="16"/>
  <c r="H57" i="16"/>
  <c r="K57" i="16" s="1"/>
  <c r="Q56" i="16"/>
  <c r="I56" i="16"/>
  <c r="H56" i="16"/>
  <c r="K56" i="16" s="1"/>
  <c r="Q55" i="16"/>
  <c r="I55" i="16"/>
  <c r="H55" i="16"/>
  <c r="K55" i="16" s="1"/>
  <c r="Q54" i="16"/>
  <c r="I54" i="16"/>
  <c r="H54" i="16"/>
  <c r="K54" i="16" s="1"/>
  <c r="M54" i="16" s="1"/>
  <c r="Q53" i="16"/>
  <c r="I53" i="16"/>
  <c r="H53" i="16"/>
  <c r="K53" i="16" s="1"/>
  <c r="Q52" i="16"/>
  <c r="I52" i="16"/>
  <c r="H52" i="16"/>
  <c r="K52" i="16" s="1"/>
  <c r="M52" i="16" s="1"/>
  <c r="Q51" i="16"/>
  <c r="I51" i="16"/>
  <c r="H51" i="16"/>
  <c r="K51" i="16" s="1"/>
  <c r="Q50" i="16"/>
  <c r="I50" i="16"/>
  <c r="H50" i="16"/>
  <c r="K50" i="16" s="1"/>
  <c r="Q49" i="16"/>
  <c r="I49" i="16"/>
  <c r="H49" i="16"/>
  <c r="K49" i="16" s="1"/>
  <c r="Q48" i="16"/>
  <c r="I48" i="16"/>
  <c r="H48" i="16"/>
  <c r="K48" i="16" s="1"/>
  <c r="Q47" i="16"/>
  <c r="I47" i="16"/>
  <c r="H47" i="16"/>
  <c r="K47" i="16" s="1"/>
  <c r="Q46" i="16"/>
  <c r="I46" i="16"/>
  <c r="H46" i="16"/>
  <c r="K46" i="16" s="1"/>
  <c r="M46" i="16" s="1"/>
  <c r="Q45" i="16"/>
  <c r="I45" i="16"/>
  <c r="H45" i="16"/>
  <c r="K45" i="16" s="1"/>
  <c r="Q44" i="16"/>
  <c r="I44" i="16"/>
  <c r="H44" i="16"/>
  <c r="K44" i="16" s="1"/>
  <c r="M44" i="16" s="1"/>
  <c r="Q43" i="16"/>
  <c r="I43" i="16"/>
  <c r="H43" i="16"/>
  <c r="K43" i="16" s="1"/>
  <c r="Q42" i="16"/>
  <c r="I42" i="16"/>
  <c r="H42" i="16"/>
  <c r="K42" i="16" s="1"/>
  <c r="Q41" i="16"/>
  <c r="I41" i="16"/>
  <c r="H41" i="16"/>
  <c r="K41" i="16" s="1"/>
  <c r="Q40" i="16"/>
  <c r="I40" i="16"/>
  <c r="H40" i="16"/>
  <c r="K40" i="16" s="1"/>
  <c r="Q39" i="16"/>
  <c r="I39" i="16"/>
  <c r="H39" i="16"/>
  <c r="K39" i="16" s="1"/>
  <c r="Q38" i="16"/>
  <c r="I38" i="16"/>
  <c r="H38" i="16"/>
  <c r="K38" i="16" s="1"/>
  <c r="M38" i="16" s="1"/>
  <c r="Q37" i="16"/>
  <c r="I37" i="16"/>
  <c r="H37" i="16"/>
  <c r="K37" i="16" s="1"/>
  <c r="Q36" i="16"/>
  <c r="I36" i="16"/>
  <c r="H36" i="16"/>
  <c r="K36" i="16" s="1"/>
  <c r="M36" i="16" s="1"/>
  <c r="Q35" i="16"/>
  <c r="I35" i="16"/>
  <c r="H35" i="16"/>
  <c r="K35" i="16" s="1"/>
  <c r="Q34" i="16"/>
  <c r="I34" i="16"/>
  <c r="H34" i="16"/>
  <c r="K34" i="16" s="1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A186" i="15"/>
  <c r="A125" i="15"/>
  <c r="A97" i="15"/>
  <c r="A69" i="15"/>
  <c r="A41" i="15"/>
  <c r="AE86" i="12" l="1"/>
  <c r="AF86" i="12"/>
  <c r="M40" i="16"/>
  <c r="M48" i="16"/>
  <c r="M56" i="16"/>
  <c r="M64" i="16"/>
  <c r="M35" i="16"/>
  <c r="M43" i="16"/>
  <c r="M51" i="16"/>
  <c r="M59" i="16"/>
  <c r="M34" i="16"/>
  <c r="M42" i="16"/>
  <c r="M50" i="16"/>
  <c r="M58" i="16"/>
  <c r="M62" i="16"/>
  <c r="V11" i="18"/>
  <c r="M41" i="16"/>
  <c r="M49" i="16"/>
  <c r="M57" i="16"/>
  <c r="M65" i="16"/>
  <c r="M39" i="16"/>
  <c r="M47" i="16"/>
  <c r="M55" i="16"/>
  <c r="M63" i="16"/>
  <c r="M37" i="16"/>
  <c r="M45" i="16"/>
  <c r="M53" i="16"/>
  <c r="M61" i="16"/>
  <c r="V5" i="18"/>
  <c r="J34" i="16"/>
  <c r="L34" i="16" s="1"/>
  <c r="J35" i="16"/>
  <c r="L35" i="16" s="1"/>
  <c r="N35" i="16" s="1"/>
  <c r="J36" i="16"/>
  <c r="L36" i="16" s="1"/>
  <c r="N36" i="16" s="1"/>
  <c r="J37" i="16"/>
  <c r="L37" i="16" s="1"/>
  <c r="N37" i="16" s="1"/>
  <c r="J38" i="16"/>
  <c r="L38" i="16" s="1"/>
  <c r="N38" i="16" s="1"/>
  <c r="J39" i="16"/>
  <c r="L39" i="16" s="1"/>
  <c r="J40" i="16"/>
  <c r="L40" i="16" s="1"/>
  <c r="N40" i="16" s="1"/>
  <c r="J41" i="16"/>
  <c r="L41" i="16" s="1"/>
  <c r="N41" i="16" s="1"/>
  <c r="J42" i="16"/>
  <c r="L42" i="16" s="1"/>
  <c r="J43" i="16"/>
  <c r="L43" i="16" s="1"/>
  <c r="J44" i="16"/>
  <c r="L44" i="16" s="1"/>
  <c r="N44" i="16" s="1"/>
  <c r="J45" i="16"/>
  <c r="L45" i="16" s="1"/>
  <c r="J46" i="16"/>
  <c r="L46" i="16" s="1"/>
  <c r="N46" i="16" s="1"/>
  <c r="J47" i="16"/>
  <c r="L47" i="16" s="1"/>
  <c r="J48" i="16"/>
  <c r="L48" i="16" s="1"/>
  <c r="N48" i="16" s="1"/>
  <c r="J49" i="16"/>
  <c r="L49" i="16" s="1"/>
  <c r="J50" i="16"/>
  <c r="L50" i="16" s="1"/>
  <c r="J51" i="16"/>
  <c r="L51" i="16" s="1"/>
  <c r="N51" i="16" s="1"/>
  <c r="J52" i="16"/>
  <c r="L52" i="16" s="1"/>
  <c r="N52" i="16" s="1"/>
  <c r="J53" i="16"/>
  <c r="L53" i="16" s="1"/>
  <c r="N53" i="16" s="1"/>
  <c r="J54" i="16"/>
  <c r="L54" i="16" s="1"/>
  <c r="N54" i="16" s="1"/>
  <c r="J55" i="16"/>
  <c r="L55" i="16" s="1"/>
  <c r="J56" i="16"/>
  <c r="L56" i="16" s="1"/>
  <c r="J57" i="16"/>
  <c r="L57" i="16" s="1"/>
  <c r="N57" i="16" s="1"/>
  <c r="J58" i="16"/>
  <c r="L58" i="16" s="1"/>
  <c r="N58" i="16" s="1"/>
  <c r="J59" i="16"/>
  <c r="L59" i="16" s="1"/>
  <c r="N59" i="16" s="1"/>
  <c r="J60" i="16"/>
  <c r="L60" i="16" s="1"/>
  <c r="N60" i="16" s="1"/>
  <c r="J61" i="16"/>
  <c r="L61" i="16" s="1"/>
  <c r="J62" i="16"/>
  <c r="L62" i="16" s="1"/>
  <c r="N62" i="16" s="1"/>
  <c r="J63" i="16"/>
  <c r="L63" i="16" s="1"/>
  <c r="J64" i="16"/>
  <c r="L64" i="16" s="1"/>
  <c r="N64" i="16" s="1"/>
  <c r="J65" i="16"/>
  <c r="L65" i="16" s="1"/>
  <c r="N65" i="16" s="1"/>
  <c r="N34" i="16" l="1"/>
  <c r="N50" i="16"/>
  <c r="N42" i="16"/>
  <c r="N56" i="16"/>
  <c r="N61" i="16"/>
  <c r="N43" i="16"/>
  <c r="N45" i="16"/>
  <c r="N49" i="16"/>
  <c r="N63" i="16"/>
  <c r="N55" i="16"/>
  <c r="N47" i="16"/>
  <c r="N39" i="16"/>
  <c r="G90" i="10" l="1"/>
  <c r="P9" i="10" s="1"/>
  <c r="P10" i="10" s="1"/>
  <c r="F90" i="10"/>
  <c r="G64" i="10"/>
  <c r="F64" i="10"/>
  <c r="F63" i="10"/>
  <c r="F61" i="10"/>
  <c r="Q8" i="10" s="1"/>
  <c r="F60" i="10"/>
  <c r="F56" i="10"/>
  <c r="G49" i="10"/>
  <c r="Q4" i="10" s="1"/>
  <c r="Q9" i="10" l="1"/>
  <c r="Q1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Faucheux</author>
    <author>tc</author>
  </authors>
  <commentList>
    <comment ref="I238" authorId="0" shapeId="0" xr:uid="{72F216BE-A000-4BD2-A880-5CA48A3524F5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7000 RPM, 0.30g of soil lost from bottom of centrifuge can.   </t>
        </r>
      </text>
    </comment>
    <comment ref="D279" authorId="0" shapeId="0" xr:uid="{C5249DDD-DE04-4966-A828-EED8B39AEC28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0.10g
Can + Lid Weight: 215.00</t>
        </r>
      </text>
    </comment>
    <comment ref="I279" authorId="0" shapeId="0" xr:uid="{7627B0DA-3F62-49DE-8175-3104B84C12B6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0.09g
Can + Lid Weight: 214.90</t>
        </r>
      </text>
    </comment>
    <comment ref="N279" authorId="0" shapeId="0" xr:uid="{86ABDA19-C587-4995-BC93-BCDEE364CDE6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0.10g
Can + Lid Weight: 214.89</t>
        </r>
      </text>
    </comment>
    <comment ref="S279" authorId="0" shapeId="0" xr:uid="{2CF3CB8A-855B-434B-A905-5584E31DFFA0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0.09g
Can + Lid Weight: 214.59</t>
        </r>
      </text>
    </comment>
    <comment ref="D307" authorId="0" shapeId="0" xr:uid="{83A50F69-CB6A-4D6B-A59E-FA9847EFC788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0.09g
Can + Lid Weight: 215.07</t>
        </r>
      </text>
    </comment>
    <comment ref="I307" authorId="0" shapeId="0" xr:uid="{13819182-7F90-4532-BD99-948B7D05A037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0.09g
Can + Lid Weight: 215.03</t>
        </r>
      </text>
    </comment>
    <comment ref="N307" authorId="0" shapeId="0" xr:uid="{AE0A5EEB-0148-48D3-BDD2-A562326A70AC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0.10g
Can + Lid Weight: 214.90</t>
        </r>
      </text>
    </comment>
    <comment ref="S307" authorId="0" shapeId="0" xr:uid="{48C5DA52-6921-460E-BA18-609F02E0C1BE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Filter Paper Weight: 0.09g
Can + Lid Weight: 214.66</t>
        </r>
      </text>
    </comment>
    <comment ref="N517" authorId="1" shapeId="0" xr:uid="{B313D703-DF4F-4D5E-B7B3-2E5B94377C9F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some soil lost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tingting chang</author>
    <author>Mitchell Faucheux</author>
    <author>tc</author>
  </authors>
  <commentList>
    <comment ref="K5" authorId="0" shapeId="0" xr:uid="{777B35BE-9B32-4FE0-A464-3340DF89EE7E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I5" authorId="0" shapeId="0" xr:uid="{0F2D3CE9-AF92-4410-8068-C937244542C9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R10" authorId="0" shapeId="0" xr:uid="{72EED350-EDF6-492E-99D1-C8567960A5BB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question 3-1: This should less than 40.93?</t>
        </r>
      </text>
    </comment>
    <comment ref="N11" authorId="0" shapeId="0" xr:uid="{B5905329-4CFD-483F-9A24-4800C0C2AD01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AL11" authorId="0" shapeId="0" xr:uid="{811214D5-74E2-4823-B278-C38A01B5849E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N12" authorId="0" shapeId="0" xr:uid="{1DCDA9B4-88C7-4C24-8347-8C962797A6CA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AL12" authorId="0" shapeId="0" xr:uid="{E38BFE4D-2BD7-4A32-A76C-62510CD568F4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K15" authorId="0" shapeId="0" xr:uid="{BCBE7F8E-D306-44C4-8323-20F9523026EA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0.89g</t>
        </r>
      </text>
    </comment>
    <comment ref="AI15" authorId="0" shapeId="0" xr:uid="{6F172FDA-D4FC-414F-9B69-84BB30A896C8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0.89g</t>
        </r>
      </text>
    </comment>
    <comment ref="K16" authorId="0" shapeId="0" xr:uid="{1C298747-BD61-4456-A7E8-EA20DB1ED774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I16" authorId="0" shapeId="0" xr:uid="{B28C395A-C4FD-4817-9F2E-531111888404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K25" authorId="0" shapeId="0" xr:uid="{D6EA84BE-A062-4F49-BFC3-BA122F957742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I25" authorId="0" shapeId="0" xr:uid="{F3A21FBE-AEE3-4F9D-A380-A7031D78915B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N26" authorId="0" shapeId="0" xr:uid="{E195140E-566A-460D-BBB9-CCC9C39EA900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0.79g</t>
        </r>
      </text>
    </comment>
    <comment ref="AL26" authorId="0" shapeId="0" xr:uid="{4BD28FC0-489C-4664-B494-F0E5C22C9682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0.79g</t>
        </r>
      </text>
    </comment>
    <comment ref="J27" authorId="0" shapeId="0" xr:uid="{CA27B412-FFB5-4871-BB81-7D261FF16CC6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H27" authorId="0" shapeId="0" xr:uid="{41A8EE4F-EEC3-439C-9D49-181A02D79504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J28" authorId="0" shapeId="0" xr:uid="{507FE60C-191A-4C3E-9EF8-49E2F7B1EF2E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0.89g</t>
        </r>
      </text>
    </comment>
    <comment ref="AH28" authorId="0" shapeId="0" xr:uid="{C913CC1D-C1EA-425A-A053-724D9DEC5233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0.89g</t>
        </r>
      </text>
    </comment>
    <comment ref="K29" authorId="0" shapeId="0" xr:uid="{03E24618-C2CD-4BD9-A7FA-0458C6572638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I29" authorId="0" shapeId="0" xr:uid="{A88AA651-2950-41C3-889D-3FD05FCC46D2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L31" authorId="0" shapeId="0" xr:uid="{12B7506E-66F5-4EA8-8F3E-BDF9FBDFFB3F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</t>
        </r>
      </text>
    </comment>
    <comment ref="AJ31" authorId="0" shapeId="0" xr:uid="{E3484C36-F511-49B1-9435-ECD68DEB7905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</t>
        </r>
      </text>
    </comment>
    <comment ref="K35" authorId="0" shapeId="0" xr:uid="{62C18A7C-6546-48E5-A132-D0268EF7E665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I35" authorId="0" shapeId="0" xr:uid="{2C9F3A13-DDAB-4669-9501-E3DBE8D6FD39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N38" authorId="0" shapeId="0" xr:uid="{538D4DF4-3546-4C3F-ADC8-BC0FF37FF306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AL38" authorId="0" shapeId="0" xr:uid="{1A639497-DC5E-49CD-B6C5-27D3E3E9FD2C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K42" authorId="0" shapeId="0" xr:uid="{E8E50794-CD88-4B82-8468-03937B19FFE7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AI42" authorId="0" shapeId="0" xr:uid="{DB7610A3-0100-4F6E-9BFC-7031A5699445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0.9g</t>
        </r>
      </text>
    </comment>
    <comment ref="N44" authorId="0" shapeId="0" xr:uid="{D01677D6-5238-4EB8-920B-AA79AA8B1C21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AL44" authorId="0" shapeId="0" xr:uid="{E9808BCD-8DF2-493C-B752-DE14702F086B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Since this pressure, add one paper 0.8g</t>
        </r>
      </text>
    </comment>
    <comment ref="E48" authorId="0" shapeId="0" xr:uid="{9FDC2A31-B0D4-4716-ACEF-CAB2788A55A7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have retested  in April</t>
        </r>
      </text>
    </comment>
    <comment ref="AC48" authorId="0" shapeId="0" xr:uid="{CE8B0242-FC65-4D09-A1DB-E69027B24949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have retested  in April</t>
        </r>
      </text>
    </comment>
    <comment ref="O54" authorId="1" shapeId="0" xr:uid="{BDBB1BF6-FDC3-44F5-94D7-3F5DF3619F44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0.39g filter paper added before drying and weighing.</t>
        </r>
      </text>
    </comment>
    <comment ref="B71" authorId="1" shapeId="0" xr:uid="{297955FF-8330-4026-BED3-38675D9F1BD4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Fixed an error made while copying treatment names to the spreadsheet.</t>
        </r>
      </text>
    </comment>
    <comment ref="Z71" authorId="1" shapeId="0" xr:uid="{5A8203FA-C7C8-45C3-B1FC-60EFD95E3CEA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Fixed an error made while copying treatment names to the spreadsheet.</t>
        </r>
      </text>
    </comment>
    <comment ref="G72" authorId="1" shapeId="0" xr:uid="{63E9BBFC-6B4F-4ED8-9048-717E171CBE15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weighing for this pressure, added a 0.36g filter paper</t>
        </r>
      </text>
    </comment>
    <comment ref="AE72" authorId="1" shapeId="0" xr:uid="{276A6F24-1388-482C-9447-82E774A206A7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weighing for this pressure, added a 0.36g filter paper</t>
        </r>
      </text>
    </comment>
    <comment ref="N73" authorId="1" shapeId="0" xr:uid="{8A4FE824-CB9B-4C75-AF59-5B8B5FDA278D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after weighing</t>
        </r>
      </text>
    </comment>
    <comment ref="AL73" authorId="1" shapeId="0" xr:uid="{3BAD8AEE-8450-4EE5-8AA8-E7FC5C86AB92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after weighing</t>
        </r>
      </text>
    </comment>
    <comment ref="N78" authorId="1" shapeId="0" xr:uid="{727F7EB3-0A72-46E4-ADA9-7AA77C716648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0.38g filter paper before weighing.
</t>
        </r>
      </text>
    </comment>
    <comment ref="AL78" authorId="1" shapeId="0" xr:uid="{BBB0F9C9-4F82-41E8-A50C-0BE71E34B6AE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0.38g filter paper before weighing.
</t>
        </r>
      </text>
    </comment>
    <comment ref="N80" authorId="1" shapeId="0" xr:uid="{F52BC5DC-DC16-4ABC-832B-2E2751D2D2D9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0.36g fliter paper added before weighing.</t>
        </r>
      </text>
    </comment>
    <comment ref="AL80" authorId="1" shapeId="0" xr:uid="{2DF8487F-2305-4FB2-9F48-4BD4A19205F0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0.36g fliter paper added before weighing.</t>
        </r>
      </text>
    </comment>
    <comment ref="N81" authorId="1" shapeId="0" xr:uid="{D7F768C7-CE1E-465F-8D28-3DCD10AFA49A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0.36g filter paper added before weighing.</t>
        </r>
      </text>
    </comment>
    <comment ref="AL81" authorId="1" shapeId="0" xr:uid="{58D64E1E-7E3C-41EF-BA31-1BEC0F3DB23D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0.36g filter paper added before weighing.</t>
        </r>
      </text>
    </comment>
    <comment ref="N84" authorId="1" shapeId="0" xr:uid="{8EEB7D36-31B9-43DA-8100-D509674F007B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0.33g filter paper added before weighing.</t>
        </r>
      </text>
    </comment>
    <comment ref="AL84" authorId="1" shapeId="0" xr:uid="{701BC026-3B28-4214-A9FF-773E971A6F28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0.33g filter paper added before weighing.</t>
        </r>
      </text>
    </comment>
    <comment ref="I85" authorId="1" shapeId="0" xr:uid="{B8350330-B616-4917-8763-2109B97F83B0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weighing for this pressure, added a 0.34g filter paper</t>
        </r>
      </text>
    </comment>
    <comment ref="AG85" authorId="1" shapeId="0" xr:uid="{731F4988-2241-433E-90B9-D9991FCF166F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weighing for this pressure, added a 0.34g filter paper</t>
        </r>
      </text>
    </comment>
    <comment ref="G86" authorId="1" shapeId="0" xr:uid="{88D0C04F-77BD-46CC-8D54-0F4C54ED3B0E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weighing for this pressure, added a 0.35g filter paper.
</t>
        </r>
      </text>
    </comment>
    <comment ref="J86" authorId="1" shapeId="0" xr:uid="{695A3335-5842-4C22-9B36-30510E5ADF7B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an additional 0.34g filter paper before measuring</t>
        </r>
      </text>
    </comment>
    <comment ref="AE86" authorId="1" shapeId="0" xr:uid="{81A843FD-6CAC-4157-A8E5-2884032BE904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After weighing for this pressure, added a 0.35g filter paper.
</t>
        </r>
      </text>
    </comment>
    <comment ref="AH86" authorId="1" shapeId="0" xr:uid="{0159A1FE-FC10-45CB-915E-2FB87E7D6C23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an additional 0.34g filter paper before measuring</t>
        </r>
      </text>
    </comment>
    <comment ref="J87" authorId="1" shapeId="0" xr:uid="{3E221F01-32C6-4AC3-8E7E-6A3101955668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a 0.38g filter paper before measuring.</t>
        </r>
      </text>
    </comment>
    <comment ref="N87" authorId="1" shapeId="0" xr:uid="{1A845AD8-69A6-4676-B4D4-81D0D6435E42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0.30g filter paper before weighing.</t>
        </r>
      </text>
    </comment>
    <comment ref="AH87" authorId="1" shapeId="0" xr:uid="{2609A116-3013-4664-9B35-8B8B6C676C3A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a 0.38g filter paper before measuring.</t>
        </r>
      </text>
    </comment>
    <comment ref="AL87" authorId="1" shapeId="0" xr:uid="{71A7C497-8653-4E4F-AE68-EC581A973059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0.30g filter paper before weighing.</t>
        </r>
      </text>
    </comment>
    <comment ref="N89" authorId="1" shapeId="0" xr:uid="{3E14BAB6-4F56-47B2-8207-86321F0BD725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0.34g filter paper after weighing.</t>
        </r>
      </text>
    </comment>
    <comment ref="AL89" authorId="1" shapeId="0" xr:uid="{479D791C-038C-47A5-B0A8-0C9E4DCEC302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0.34g filter paper after weighing.</t>
        </r>
      </text>
    </comment>
    <comment ref="N90" authorId="1" shapeId="0" xr:uid="{579617E9-B902-471C-96CF-120FDFDC5737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AL90" authorId="1" shapeId="0" xr:uid="{C2DE56ED-E657-4280-80F5-76D492FC6B81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N91" authorId="1" shapeId="0" xr:uid="{4C897491-22E0-4A11-AE38-9DEA10E1AA14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AL91" authorId="1" shapeId="0" xr:uid="{86492CD2-ED7C-4B8E-8573-513B40662FBF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J92" authorId="1" shapeId="0" xr:uid="{233AC271-A6FC-40A1-A1D4-5AF4526F3C54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a 0.33g filter paper before measuring.</t>
        </r>
      </text>
    </comment>
    <comment ref="AH92" authorId="1" shapeId="0" xr:uid="{C74D3587-6BBB-4ACB-9E6F-195EF44FFDE7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a 0.33g filter paper before measuring.</t>
        </r>
      </text>
    </comment>
    <comment ref="N93" authorId="1" shapeId="0" xr:uid="{4AA51878-68DC-4CB2-805C-4BD7E5C1568A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AL93" authorId="1" shapeId="0" xr:uid="{1AC91BAE-75A2-484D-89E8-E7D7F42CB586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N94" authorId="1" shapeId="0" xr:uid="{ECA9F711-0821-4649-829A-2B8D8BE6B2CF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AL94" authorId="1" shapeId="0" xr:uid="{E0F21495-0F65-4192-B435-F1DC1E7DA222}">
      <text>
        <r>
          <rPr>
            <b/>
            <sz val="9"/>
            <color indexed="81"/>
            <rFont val="Tahoma"/>
            <family val="2"/>
          </rPr>
          <t>Mitchell Faucheux:</t>
        </r>
        <r>
          <rPr>
            <sz val="9"/>
            <color indexed="81"/>
            <rFont val="Tahoma"/>
            <family val="2"/>
          </rPr>
          <t xml:space="preserve">
Added 0.33g filter paper before weighing.</t>
        </r>
      </text>
    </comment>
    <comment ref="D97" authorId="2" shapeId="0" xr:uid="{6BC596CE-40A4-45AD-B661-6E46837B945E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fresh soil?</t>
        </r>
      </text>
    </comment>
    <comment ref="E97" authorId="0" shapeId="0" xr:uid="{A708FB8C-9458-4725-A369-D7743D4BA0E0}">
      <text>
        <r>
          <rPr>
            <b/>
            <sz val="9"/>
            <color indexed="81"/>
            <rFont val="宋体"/>
            <charset val="1"/>
          </rPr>
          <t>tingting chang:</t>
        </r>
        <r>
          <rPr>
            <sz val="9"/>
            <color indexed="81"/>
            <rFont val="宋体"/>
            <charset val="1"/>
          </rPr>
          <t xml:space="preserve">
0 bar?</t>
        </r>
      </text>
    </comment>
    <comment ref="O123" authorId="2" shapeId="0" xr:uid="{0C88F932-2A9A-407D-A284-8D7ED1D885E7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0.39g</t>
        </r>
      </text>
    </comment>
    <comment ref="O124" authorId="2" shapeId="0" xr:uid="{9DC1345E-5A03-42CD-9E44-0504F8F14854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0.37g</t>
        </r>
      </text>
    </comment>
    <comment ref="O125" authorId="2" shapeId="0" xr:uid="{78D0FF28-B811-4A4D-93FD-056C2788A0D7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0.39 g</t>
        </r>
      </text>
    </comment>
    <comment ref="O126" authorId="2" shapeId="0" xr:uid="{2DB4643B-7719-4E0A-9591-92402FCB5BE4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0.39 g</t>
        </r>
      </text>
    </comment>
    <comment ref="O127" authorId="2" shapeId="0" xr:uid="{54B4816D-0C7B-4E66-8B36-9C42F08E5933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0.33 g</t>
        </r>
      </text>
    </comment>
    <comment ref="O128" authorId="2" shapeId="0" xr:uid="{3812D7DD-CCB1-4724-A47D-5E02323DF339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0.33 g</t>
        </r>
      </text>
    </comment>
    <comment ref="O129" authorId="2" shapeId="0" xr:uid="{DCCC10C9-0DD0-40D4-83A8-B776213FF3F5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0.33 g</t>
        </r>
      </text>
    </comment>
    <comment ref="O130" authorId="2" shapeId="0" xr:uid="{8D632BB1-1170-4946-9805-5DECC5F8DC37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1" authorId="2" shapeId="0" xr:uid="{2857E607-DB68-40FE-AB29-0AEFC30B4777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2" authorId="2" shapeId="0" xr:uid="{4018A94E-BBE4-4715-8938-8E8E5983AA02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3" authorId="2" shapeId="0" xr:uid="{DA7772A0-9C6D-40FB-89C6-49486970B6D2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4" authorId="2" shapeId="0" xr:uid="{1189DE2E-D19F-43D9-A1AB-F3B26BDAF28A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5" authorId="2" shapeId="0" xr:uid="{5387E056-566B-463A-B303-5FB4E57719DA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6" authorId="2" shapeId="0" xr:uid="{E4FACD73-0EB4-40B4-9ED4-564822A68322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0.35 g</t>
        </r>
      </text>
    </comment>
    <comment ref="O137" authorId="2" shapeId="0" xr:uid="{1A492EE7-F0DC-4E66-B5C5-8D392121B1DA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38" authorId="2" shapeId="0" xr:uid="{1F7FC091-776E-445E-B3FA-56FFBAB92EBD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0.35 g</t>
        </r>
      </text>
    </comment>
    <comment ref="O139" authorId="2" shapeId="0" xr:uid="{2C7B75CA-FA85-4A8C-B21A-0AEABA1A278D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40" authorId="2" shapeId="0" xr:uid="{8F1895A5-944E-4978-A8BE-993E6B4C028A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0.35 g</t>
        </r>
      </text>
    </comment>
    <comment ref="O141" authorId="2" shapeId="0" xr:uid="{5989D5A0-74FD-4A28-8855-90153F20513E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0.35 g</t>
        </r>
      </text>
    </comment>
    <comment ref="O142" authorId="2" shapeId="0" xr:uid="{EE6CF9B1-28C4-486A-95B0-B39157A4D5A5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0.35 g</t>
        </r>
      </text>
    </comment>
    <comment ref="O143" authorId="2" shapeId="0" xr:uid="{DB621544-B015-4EC1-9834-2A8A81C5FB3B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0.34 g</t>
        </r>
      </text>
    </comment>
    <comment ref="O144" authorId="2" shapeId="0" xr:uid="{4C1B6083-C5A8-473D-B44F-82BE42661405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0.32 g</t>
        </r>
      </text>
    </comment>
    <comment ref="O145" authorId="2" shapeId="0" xr:uid="{BF200A65-6314-4916-B24C-97C98315E29C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0.33 g</t>
        </r>
      </text>
    </comment>
    <comment ref="O146" authorId="2" shapeId="0" xr:uid="{FD07253E-4DA8-4016-B4CA-D76CC2DB73CB}">
      <text>
        <r>
          <rPr>
            <b/>
            <sz val="9"/>
            <color indexed="81"/>
            <rFont val="宋体"/>
            <charset val="1"/>
          </rPr>
          <t>tc:</t>
        </r>
        <r>
          <rPr>
            <sz val="9"/>
            <color indexed="81"/>
            <rFont val="宋体"/>
            <charset val="1"/>
          </rPr>
          <t xml:space="preserve">
add filter paper 0.32 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Faucheux</author>
  </authors>
  <commentList>
    <comment ref="G183" authorId="0" shapeId="0" xr:uid="{3C55AF01-6B40-4503-9351-D6252814DB69}">
      <text>
        <r>
          <rPr>
            <b/>
            <sz val="9"/>
            <color indexed="81"/>
            <rFont val="Tahoma"/>
            <family val="2"/>
          </rPr>
          <t xml:space="preserve">Mitchell Faucheux:
</t>
        </r>
        <r>
          <rPr>
            <sz val="9"/>
            <color indexed="81"/>
            <rFont val="Tahoma"/>
            <family val="2"/>
          </rPr>
          <t>Only 2.75g were available for this sample.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Barksdale, Nicole - ARS</author>
  </authors>
  <commentList>
    <comment ref="E17" authorId="0" shapeId="0" xr:uid="{BAF9FF7A-B923-4577-9D2F-764CC212AB23}">
      <text>
        <r>
          <rPr>
            <b/>
            <sz val="9"/>
            <rFont val="Tahoma"/>
            <family val="2"/>
          </rPr>
          <t>Barksdale, Nicole - ARS:</t>
        </r>
        <r>
          <rPr>
            <sz val="9"/>
            <rFont val="Tahoma"/>
            <family val="2"/>
          </rPr>
          <t xml:space="preserve">
This sample ran out of range for the calibration curve. I analyzed a known 50 mg/L sample on the machine which was 19.513% lower then the 50 mg/L sample should have been. If you take the 19.513% differance into account, this sample should be closer to 70.767 mg/L.</t>
        </r>
      </text>
    </comment>
    <comment ref="F25" authorId="0" shapeId="0" xr:uid="{4A506079-EABA-4665-9FFE-DB11CAF04D43}">
      <text>
        <r>
          <rPr>
            <b/>
            <sz val="9"/>
            <rFont val="Tahoma"/>
            <family val="2"/>
          </rPr>
          <t>Barksdale, Nicole - ARS:</t>
        </r>
        <r>
          <rPr>
            <sz val="9"/>
            <rFont val="Tahoma"/>
            <family val="2"/>
          </rPr>
          <t xml:space="preserve">
This sample ran slightly out of range for the calibration curve. I analyzed a known 50 mg/L sample on the machine which was 15.963% lower then the 50 mg/L sample should have been. If you take the 15.963% differance into account, this sample should be closer to 28.9987 mg/L.</t>
        </r>
      </text>
    </comment>
  </commentList>
</comments>
</file>

<file path=xl/sharedStrings.xml><?xml version="1.0" encoding="utf-8"?>
<sst xmlns="http://schemas.openxmlformats.org/spreadsheetml/2006/main" count="9890" uniqueCount="1085">
  <si>
    <t>Treatments</t>
  </si>
  <si>
    <t>depth</t>
  </si>
  <si>
    <t>K</t>
  </si>
  <si>
    <t>GHC3</t>
  </si>
  <si>
    <t>0-5cm</t>
  </si>
  <si>
    <t>5-10cm</t>
  </si>
  <si>
    <t>GHXX1</t>
  </si>
  <si>
    <t>GHXX4</t>
  </si>
  <si>
    <t>GHC1</t>
  </si>
  <si>
    <t>HT4</t>
  </si>
  <si>
    <t>GH2</t>
  </si>
  <si>
    <t>GH11</t>
  </si>
  <si>
    <t>5-10 cm</t>
  </si>
  <si>
    <t>GH</t>
  </si>
  <si>
    <t>第二天</t>
  </si>
  <si>
    <t>HT</t>
  </si>
  <si>
    <t>Native</t>
  </si>
  <si>
    <t>HT6</t>
  </si>
  <si>
    <t>#3</t>
  </si>
  <si>
    <t>#2</t>
  </si>
  <si>
    <t>#6</t>
  </si>
  <si>
    <t>#4</t>
  </si>
  <si>
    <t>#5</t>
  </si>
  <si>
    <t>6,8,9慢，调为20， 7正好，10慢，调为30</t>
  </si>
  <si>
    <t>HT7</t>
  </si>
  <si>
    <t>#1</t>
  </si>
  <si>
    <t>HT8</t>
  </si>
  <si>
    <t>第一天</t>
  </si>
  <si>
    <t>Field</t>
  </si>
  <si>
    <t>#12</t>
  </si>
  <si>
    <t>#10</t>
  </si>
  <si>
    <t>HT2</t>
  </si>
  <si>
    <t>#8</t>
  </si>
  <si>
    <t>#!</t>
  </si>
  <si>
    <t>#9</t>
  </si>
  <si>
    <t>#7</t>
  </si>
  <si>
    <t>#11</t>
  </si>
  <si>
    <t>核对完毕</t>
  </si>
  <si>
    <t>Depth</t>
  </si>
  <si>
    <t>GH10</t>
  </si>
  <si>
    <t>铝盒A</t>
  </si>
  <si>
    <t>铝盒B</t>
  </si>
  <si>
    <t>A</t>
  </si>
  <si>
    <t>B</t>
  </si>
  <si>
    <t>SAS</t>
  </si>
  <si>
    <t>10-15cm</t>
  </si>
  <si>
    <t>铝盒C</t>
  </si>
  <si>
    <t>铝盒D</t>
  </si>
  <si>
    <t>铝盒E</t>
  </si>
  <si>
    <t>铝盒F</t>
  </si>
  <si>
    <t>1-2mm的土</t>
  </si>
  <si>
    <t>第一天取样</t>
  </si>
  <si>
    <t>HT2#7</t>
  </si>
  <si>
    <t>10-20cm</t>
  </si>
  <si>
    <t>铝盒G</t>
  </si>
  <si>
    <t>铝盒H</t>
  </si>
  <si>
    <t>Natvie</t>
  </si>
  <si>
    <t>第二天取样</t>
  </si>
  <si>
    <t>HT2#6</t>
  </si>
  <si>
    <t>HT8#6</t>
  </si>
  <si>
    <t>HT6#3</t>
  </si>
  <si>
    <t>HT7#4</t>
  </si>
  <si>
    <t>HT6#1</t>
  </si>
  <si>
    <t>Sam</t>
  </si>
  <si>
    <t>GHXX2</t>
  </si>
  <si>
    <t>GHXX3</t>
  </si>
  <si>
    <t>GHXX5</t>
  </si>
  <si>
    <t>GHXX6</t>
  </si>
  <si>
    <t>Native#1</t>
  </si>
  <si>
    <t>Native#2</t>
  </si>
  <si>
    <t>Native#3</t>
  </si>
  <si>
    <t>Native#5</t>
  </si>
  <si>
    <t>Field#6</t>
  </si>
  <si>
    <t>15-20cm</t>
  </si>
  <si>
    <t>Field#3</t>
  </si>
  <si>
    <t>Field#2</t>
  </si>
  <si>
    <t>HT7#3</t>
  </si>
  <si>
    <t>HT8#3</t>
  </si>
  <si>
    <t>HT8#5</t>
  </si>
  <si>
    <t>HT6#4</t>
  </si>
  <si>
    <t>HT6#6</t>
  </si>
  <si>
    <t>GH#4</t>
  </si>
  <si>
    <t>GH#10</t>
  </si>
  <si>
    <t>HT#4</t>
  </si>
  <si>
    <t>HT#6+HT#7</t>
  </si>
  <si>
    <t>HT#5</t>
  </si>
  <si>
    <t>HT#12</t>
  </si>
  <si>
    <t>GH#5</t>
  </si>
  <si>
    <t>GH#6</t>
  </si>
  <si>
    <t>GH#7</t>
  </si>
  <si>
    <t>HT#2+#3</t>
  </si>
  <si>
    <t>HT#2</t>
  </si>
  <si>
    <t>HT#1</t>
  </si>
  <si>
    <t>HT#9</t>
  </si>
  <si>
    <t>HT#10</t>
  </si>
  <si>
    <t>#2+#1</t>
  </si>
  <si>
    <t>#4+#6</t>
  </si>
  <si>
    <t>Soil size: 1-2mm</t>
  </si>
  <si>
    <t>Green color: greenhouse soil samples collected from Sam farm in February, 2020</t>
  </si>
  <si>
    <t>Calculation after average</t>
  </si>
  <si>
    <t>Choctaw</t>
  </si>
  <si>
    <t>Seive</t>
  </si>
  <si>
    <t>Blue color: greenhouse soil samples collected from Choctaw and Tucker in December, 2020</t>
  </si>
  <si>
    <t>Sam:1-5; Tucker: 6-8</t>
  </si>
  <si>
    <t>Tucker</t>
  </si>
  <si>
    <t>Tucker:1; Choctaw 2-7</t>
  </si>
  <si>
    <t>Choctaw 1-4, Tucker 5-8</t>
  </si>
  <si>
    <t>Test date</t>
  </si>
  <si>
    <t>Soil weight</t>
  </si>
  <si>
    <t>Tucker: 1-7, Choctaw 8</t>
  </si>
  <si>
    <t>Tucker:1; Choctaw 2-6;Sam 7-8</t>
  </si>
  <si>
    <t>Depth (cm)</t>
  </si>
  <si>
    <t>0-5</t>
  </si>
  <si>
    <t>内径距离土壤高度（）</t>
  </si>
  <si>
    <t>5-10</t>
  </si>
  <si>
    <t>GHXX 1</t>
  </si>
  <si>
    <t>WH</t>
  </si>
  <si>
    <t>191.05</t>
  </si>
  <si>
    <t>Tested date: 2020/2/26-2/27</t>
  </si>
  <si>
    <t>Treatment</t>
  </si>
  <si>
    <t>After saturated</t>
  </si>
  <si>
    <t>Speed</t>
  </si>
  <si>
    <t>Unit</t>
  </si>
  <si>
    <t>Number 1</t>
  </si>
  <si>
    <t>Site</t>
  </si>
  <si>
    <t>Mass（g）</t>
  </si>
  <si>
    <t>h/cm</t>
  </si>
  <si>
    <t>r/cm</t>
  </si>
  <si>
    <t>l/cm</t>
  </si>
  <si>
    <t>r-(l+h)</t>
  </si>
  <si>
    <t>3r+l+h</t>
  </si>
  <si>
    <t>H(cm)</t>
  </si>
  <si>
    <t>Calculation</t>
  </si>
  <si>
    <t>Step 2</t>
  </si>
  <si>
    <t>Step 1</t>
  </si>
  <si>
    <t>cm</t>
  </si>
  <si>
    <t>Height</t>
  </si>
  <si>
    <t>Radius</t>
  </si>
  <si>
    <t>Diamter</t>
  </si>
  <si>
    <t>Volume</t>
  </si>
  <si>
    <t xml:space="preserve">Ring </t>
  </si>
  <si>
    <t>Step 3</t>
  </si>
  <si>
    <t>Enter</t>
  </si>
  <si>
    <t xml:space="preserve">Ring volume </t>
  </si>
  <si>
    <t>Mass</t>
  </si>
  <si>
    <t>ring number 1</t>
  </si>
  <si>
    <t>Number 2</t>
  </si>
  <si>
    <t>Tested date: 2020/3/16</t>
  </si>
  <si>
    <t>GHC 1</t>
  </si>
  <si>
    <t>h/mm</t>
  </si>
  <si>
    <t>Number 3</t>
  </si>
  <si>
    <t>Tested date: 2020/3/19</t>
  </si>
  <si>
    <t>#17</t>
  </si>
  <si>
    <t>Good farm</t>
  </si>
  <si>
    <t>choctaw</t>
  </si>
  <si>
    <t>Number 4</t>
  </si>
  <si>
    <t>Number 5</t>
  </si>
  <si>
    <t>Tested date: 2020/3/20</t>
  </si>
  <si>
    <t>GH12</t>
  </si>
  <si>
    <t>Tested date: 2020/3/23</t>
  </si>
  <si>
    <t>GH4</t>
  </si>
  <si>
    <t>Number 6</t>
  </si>
  <si>
    <t>Tested date: 2020/3/</t>
  </si>
  <si>
    <t>GH5</t>
  </si>
  <si>
    <t>GH7</t>
  </si>
  <si>
    <t>Number 7</t>
  </si>
  <si>
    <t>GHC2</t>
  </si>
  <si>
    <t>GH16</t>
  </si>
  <si>
    <t>Number 8</t>
  </si>
  <si>
    <t>Milliequivalent Mg</t>
  </si>
  <si>
    <t>Milliequivalent K</t>
  </si>
  <si>
    <t>Milliequivalent Ca</t>
  </si>
  <si>
    <t>Milliequivalent H</t>
  </si>
  <si>
    <t>Partial charge Mg</t>
  </si>
  <si>
    <t>Partial charge H</t>
  </si>
  <si>
    <t>Partial charge Ca</t>
  </si>
  <si>
    <t>Partial charge K</t>
  </si>
  <si>
    <t>Field Name</t>
  </si>
  <si>
    <t>Ph</t>
  </si>
  <si>
    <t>% N</t>
  </si>
  <si>
    <t>P (ppa)</t>
  </si>
  <si>
    <t>K (ppa)</t>
  </si>
  <si>
    <t>Ca  (ppa)</t>
  </si>
  <si>
    <t>Mg (ppa)</t>
  </si>
  <si>
    <t>Zn (ppa)</t>
  </si>
  <si>
    <t>Na (ppa)</t>
  </si>
  <si>
    <t>CEC</t>
  </si>
  <si>
    <t>% OM</t>
  </si>
  <si>
    <t>Mqmg</t>
  </si>
  <si>
    <t>Mqk</t>
  </si>
  <si>
    <t>Mqca</t>
  </si>
  <si>
    <t>Mqh</t>
  </si>
  <si>
    <t>Pcmg</t>
  </si>
  <si>
    <t>Pch</t>
  </si>
  <si>
    <t>Pcca</t>
  </si>
  <si>
    <t>Pck</t>
  </si>
  <si>
    <t>#1 (0-5cm)</t>
  </si>
  <si>
    <t>#1 (5-10cm)</t>
  </si>
  <si>
    <t>#1 10-15cm</t>
  </si>
  <si>
    <t>#2 (0-5cm)</t>
  </si>
  <si>
    <t>#2 (5-10cm)</t>
  </si>
  <si>
    <t>#2 (10-15cm)</t>
  </si>
  <si>
    <t>#3 (0-5cm)</t>
  </si>
  <si>
    <t>#3 (5-10cm)</t>
  </si>
  <si>
    <t>#3 10-15cm</t>
  </si>
  <si>
    <t>#4 (0-5cm)</t>
  </si>
  <si>
    <t>#4 (5-10cm)</t>
  </si>
  <si>
    <t>#4 (10-15cm)</t>
  </si>
  <si>
    <t>#5 (0-5cm)</t>
  </si>
  <si>
    <t>#5 (5-10cm)</t>
  </si>
  <si>
    <t>#5 (10-15cm)</t>
  </si>
  <si>
    <t>#6 0-5cm</t>
  </si>
  <si>
    <t>#6 (5-10cm)</t>
  </si>
  <si>
    <t>#6 (10-15cm)</t>
  </si>
  <si>
    <t>#7 (0-5cm)</t>
  </si>
  <si>
    <t>#7 (5-10cm)</t>
  </si>
  <si>
    <t>#7 (10-15cm)</t>
  </si>
  <si>
    <t>#8 (0-5cm)</t>
  </si>
  <si>
    <t>#8 (5-10cm)</t>
  </si>
  <si>
    <t>#8 (10-15cm)</t>
  </si>
  <si>
    <t>#9 (0-5cm)</t>
  </si>
  <si>
    <t>#9 (5-10cm)</t>
  </si>
  <si>
    <t>#9 10-15cm</t>
  </si>
  <si>
    <t>#10 (0-5cm)</t>
  </si>
  <si>
    <t>#10 (5-10cm)</t>
  </si>
  <si>
    <t>#10 10-15cm</t>
  </si>
  <si>
    <t>#11 0-5cm</t>
  </si>
  <si>
    <t>#11 (5-10cm)</t>
  </si>
  <si>
    <t>#11 (10-15cm)</t>
  </si>
  <si>
    <t>#12 0-5cm</t>
  </si>
  <si>
    <t>#12 (5-10cm)</t>
  </si>
  <si>
    <t>#12 (10-15cm)</t>
  </si>
  <si>
    <t>#13 (0-5cm)</t>
  </si>
  <si>
    <t>#13 (5-10cm)</t>
  </si>
  <si>
    <t>#13 (10-15cm)</t>
  </si>
  <si>
    <t>#14 (0-5cm)</t>
  </si>
  <si>
    <t>#14 (5-10cm)</t>
  </si>
  <si>
    <t>#14 (10-15cm)</t>
  </si>
  <si>
    <t>#15 (0-5cm)</t>
  </si>
  <si>
    <t>#15 (5-10cm)</t>
  </si>
  <si>
    <t>#15 (10-15cm)</t>
  </si>
  <si>
    <t>#16 (0-5cm)</t>
  </si>
  <si>
    <t>#16 (5-10cm)</t>
  </si>
  <si>
    <t>#16 10-15cm</t>
  </si>
  <si>
    <t>#17 (0-5cm)</t>
  </si>
  <si>
    <t>#17 (5-10cm)</t>
  </si>
  <si>
    <t>#17 (10-15cm)</t>
  </si>
  <si>
    <t>#18 0-5cm</t>
  </si>
  <si>
    <t>#18 (5-10cm)</t>
  </si>
  <si>
    <t>#18 (10-15cm)</t>
  </si>
  <si>
    <t>#19 (0-5cm)</t>
  </si>
  <si>
    <t>#19 (5-10cm)</t>
  </si>
  <si>
    <t>#19 (10-15cm)</t>
  </si>
  <si>
    <t>HT1 (0-5cm)</t>
  </si>
  <si>
    <t>HT1 (5-10cm)</t>
  </si>
  <si>
    <t>HT1 10-15cm</t>
  </si>
  <si>
    <t>HT2 (0-5cm)</t>
  </si>
  <si>
    <t>HT2 5-10cm</t>
  </si>
  <si>
    <t>HT2 (10-15cm)</t>
  </si>
  <si>
    <t>HT3 (0-5cm)</t>
  </si>
  <si>
    <t>HT3 5-10cm</t>
  </si>
  <si>
    <t>HT3 10-15cm</t>
  </si>
  <si>
    <t>HT4 0-5cm</t>
  </si>
  <si>
    <t>HT4 (5-10cm)</t>
  </si>
  <si>
    <t>HT4 (10-15cm)</t>
  </si>
  <si>
    <t>HT5 0-5cm</t>
  </si>
  <si>
    <t>HT5 (5-10cm)</t>
  </si>
  <si>
    <t>HT5 (10-15cm)</t>
  </si>
  <si>
    <t>HT6 (0-5cm)</t>
  </si>
  <si>
    <t>HT6 (5-10cm)</t>
  </si>
  <si>
    <t>HT6 10-15cm</t>
  </si>
  <si>
    <t>HT7 (0-5cm)</t>
  </si>
  <si>
    <t>HT7 (5-10cm)</t>
  </si>
  <si>
    <t>HT7 (10-15cm)</t>
  </si>
  <si>
    <t>HT8 (0-5cm)</t>
  </si>
  <si>
    <t>HT8 (5-10cm)</t>
  </si>
  <si>
    <t>HT8 (10-15cm)</t>
  </si>
  <si>
    <t>HT9 (0-5cm)</t>
  </si>
  <si>
    <t>HT9 (5-10cm)</t>
  </si>
  <si>
    <t>HT9 (10-15cm)</t>
  </si>
  <si>
    <t>HT10 (0-5cm)</t>
  </si>
  <si>
    <t>HT10 (5-10cm)</t>
  </si>
  <si>
    <t>HT10 (10-15cm)</t>
  </si>
  <si>
    <t>HT11 0-5cm</t>
  </si>
  <si>
    <t>HT11 (5-10cm)</t>
  </si>
  <si>
    <t>HT11 (10-15cm)</t>
  </si>
  <si>
    <t>HT12 0-5cm</t>
  </si>
  <si>
    <t>HT#12 (5-10cm)</t>
  </si>
  <si>
    <t>HT12 10-15cm</t>
  </si>
  <si>
    <t>GH1 (0-5cm)</t>
  </si>
  <si>
    <t>GH1 (5-10cm)</t>
  </si>
  <si>
    <t>GH1 (10-15cm)</t>
  </si>
  <si>
    <t>GH2 (0-5cm)</t>
  </si>
  <si>
    <t>GH2 (5-10cm)</t>
  </si>
  <si>
    <t>GH2 (10-15cm)</t>
  </si>
  <si>
    <t>GH3 (0-5cm)</t>
  </si>
  <si>
    <t>GH3 5-10cm</t>
  </si>
  <si>
    <t>GH3 (10-15cm)</t>
  </si>
  <si>
    <t>GH4 (0-5cm)</t>
  </si>
  <si>
    <t>GH4 (5-10cm)</t>
  </si>
  <si>
    <t>GH4 (10-15cm)</t>
  </si>
  <si>
    <t>GH5 (0-5cm)</t>
  </si>
  <si>
    <t>GH5 (5-10cm)</t>
  </si>
  <si>
    <t>GH5 (10-15cm)</t>
  </si>
  <si>
    <t>GH6 (0-5cm)</t>
  </si>
  <si>
    <t>GH6 (5-10cm)</t>
  </si>
  <si>
    <t>GH6 (10-15cm)</t>
  </si>
  <si>
    <t>GH7 (0-5cm)</t>
  </si>
  <si>
    <t>GH7 (5-10cm)</t>
  </si>
  <si>
    <t>GH7 (10-15cm)</t>
  </si>
  <si>
    <t>GH8 (0-5cm)</t>
  </si>
  <si>
    <t>GH8 (5-10cm)</t>
  </si>
  <si>
    <t>GH8 (10-15cm)</t>
  </si>
  <si>
    <t>GH9 (0-5cm)</t>
  </si>
  <si>
    <t>GH9 (5-10cm)</t>
  </si>
  <si>
    <t>GH9 (10-15cm)</t>
  </si>
  <si>
    <t>GH10 0-5cm</t>
  </si>
  <si>
    <t>GH10 (5-10cm)</t>
  </si>
  <si>
    <t>GH10 10-15cm</t>
  </si>
  <si>
    <t>GH11 (0-5cm)</t>
  </si>
  <si>
    <t>GH11 (5-10cm)</t>
  </si>
  <si>
    <t>GH11 (10-15cm)</t>
  </si>
  <si>
    <t>GH12 (0-5cm)</t>
  </si>
  <si>
    <t>GH12 5-10cm</t>
  </si>
  <si>
    <t>GH12 10-15cm</t>
  </si>
  <si>
    <t>GH16 (0-5cm)</t>
  </si>
  <si>
    <t>GH16 (5-10cm)</t>
  </si>
  <si>
    <t>GH16 (10-15cm)</t>
  </si>
  <si>
    <t>GHXX1 (0-5cm)</t>
  </si>
  <si>
    <t>GHXX1 (10-15cm)</t>
  </si>
  <si>
    <t>GHXX4 (0-5cm)</t>
  </si>
  <si>
    <t>GHXX4 5-10cm</t>
  </si>
  <si>
    <t>GHXX4 (10-15cm)</t>
  </si>
  <si>
    <t>GHC1 (0-5cm)</t>
  </si>
  <si>
    <t>GHC1 5-10cm</t>
  </si>
  <si>
    <t>GHC1 (10-15cm)</t>
  </si>
  <si>
    <t>GHC2 (0-5cm)</t>
  </si>
  <si>
    <t>GHC2 5-10cm</t>
  </si>
  <si>
    <t>GHC2 (10-15cm)</t>
  </si>
  <si>
    <t>GHC3 (0-5cm)</t>
  </si>
  <si>
    <t>GHC3 5-10cm</t>
  </si>
  <si>
    <t>GHC3 (10-15cm)</t>
  </si>
  <si>
    <t>commerial</t>
  </si>
  <si>
    <t>nature safe fertilizer</t>
  </si>
  <si>
    <t>ownmade</t>
  </si>
  <si>
    <t>Fertilizer</t>
  </si>
  <si>
    <t>pH</t>
  </si>
  <si>
    <t xml:space="preserve"> N (%)</t>
  </si>
  <si>
    <t>OM (% )</t>
  </si>
  <si>
    <t>Site: Sam</t>
  </si>
  <si>
    <t>No cover crops</t>
  </si>
  <si>
    <t>Cover crops</t>
  </si>
  <si>
    <t>Greenhouse</t>
  </si>
  <si>
    <t>Open field</t>
  </si>
  <si>
    <t>补测</t>
  </si>
  <si>
    <t>#1 5-10</t>
  </si>
  <si>
    <t>#1 0-5</t>
  </si>
  <si>
    <t>#2 5-10</t>
  </si>
  <si>
    <t>#2 0-5</t>
  </si>
  <si>
    <t>#3 5-10</t>
  </si>
  <si>
    <t>#3 0-5</t>
  </si>
  <si>
    <t>#4 0-5</t>
  </si>
  <si>
    <t>#4 5-10</t>
  </si>
  <si>
    <t>#5 0-5</t>
  </si>
  <si>
    <t>#5 5-10</t>
  </si>
  <si>
    <t>#6 0-5</t>
  </si>
  <si>
    <t>#6 5-10</t>
  </si>
  <si>
    <t>#7 0-5</t>
  </si>
  <si>
    <t>#7 5-10</t>
  </si>
  <si>
    <t>#8 0-5</t>
  </si>
  <si>
    <t>#8 5-10</t>
  </si>
  <si>
    <t>#9 5-10</t>
  </si>
  <si>
    <t>#9 0-5</t>
  </si>
  <si>
    <t>#10 0-5</t>
  </si>
  <si>
    <t>#10 5-10</t>
  </si>
  <si>
    <t>#11 0-5</t>
  </si>
  <si>
    <t>#11 5-10</t>
  </si>
  <si>
    <t>#12 0-5</t>
  </si>
  <si>
    <t>#12 5-10</t>
  </si>
  <si>
    <t>#13 0-5</t>
  </si>
  <si>
    <t>#13 5-10</t>
  </si>
  <si>
    <t>#14 0-5</t>
  </si>
  <si>
    <t>#14 5-10</t>
  </si>
  <si>
    <t>#15 0-5</t>
  </si>
  <si>
    <t>#15 5-10</t>
  </si>
  <si>
    <t>#16 5-10</t>
  </si>
  <si>
    <t>#16 0-5</t>
  </si>
  <si>
    <t>#17 0-5</t>
  </si>
  <si>
    <t>#17 5-10</t>
  </si>
  <si>
    <t>#18 5-10</t>
  </si>
  <si>
    <t>#18 0-5</t>
  </si>
  <si>
    <t>#19 0-5</t>
  </si>
  <si>
    <t>#19 5-10</t>
  </si>
  <si>
    <t>GH1 0-5</t>
  </si>
  <si>
    <t>GH1 5-10</t>
  </si>
  <si>
    <t>GH2 5-10</t>
  </si>
  <si>
    <t>GH2 0-5</t>
  </si>
  <si>
    <t>GH3 0-5</t>
  </si>
  <si>
    <t>GH3 5-10</t>
  </si>
  <si>
    <t>GH4 5-10</t>
  </si>
  <si>
    <t>GH4 0-5</t>
  </si>
  <si>
    <t>GH5 5-10</t>
  </si>
  <si>
    <t>GH5 0-5</t>
  </si>
  <si>
    <t>GH6 0-5</t>
  </si>
  <si>
    <t>GH6 5-10</t>
  </si>
  <si>
    <t>GH7 5-10</t>
  </si>
  <si>
    <t>GH7 0-5</t>
  </si>
  <si>
    <t>GH8 0-5</t>
  </si>
  <si>
    <t>GH8 5-10</t>
  </si>
  <si>
    <t>GH9 5-10</t>
  </si>
  <si>
    <t>GH9 0-5</t>
  </si>
  <si>
    <t>GH10 5-10</t>
  </si>
  <si>
    <t>GH10 0-5</t>
  </si>
  <si>
    <t>GH11 5-10</t>
  </si>
  <si>
    <t>GH11 0-5</t>
  </si>
  <si>
    <t>GH12 5-10</t>
  </si>
  <si>
    <t>GH12 0-5</t>
  </si>
  <si>
    <t>GH16 0-5</t>
  </si>
  <si>
    <t>GH16 5-10</t>
  </si>
  <si>
    <t>GHC1 0-5</t>
  </si>
  <si>
    <t>GHC1 5-10</t>
  </si>
  <si>
    <t>GHC2 0-5</t>
  </si>
  <si>
    <t>GHC2 5-10</t>
  </si>
  <si>
    <t>GHC3 5-10</t>
  </si>
  <si>
    <t>GHC3 0-5</t>
  </si>
  <si>
    <t>GHXX1 0-5</t>
  </si>
  <si>
    <t>GHXX1 5-10</t>
  </si>
  <si>
    <t>GHXX4 5-10</t>
  </si>
  <si>
    <t>GHXX4 0-5</t>
  </si>
  <si>
    <t>HT1 0-5</t>
  </si>
  <si>
    <t>HT1 5-10</t>
  </si>
  <si>
    <t>HT2 0-5</t>
  </si>
  <si>
    <t>HT2 5-10</t>
  </si>
  <si>
    <t>HT3 5-10</t>
  </si>
  <si>
    <t>HT3 0-5</t>
  </si>
  <si>
    <t>HT4 5-10</t>
  </si>
  <si>
    <t>HT4 0-5</t>
  </si>
  <si>
    <t>HT5 5-10</t>
  </si>
  <si>
    <t>HT5 0-5</t>
  </si>
  <si>
    <t>HT6 5-10</t>
  </si>
  <si>
    <t>HT6 0-5</t>
  </si>
  <si>
    <t>HT7 5-10</t>
  </si>
  <si>
    <t>HT7 0-5</t>
  </si>
  <si>
    <t>HT8 5-10</t>
  </si>
  <si>
    <t>HT8 0-5</t>
  </si>
  <si>
    <t>HT9 5-10</t>
  </si>
  <si>
    <t>HT9 0-5</t>
  </si>
  <si>
    <t>HT10 5-10</t>
  </si>
  <si>
    <t>HT10 0-5</t>
  </si>
  <si>
    <t>HT11 0-5</t>
  </si>
  <si>
    <t>HT11 5-10</t>
  </si>
  <si>
    <t>HT12 5-10</t>
  </si>
  <si>
    <t>HT12 0-5</t>
  </si>
  <si>
    <t>OWN</t>
  </si>
  <si>
    <t>NATURAL</t>
  </si>
  <si>
    <t>COMMERCIAL</t>
  </si>
  <si>
    <t>#1 10-15</t>
  </si>
  <si>
    <t>#2 10-15</t>
  </si>
  <si>
    <t>#3 10-15</t>
  </si>
  <si>
    <t>#4 10-15</t>
  </si>
  <si>
    <t>#5 10-15</t>
  </si>
  <si>
    <t>#6 10-15</t>
  </si>
  <si>
    <t>#7 10-15</t>
  </si>
  <si>
    <t>#8 10-15</t>
  </si>
  <si>
    <t>#9 10-15</t>
  </si>
  <si>
    <t>#10 10-15</t>
  </si>
  <si>
    <t>#11 10-15</t>
  </si>
  <si>
    <t>#12 10-15</t>
  </si>
  <si>
    <t>#13 10-15</t>
  </si>
  <si>
    <t>#14 10-15</t>
  </si>
  <si>
    <t>#15 10-15</t>
  </si>
  <si>
    <t>#16 10-15</t>
  </si>
  <si>
    <t>#17 10-15</t>
  </si>
  <si>
    <t>#18 10-15</t>
  </si>
  <si>
    <t>#19 10-15</t>
  </si>
  <si>
    <t>HT1 10-15</t>
  </si>
  <si>
    <t>HT2 10-15</t>
  </si>
  <si>
    <t>HT3 10-15</t>
  </si>
  <si>
    <t>HT4 10-15</t>
  </si>
  <si>
    <t>HT5 10-15</t>
  </si>
  <si>
    <t>HT6 10-15</t>
  </si>
  <si>
    <t>HT7 10-15</t>
  </si>
  <si>
    <t>HT8 10-15</t>
  </si>
  <si>
    <t>HT9 10-15</t>
  </si>
  <si>
    <t>HT10 10-15</t>
  </si>
  <si>
    <t>HT11 10-15</t>
  </si>
  <si>
    <t>HT12 10-15</t>
  </si>
  <si>
    <t>GH1 10-15</t>
  </si>
  <si>
    <t>GH2 10-15</t>
  </si>
  <si>
    <t>GH3 10-15</t>
  </si>
  <si>
    <t>GH4 10-15</t>
  </si>
  <si>
    <t>GH5 10-15</t>
  </si>
  <si>
    <t>GH6 10-15</t>
  </si>
  <si>
    <t>GH7 10-15</t>
  </si>
  <si>
    <t>GH8 10-15</t>
  </si>
  <si>
    <t>GH9 10-15</t>
  </si>
  <si>
    <t>GH10 10-15</t>
  </si>
  <si>
    <t>GH11 10-15</t>
  </si>
  <si>
    <t>GH12 10-15</t>
  </si>
  <si>
    <t>GH16 10-15</t>
  </si>
  <si>
    <t>GHC1 10-15</t>
  </si>
  <si>
    <t>GHC2  10-15</t>
  </si>
  <si>
    <t>GHC3 10-15</t>
  </si>
  <si>
    <t>GHXX1  10-15</t>
  </si>
  <si>
    <t>GHXX4 10-15</t>
  </si>
  <si>
    <t>Starkvile</t>
  </si>
  <si>
    <t>2/18/2020</t>
  </si>
  <si>
    <t>for NO3- measurement</t>
  </si>
  <si>
    <t>water content</t>
  </si>
  <si>
    <t>土样稀释10倍</t>
  </si>
  <si>
    <t>Sample Name</t>
  </si>
  <si>
    <t>Starkville (Commercial)</t>
  </si>
  <si>
    <t>Starkville (Natural)</t>
  </si>
  <si>
    <t>Starkville (Own)</t>
  </si>
  <si>
    <t>Starkville GHC1</t>
  </si>
  <si>
    <t>Starkville GHC2</t>
  </si>
  <si>
    <t>Starkville GHC3</t>
  </si>
  <si>
    <t>Starkville GHXX1</t>
  </si>
  <si>
    <t>Starkville GHXX4</t>
  </si>
  <si>
    <t>Starkville-1</t>
  </si>
  <si>
    <t>Starkville-2</t>
  </si>
  <si>
    <t>Starkville-3</t>
  </si>
  <si>
    <t>Starkville-4</t>
  </si>
  <si>
    <t>Starkville-5</t>
  </si>
  <si>
    <t>Starkville-6</t>
  </si>
  <si>
    <t>Starkville-7</t>
  </si>
  <si>
    <t>Starkville-8</t>
  </si>
  <si>
    <t>Starkville-9</t>
  </si>
  <si>
    <t>Starkville-10</t>
  </si>
  <si>
    <t>Starkville-11</t>
  </si>
  <si>
    <t>Starkville-12</t>
  </si>
  <si>
    <t>Starkville-13</t>
  </si>
  <si>
    <t>Starkville-14</t>
  </si>
  <si>
    <t>Starkville-15</t>
  </si>
  <si>
    <t>Starkville-16</t>
  </si>
  <si>
    <t>Starkville-17</t>
  </si>
  <si>
    <t>Starkville-18</t>
  </si>
  <si>
    <t>Starkville-19</t>
  </si>
  <si>
    <t>Starkville HT1</t>
  </si>
  <si>
    <t>Starkville HT2</t>
  </si>
  <si>
    <t>Starkville HT3</t>
  </si>
  <si>
    <t>Starkville HT4</t>
  </si>
  <si>
    <t>Starkville HT5</t>
  </si>
  <si>
    <t>Starkville HT6</t>
  </si>
  <si>
    <t>Starkville HT7</t>
  </si>
  <si>
    <t>Starkville HT8</t>
  </si>
  <si>
    <t>Starkville HT9</t>
  </si>
  <si>
    <t>Starkville HT10</t>
  </si>
  <si>
    <t>Starkville HT11</t>
  </si>
  <si>
    <t>Starkville HT12</t>
  </si>
  <si>
    <t>Starkville GH1</t>
  </si>
  <si>
    <t>Starkville GH2</t>
  </si>
  <si>
    <t>Starkville GH3</t>
  </si>
  <si>
    <t>Starkville GH4</t>
  </si>
  <si>
    <t>Starkville GH5</t>
  </si>
  <si>
    <t>Starkville GH6</t>
  </si>
  <si>
    <t>Starkville GH7</t>
  </si>
  <si>
    <t>Starkville GH8</t>
  </si>
  <si>
    <t>Starkville GH9</t>
  </si>
  <si>
    <t>Starkville GH10</t>
  </si>
  <si>
    <t>Starkville GH11</t>
  </si>
  <si>
    <t>Starkville GH12</t>
  </si>
  <si>
    <t>Starkville GH16</t>
  </si>
  <si>
    <t>Date</t>
  </si>
  <si>
    <t>N/A</t>
  </si>
  <si>
    <t>(0-5)</t>
  </si>
  <si>
    <t>(5-10)</t>
  </si>
  <si>
    <t>(0-5</t>
  </si>
  <si>
    <t>(10-15)</t>
  </si>
  <si>
    <t>Sample ID</t>
  </si>
  <si>
    <t>20 mg/L</t>
  </si>
  <si>
    <t>10 mg/L</t>
  </si>
  <si>
    <t>5 mg/L</t>
  </si>
  <si>
    <t>2 mg/L</t>
  </si>
  <si>
    <t>1 mg/L</t>
  </si>
  <si>
    <t>0 mg/L</t>
  </si>
  <si>
    <t>Feng 02/18/20- 1</t>
  </si>
  <si>
    <t>Feng 02/18/20- 2</t>
  </si>
  <si>
    <t>Feng 02/18/20- 3</t>
  </si>
  <si>
    <t>Feng 02/18/20- 4</t>
  </si>
  <si>
    <t>Feng 02/18/20- 5</t>
  </si>
  <si>
    <t>Feng 02/18/20- 6</t>
  </si>
  <si>
    <t>Feng 02/18/20- 7</t>
  </si>
  <si>
    <t>Feng 02/18/20- 8</t>
  </si>
  <si>
    <t>Feng 02/18/20- 9</t>
  </si>
  <si>
    <t>Feng 02/18/20- 10</t>
  </si>
  <si>
    <t>Feng 02/18/20- 11</t>
  </si>
  <si>
    <t>Feng 02/18/20- 12</t>
  </si>
  <si>
    <t>Feng 02/18/20- 13</t>
  </si>
  <si>
    <t>Feng 02/18/20- 14</t>
  </si>
  <si>
    <t>Feng 02/18/20- 15</t>
  </si>
  <si>
    <t>Feng 02/18/20- 16</t>
  </si>
  <si>
    <t>Feng 02/18/20- 17</t>
  </si>
  <si>
    <t>Feng 02/18/20- 18</t>
  </si>
  <si>
    <t>Feng 02/18/20- 19</t>
  </si>
  <si>
    <t>Feng 02/18/20- 20</t>
  </si>
  <si>
    <t>Feng 02/18/20- 21</t>
  </si>
  <si>
    <t>Feng 02/18/20- 22</t>
  </si>
  <si>
    <t>Feng 02/18/20- 23</t>
  </si>
  <si>
    <t>Feng 02/18/20- 24</t>
  </si>
  <si>
    <t>Feng 02/18/20- 25</t>
  </si>
  <si>
    <t>Feng 02/18/20- 26</t>
  </si>
  <si>
    <t>Feng 02/18/20- 27</t>
  </si>
  <si>
    <t>Feng 02/18/20- 28</t>
  </si>
  <si>
    <t>Feng 02/18/20- 29</t>
  </si>
  <si>
    <t>Feng 02/18/20- 30</t>
  </si>
  <si>
    <t>Feng 02/18/20- 31</t>
  </si>
  <si>
    <t>Feng 02/18/20- 32</t>
  </si>
  <si>
    <t>Feng 02/18/20- 33</t>
  </si>
  <si>
    <t>Feng 02/18/20- 34</t>
  </si>
  <si>
    <t>Feng 02/18/20- 35</t>
  </si>
  <si>
    <t>Feng 02/18/20- 36</t>
  </si>
  <si>
    <t>Feng 02/18/20- 37</t>
  </si>
  <si>
    <t>Feng 02/18/20- 38</t>
  </si>
  <si>
    <t>Feng 02/18/20- 39</t>
  </si>
  <si>
    <t>Feng 02/18/20- 40</t>
  </si>
  <si>
    <t>Feng 02/18/20- 41</t>
  </si>
  <si>
    <t>Feng 02/18/20- 42</t>
  </si>
  <si>
    <t>Feng 02/18/20- 43</t>
  </si>
  <si>
    <t>Feng 02/18/20- 44</t>
  </si>
  <si>
    <t>Feng 02/18/20- 45</t>
  </si>
  <si>
    <t>Feng 02/18/20- 46</t>
  </si>
  <si>
    <t>Feng 02/18/20- 47</t>
  </si>
  <si>
    <t>Feng 02/18/20- 48</t>
  </si>
  <si>
    <t>Feng 02/18/20- 49</t>
  </si>
  <si>
    <t>Feng 02/18/20- 50</t>
  </si>
  <si>
    <t>Feng 02/18/20- 51</t>
  </si>
  <si>
    <t>Feng 02/18/20- 52</t>
  </si>
  <si>
    <t>Feng 02/18/20- 53</t>
  </si>
  <si>
    <t>Feng 02/18/20- 54</t>
  </si>
  <si>
    <t>Feng 02/18/20- 55</t>
  </si>
  <si>
    <t>Feng 02/18/20- 56</t>
  </si>
  <si>
    <t>Feng 02/18/20- 57</t>
  </si>
  <si>
    <t>Feng 02/18/20- 58</t>
  </si>
  <si>
    <t>Feng 02/18/20- 59</t>
  </si>
  <si>
    <t>Feng 02/18/20- 60</t>
  </si>
  <si>
    <t>Feng 02/18/20- 61</t>
  </si>
  <si>
    <t>Feng 02/18/20- 62</t>
  </si>
  <si>
    <t>Feng 02/18/20- 63</t>
  </si>
  <si>
    <t>Feng 02/18/20- 64</t>
  </si>
  <si>
    <t>Feng 02/18/20- 65</t>
  </si>
  <si>
    <t>Feng 02/18/20- 66</t>
  </si>
  <si>
    <t>Feng 02/18/20- 67</t>
  </si>
  <si>
    <t>Feng 02/18/20- 68</t>
  </si>
  <si>
    <t>Feng 02/18/20- 69</t>
  </si>
  <si>
    <t>Feng 02/18/20- 70</t>
  </si>
  <si>
    <t>Feng 02/18/20- 71</t>
  </si>
  <si>
    <t>Feng 02/18/20- 72</t>
  </si>
  <si>
    <t>Feng 02/18/20- 73</t>
  </si>
  <si>
    <t>Feng 02/18/20- 74</t>
  </si>
  <si>
    <t>Feng 02/18/20- 75</t>
  </si>
  <si>
    <t>Feng 02/18/20- 76</t>
  </si>
  <si>
    <t>Feng 02/18/20- 77</t>
  </si>
  <si>
    <t>Feng 02/18/20- 78</t>
  </si>
  <si>
    <t>Feng 02/18/20- 79</t>
  </si>
  <si>
    <t>Feng 02/18/20- 80</t>
  </si>
  <si>
    <t>Feng 02/18/20- 81</t>
  </si>
  <si>
    <t>Feng 02/18/20- 82</t>
  </si>
  <si>
    <t>Feng 02/18/20- 83</t>
  </si>
  <si>
    <t>Feng 02/18/20- 84</t>
  </si>
  <si>
    <t>Feng 02/18/20- 85</t>
  </si>
  <si>
    <t>Feng 02/18/20- 86</t>
  </si>
  <si>
    <t>Feng 02/18/20- 87</t>
  </si>
  <si>
    <t>Feng 02/18/20- 88</t>
  </si>
  <si>
    <t>Feng 02/18/20- 89</t>
  </si>
  <si>
    <t>Feng 02/18/20- 90</t>
  </si>
  <si>
    <t>Feng 02/18/20- 91</t>
  </si>
  <si>
    <t>Feng 02/18/20- 92</t>
  </si>
  <si>
    <t>Feng 02/18/20- 93</t>
  </si>
  <si>
    <t>Feng 02/18/20- 94</t>
  </si>
  <si>
    <t>Feng 02/18/20- 95</t>
  </si>
  <si>
    <t>Feng 02/18/20- 96</t>
  </si>
  <si>
    <t>Feng 02/18/20- 97</t>
  </si>
  <si>
    <t>Feng 02/18/20- 98</t>
  </si>
  <si>
    <t>Feng 02/18/20- 99</t>
  </si>
  <si>
    <t>Feng 02/18/20- 100</t>
  </si>
  <si>
    <t>50 mg/L sample</t>
  </si>
  <si>
    <t>Ammonia</t>
  </si>
  <si>
    <t>mg/L</t>
  </si>
  <si>
    <t>Nitrate/Nitrite</t>
  </si>
  <si>
    <t>土重</t>
  </si>
  <si>
    <t>bd</t>
  </si>
  <si>
    <t>θr</t>
  </si>
  <si>
    <t>θs</t>
  </si>
  <si>
    <t>α</t>
  </si>
  <si>
    <t>n</t>
  </si>
  <si>
    <t>m</t>
  </si>
  <si>
    <t>θs-θr</t>
  </si>
  <si>
    <t>[1+(ah)^n]^m(H=336)</t>
  </si>
  <si>
    <t>[1+(ah)^n]^m(H=15310)</t>
  </si>
  <si>
    <t>FC</t>
  </si>
  <si>
    <t>PWP</t>
  </si>
  <si>
    <t>AWC</t>
  </si>
  <si>
    <t>土壤总孔隙度(%)</t>
  </si>
  <si>
    <t>g/cm3</t>
  </si>
  <si>
    <t>田持</t>
  </si>
  <si>
    <t>萎蔫</t>
  </si>
  <si>
    <t>有效水</t>
  </si>
  <si>
    <t>CC</t>
  </si>
  <si>
    <t>average</t>
  </si>
  <si>
    <t>CK</t>
  </si>
  <si>
    <t>Sampling site: Sam</t>
  </si>
  <si>
    <t>Sampling time: Feb.2020</t>
  </si>
  <si>
    <t>Soil water retention curve parameters calculated in 2020</t>
  </si>
  <si>
    <t>FP</t>
  </si>
  <si>
    <t>E-3</t>
  </si>
  <si>
    <t>HT3</t>
  </si>
  <si>
    <t>HT1</t>
  </si>
  <si>
    <t>HT11</t>
  </si>
  <si>
    <t>HT12</t>
  </si>
  <si>
    <t>GH3</t>
  </si>
  <si>
    <t>Ksat (10-3)</t>
  </si>
  <si>
    <t>CK-GHC3</t>
  </si>
  <si>
    <t>CK-GHC1</t>
  </si>
  <si>
    <t>CK-GHC2</t>
  </si>
  <si>
    <t>Average</t>
  </si>
  <si>
    <t>GH-no fertilizer</t>
  </si>
  <si>
    <t>GH-no fertilization</t>
  </si>
  <si>
    <t>GH8</t>
  </si>
  <si>
    <t>NC</t>
  </si>
  <si>
    <t>GH9</t>
  </si>
  <si>
    <t>CK-CC-9</t>
  </si>
  <si>
    <t>CK-19</t>
  </si>
  <si>
    <t>CK-16</t>
  </si>
  <si>
    <t>CK-7</t>
  </si>
  <si>
    <t>HT5</t>
  </si>
  <si>
    <t>?</t>
  </si>
  <si>
    <r>
      <t>Ksat (10</t>
    </r>
    <r>
      <rPr>
        <vertAlign val="superscript"/>
        <sz val="10"/>
        <color rgb="FF000000"/>
        <rFont val="Times New Roman"/>
        <family val="1"/>
      </rPr>
      <t>-3</t>
    </r>
    <r>
      <rPr>
        <sz val="10"/>
        <color rgb="FF000000"/>
        <rFont val="Times New Roman"/>
        <family val="1"/>
      </rPr>
      <t>)</t>
    </r>
    <r>
      <rPr>
        <sz val="10"/>
        <color theme="1"/>
        <rFont val="Times New Roman"/>
        <family val="1"/>
      </rPr>
      <t> </t>
    </r>
  </si>
  <si>
    <t>Soil Layer (cm)</t>
  </si>
  <si>
    <t>0 bar</t>
  </si>
  <si>
    <t>Pressure</t>
  </si>
  <si>
    <t>Weight (g)</t>
  </si>
  <si>
    <t>0.02 bar</t>
  </si>
  <si>
    <t>0.05 bar</t>
  </si>
  <si>
    <t>0.1 bar</t>
  </si>
  <si>
    <t>0.2 bar</t>
  </si>
  <si>
    <t>0.3 bar</t>
  </si>
  <si>
    <t>0.5 bar</t>
  </si>
  <si>
    <t>5.0 bar</t>
  </si>
  <si>
    <t>2.0 bar</t>
  </si>
  <si>
    <t>1.0 bar</t>
  </si>
  <si>
    <t>10.0 bar</t>
  </si>
  <si>
    <t>15.0 bar</t>
  </si>
  <si>
    <t>HT8#4</t>
  </si>
  <si>
    <t>4-5</t>
  </si>
  <si>
    <t>2-4</t>
  </si>
  <si>
    <t>Nature#1</t>
  </si>
  <si>
    <t>0-2</t>
  </si>
  <si>
    <t>Nature#2</t>
  </si>
  <si>
    <t>Nature#4</t>
  </si>
  <si>
    <t>Nature#6</t>
  </si>
  <si>
    <t>HT2#10</t>
  </si>
  <si>
    <t>Field#4</t>
  </si>
  <si>
    <t>Field#1</t>
  </si>
  <si>
    <t>HT2#1</t>
  </si>
  <si>
    <t>HT2#8</t>
  </si>
  <si>
    <t>Water Retention</t>
  </si>
  <si>
    <t>#</t>
  </si>
  <si>
    <t>After Dry</t>
  </si>
  <si>
    <t>Ring Weight</t>
  </si>
  <si>
    <t>HT8 R1#1</t>
  </si>
  <si>
    <t>Location:</t>
  </si>
  <si>
    <t>GHxx4</t>
  </si>
  <si>
    <t>#18</t>
  </si>
  <si>
    <t>GHC</t>
  </si>
  <si>
    <t>15 bar</t>
  </si>
  <si>
    <t>04-20-21</t>
  </si>
  <si>
    <t>04-17-21</t>
  </si>
  <si>
    <t>HT8 #5</t>
  </si>
  <si>
    <t>Field #3</t>
  </si>
  <si>
    <t>GH8 #8</t>
  </si>
  <si>
    <t>Nature #5</t>
  </si>
  <si>
    <t>HT8 #3</t>
  </si>
  <si>
    <t>HT8 #2</t>
  </si>
  <si>
    <t>Field #4</t>
  </si>
  <si>
    <t>Field #5</t>
  </si>
  <si>
    <t>Replicates</t>
  </si>
  <si>
    <r>
      <t>cm min</t>
    </r>
    <r>
      <rPr>
        <vertAlign val="superscript"/>
        <sz val="14"/>
        <color rgb="FF000000"/>
        <rFont val="Times New Roman"/>
        <family val="1"/>
      </rPr>
      <t>-1</t>
    </r>
  </si>
  <si>
    <t>Dried soil+aluminum box A</t>
  </si>
  <si>
    <t>Dried soil+aluminum box B</t>
  </si>
  <si>
    <t>Aluminum box</t>
  </si>
  <si>
    <t>Number 9</t>
  </si>
  <si>
    <t>Tested date: 2021/4/8</t>
  </si>
  <si>
    <t>HT7 R1#1</t>
  </si>
  <si>
    <t>HT7 R2#2</t>
  </si>
  <si>
    <t>HT2 R1#1</t>
  </si>
  <si>
    <t>HT2 R5#11</t>
  </si>
  <si>
    <t>HT2 #10</t>
  </si>
  <si>
    <t>Field #1</t>
  </si>
  <si>
    <t>Field #2</t>
  </si>
  <si>
    <t>HT2 R4#8</t>
  </si>
  <si>
    <t>HT7 R5#6</t>
  </si>
  <si>
    <t>20-25cm</t>
  </si>
  <si>
    <t>HT2 #4</t>
  </si>
  <si>
    <t>HT2 #5</t>
  </si>
  <si>
    <t>HT2 R2#3</t>
  </si>
  <si>
    <t>Native #4</t>
  </si>
  <si>
    <t>HT8 R3#4</t>
  </si>
  <si>
    <t>Tucker: 1-6; Choctaw: 7-8</t>
  </si>
  <si>
    <t>Choctaw: 1-5; Tucker: 6-8</t>
  </si>
  <si>
    <t>Tucker: 1; Choctaw 2-8</t>
  </si>
  <si>
    <t>Native #6</t>
  </si>
  <si>
    <t>Tucker: 1-3; Choctaw: 4-8</t>
  </si>
  <si>
    <t>HT8 R2#2</t>
  </si>
  <si>
    <t>Choctaw: 1-2; Tucker: 3-8</t>
  </si>
  <si>
    <t>HT6 R4#5</t>
  </si>
  <si>
    <t>HT7 R4#5</t>
  </si>
  <si>
    <t>Remaining Masses of Soil Samples from Choctaw and Tucker</t>
  </si>
  <si>
    <t>Location</t>
  </si>
  <si>
    <t>Weights are from soil samples in bags.</t>
  </si>
  <si>
    <t>5g</t>
  </si>
  <si>
    <t>Avg. Bag Weight:</t>
  </si>
  <si>
    <t>pH and EC</t>
  </si>
  <si>
    <t>Water Stable Aggregates</t>
  </si>
  <si>
    <t>GH6</t>
  </si>
  <si>
    <t>HT2 #1</t>
  </si>
  <si>
    <t>1-15</t>
  </si>
  <si>
    <t>10-15</t>
  </si>
  <si>
    <t>15-20</t>
  </si>
  <si>
    <t>Sample Date</t>
  </si>
  <si>
    <t>Mass Used (g)</t>
  </si>
  <si>
    <t>Mass Remaining (g)</t>
  </si>
  <si>
    <t>Experiments Completed</t>
  </si>
  <si>
    <t>Soil Mass (g)</t>
  </si>
  <si>
    <t>Date:</t>
  </si>
  <si>
    <t>Choctaw: 1-6; Tucker: 7-8</t>
  </si>
  <si>
    <t>HT7 R2 #2</t>
  </si>
  <si>
    <t>Native #1</t>
  </si>
  <si>
    <t>HT2 R4 #8</t>
  </si>
  <si>
    <t>HT7 R5 #6</t>
  </si>
  <si>
    <t>HT6 R4 #5</t>
  </si>
  <si>
    <t>HT7 R4 #5</t>
  </si>
  <si>
    <t>HT8 R3 #4</t>
  </si>
  <si>
    <t>HT2 #12</t>
  </si>
  <si>
    <t>HT #2 R2 #3</t>
  </si>
  <si>
    <t>HT2 R2 #3</t>
  </si>
  <si>
    <t>HT2 R1 #2</t>
  </si>
  <si>
    <t>HT2 #6</t>
  </si>
  <si>
    <t>HT2 R3 #7</t>
  </si>
  <si>
    <t>HT2 #9</t>
  </si>
  <si>
    <t>Native #2</t>
  </si>
  <si>
    <t>Native #3</t>
  </si>
  <si>
    <t>05-14-21</t>
  </si>
  <si>
    <t>HT8 R2#3</t>
  </si>
  <si>
    <t>HT6 R2#2</t>
  </si>
  <si>
    <t>HT2 #11</t>
  </si>
  <si>
    <t>HT6 R1#1</t>
  </si>
  <si>
    <t>GH1</t>
  </si>
  <si>
    <t>05-21-21</t>
  </si>
  <si>
    <t>06-15-21</t>
  </si>
  <si>
    <t>06-23-21</t>
  </si>
  <si>
    <t>Resaturated after moving to USDA-ARS Lab</t>
  </si>
  <si>
    <t>06-29-21</t>
  </si>
  <si>
    <t>06-25-21</t>
  </si>
  <si>
    <t>Number 10</t>
  </si>
  <si>
    <t>Tested date: 2021/6/9</t>
  </si>
  <si>
    <t>Mass of soil + ring before saturating (g)</t>
  </si>
  <si>
    <t>HT2 #5 0-5cm</t>
  </si>
  <si>
    <t>GH3 0-5 cm</t>
  </si>
  <si>
    <t>HT2 #5 5-10cm</t>
  </si>
  <si>
    <t>Field #2 0-5cm</t>
  </si>
  <si>
    <t>Field #2 5-10cm</t>
  </si>
  <si>
    <t>Field #4 0-5cm</t>
  </si>
  <si>
    <t>Field #4 5-10cm</t>
  </si>
  <si>
    <t>Number 11</t>
  </si>
  <si>
    <t>Tested date: 2021/6/24</t>
  </si>
  <si>
    <t>Number 12</t>
  </si>
  <si>
    <t>Tested date: 2021/7/2</t>
  </si>
  <si>
    <t>Native #6 0-5cm</t>
  </si>
  <si>
    <t>Native #6 5-10cm</t>
  </si>
  <si>
    <t>Native #4 0-5cm</t>
  </si>
  <si>
    <t>Native #4 5-10cm</t>
  </si>
  <si>
    <t>大棚有作物</t>
  </si>
  <si>
    <t>附近草地</t>
  </si>
  <si>
    <t>sandy-loam</t>
  </si>
  <si>
    <t>刚收完番茄</t>
  </si>
  <si>
    <t>大棚空地</t>
  </si>
  <si>
    <t>silt-loam</t>
  </si>
  <si>
    <t>EC</t>
  </si>
  <si>
    <t>0-10cm</t>
  </si>
  <si>
    <t>1 bar</t>
  </si>
  <si>
    <t>2 bar</t>
  </si>
  <si>
    <t>…..</t>
  </si>
  <si>
    <t>soil moisture (Volume)</t>
  </si>
  <si>
    <t>volume of ring</t>
  </si>
  <si>
    <t>2cm</t>
  </si>
  <si>
    <t>1cm</t>
  </si>
  <si>
    <t>cm3</t>
  </si>
  <si>
    <t>Bulk density</t>
  </si>
  <si>
    <t>Data for water retention curve</t>
  </si>
  <si>
    <t>HTT2#3</t>
  </si>
  <si>
    <t>HTT2#4</t>
  </si>
  <si>
    <t>HTT2#5</t>
  </si>
  <si>
    <t>HTT2#6</t>
  </si>
  <si>
    <t>HTT2#7</t>
  </si>
  <si>
    <t>HTT2#8</t>
  </si>
  <si>
    <t>HTT2#9</t>
  </si>
  <si>
    <t>HTT2#10</t>
  </si>
  <si>
    <t>HTT2#11</t>
  </si>
  <si>
    <t>HTT2#12</t>
  </si>
  <si>
    <t>GH#1</t>
  </si>
  <si>
    <t>GH#2</t>
  </si>
  <si>
    <t>GH#3</t>
  </si>
  <si>
    <t>HT2#2</t>
  </si>
  <si>
    <t>field#2</t>
  </si>
  <si>
    <t>20-25</t>
  </si>
  <si>
    <t>field#3</t>
  </si>
  <si>
    <t>field#6</t>
  </si>
  <si>
    <t>GH#9</t>
  </si>
  <si>
    <t>field#1</t>
  </si>
  <si>
    <t>field#4</t>
  </si>
  <si>
    <t>field#5</t>
  </si>
  <si>
    <t>GH#8</t>
  </si>
  <si>
    <t>GH#11</t>
  </si>
  <si>
    <t>GH#12</t>
  </si>
  <si>
    <t>native#1</t>
  </si>
  <si>
    <t>native#2</t>
  </si>
  <si>
    <t>native#3</t>
  </si>
  <si>
    <t>native#4</t>
  </si>
  <si>
    <t>native#5</t>
  </si>
  <si>
    <t>native#6</t>
  </si>
  <si>
    <t>HT6#2</t>
  </si>
  <si>
    <t>HT6#5</t>
  </si>
  <si>
    <t>HT7#1</t>
  </si>
  <si>
    <t>HT7#2</t>
  </si>
  <si>
    <t>HT7#5</t>
  </si>
  <si>
    <t>HT7#6</t>
  </si>
  <si>
    <t>HT8#1</t>
  </si>
  <si>
    <t>HT8#2</t>
  </si>
  <si>
    <t>有石子</t>
  </si>
  <si>
    <t>mass of box</t>
  </si>
  <si>
    <t>box+fresh soil</t>
  </si>
  <si>
    <t>box+dry soil</t>
  </si>
  <si>
    <t>Goodfarm</t>
  </si>
  <si>
    <t>Soil moisture</t>
  </si>
  <si>
    <t>Grower Name</t>
  </si>
  <si>
    <t>Field Id</t>
  </si>
  <si>
    <t>Sample Id</t>
  </si>
  <si>
    <t>Cation Exchange Capacity</t>
  </si>
  <si>
    <t>Results Unit of Measure</t>
  </si>
  <si>
    <t>Phosphorus</t>
  </si>
  <si>
    <t>Potassium</t>
  </si>
  <si>
    <t>Calcium</t>
  </si>
  <si>
    <t>Magnesium</t>
  </si>
  <si>
    <t>Sulfur</t>
  </si>
  <si>
    <t>Sodium</t>
  </si>
  <si>
    <t>Zinc</t>
  </si>
  <si>
    <t>Manganese</t>
  </si>
  <si>
    <t>Iron</t>
  </si>
  <si>
    <t>Copper</t>
  </si>
  <si>
    <t>Boron</t>
  </si>
  <si>
    <t>Total Carbon %</t>
  </si>
  <si>
    <t>Organic Matter %</t>
  </si>
  <si>
    <t>Total Nitrogen %</t>
  </si>
  <si>
    <t xml:space="preserve">USDA </t>
  </si>
  <si>
    <t>lbs/acre</t>
  </si>
  <si>
    <t xml:space="preserve"> </t>
  </si>
  <si>
    <t xml:space="preserve">Choctaw </t>
  </si>
  <si>
    <t>Bottle Cracked</t>
  </si>
  <si>
    <t xml:space="preserve">Fertilizer </t>
  </si>
  <si>
    <t xml:space="preserve">Organic 70 </t>
  </si>
  <si>
    <t xml:space="preserve">Tucker </t>
  </si>
  <si>
    <t xml:space="preserve">Bottle Cracked </t>
  </si>
  <si>
    <t>Lab Number</t>
  </si>
  <si>
    <t>Farm Id</t>
  </si>
  <si>
    <t>P1</t>
  </si>
  <si>
    <t>Sam GHXX</t>
  </si>
  <si>
    <t>mg/kg</t>
  </si>
  <si>
    <t>Phosphorus(mg/kg)</t>
  </si>
  <si>
    <t>Calcium (mg/kg)</t>
  </si>
  <si>
    <t>Potassium (mg/kg)</t>
  </si>
  <si>
    <t>Magnesium (mg/kg)</t>
  </si>
  <si>
    <t>Sulfur (mg/kg)</t>
  </si>
  <si>
    <t>Sodium (mg/kg)</t>
  </si>
  <si>
    <t>Zinc (mg/kg)</t>
  </si>
  <si>
    <t>Manganese (mg/kg)</t>
  </si>
  <si>
    <t>Iron(mg/kg)</t>
  </si>
  <si>
    <t>Copper(mg/kg)</t>
  </si>
  <si>
    <t>Boron(mg/kg)</t>
  </si>
  <si>
    <t>Question 1: the whole title (GHXX? and depth) of each treatment, from sample ID 71-86.</t>
  </si>
  <si>
    <t xml:space="preserve">Question 3: data highlighted with red colour need to retest.     </t>
  </si>
  <si>
    <t>Q3-2  N32 (59.98) should less than M32 (57.57), and P32 (59.7) should  samller than L32, M32 and N32?</t>
  </si>
  <si>
    <t>Q3-1:  R10 (46.23) should smaller than P10(40.93)?</t>
  </si>
  <si>
    <t xml:space="preserve">Question 4: data highlighted with blue colour need to test.     </t>
  </si>
  <si>
    <t>Q3-3  the soil moisture at each pressure all seems too high, I think that they should be re-tested.</t>
  </si>
  <si>
    <t>Question 2: the whole title (GHXX? and depth) of each treatment, from sample ID 84-85.</t>
  </si>
  <si>
    <t>Sample</t>
  </si>
  <si>
    <t>ID</t>
  </si>
  <si>
    <t>GHXX</t>
  </si>
  <si>
    <t xml:space="preserve">Cracked Bottle </t>
  </si>
  <si>
    <t>Tested date: 2021/7/9</t>
  </si>
  <si>
    <t>HT6 R5-6</t>
  </si>
  <si>
    <t>HT7 R5-6</t>
  </si>
  <si>
    <t>Number 13</t>
  </si>
  <si>
    <t>Number 14</t>
  </si>
  <si>
    <t>Tested date: 2021/7/19</t>
  </si>
  <si>
    <t>Number 15</t>
  </si>
  <si>
    <t>Number 16</t>
  </si>
  <si>
    <t>Tested date: 2021/8/9</t>
  </si>
  <si>
    <t>Number 17</t>
  </si>
  <si>
    <t>Number 18</t>
  </si>
  <si>
    <t>Number 19</t>
  </si>
  <si>
    <t>Tested date: 2021/8/19</t>
  </si>
  <si>
    <t>HT2 R11</t>
  </si>
  <si>
    <t>HT6 R4#4</t>
  </si>
  <si>
    <t xml:space="preserve">GH11 </t>
  </si>
  <si>
    <t>Tested date: 2021/8/27</t>
  </si>
  <si>
    <t>07-14-21</t>
  </si>
  <si>
    <t>07-26-21</t>
  </si>
  <si>
    <t>07-29-21</t>
  </si>
  <si>
    <t>08-20-21</t>
  </si>
  <si>
    <t>08-27-21</t>
  </si>
  <si>
    <t>0 Bar after resaturating</t>
  </si>
  <si>
    <t>The height of soil shrinkage in the ring</t>
  </si>
  <si>
    <t xml:space="preserve">There is a little missing on the soil surface </t>
  </si>
  <si>
    <t>After Dry in oven</t>
  </si>
  <si>
    <t>Mass (g)</t>
  </si>
  <si>
    <t>The height of soil shrinkage in the ring (mm)</t>
  </si>
  <si>
    <t>Raw data</t>
  </si>
  <si>
    <t>After tomato harvest</t>
  </si>
  <si>
    <t>sort</t>
  </si>
  <si>
    <t>Aluminum box E</t>
  </si>
  <si>
    <t>Aluminum box F</t>
  </si>
  <si>
    <t>Aluminum box G</t>
  </si>
  <si>
    <t>Aluminum box H</t>
  </si>
  <si>
    <t>Aluminum box A</t>
  </si>
  <si>
    <t>Aluminum box B</t>
  </si>
  <si>
    <t>Aluminum box C</t>
  </si>
  <si>
    <t>Aluminum box D</t>
  </si>
  <si>
    <t>water</t>
  </si>
  <si>
    <t>random</t>
  </si>
  <si>
    <t>Nynber</t>
  </si>
  <si>
    <t xml:space="preserve">Test date </t>
  </si>
  <si>
    <t>test date</t>
  </si>
  <si>
    <t xml:space="preserve">soil water content </t>
  </si>
  <si>
    <t>box</t>
  </si>
  <si>
    <t>Treatment (cm)</t>
  </si>
  <si>
    <t>box+dry soil (g)</t>
  </si>
  <si>
    <t>box+fresh soil (g)</t>
  </si>
  <si>
    <t>weight soil for test（g）</t>
  </si>
  <si>
    <t>dry soil B +Box</t>
  </si>
  <si>
    <t>Dry soil A+box</t>
  </si>
  <si>
    <t>Box B</t>
  </si>
  <si>
    <t>Box A</t>
  </si>
  <si>
    <t>Dry soil</t>
  </si>
  <si>
    <t>soil water</t>
  </si>
  <si>
    <t>soil miss in the surface</t>
  </si>
  <si>
    <t>Container+dry soil (with ring)</t>
  </si>
  <si>
    <t xml:space="preserve">Container </t>
  </si>
  <si>
    <t xml:space="preserve">Dry soil (with ring) </t>
  </si>
  <si>
    <t xml:space="preserve">Empty ring </t>
  </si>
  <si>
    <t>soil mass  water content</t>
  </si>
  <si>
    <t>soil volumetric  water content</t>
  </si>
  <si>
    <t>edit 09/18/21</t>
  </si>
  <si>
    <t>Number 20</t>
  </si>
  <si>
    <t>Tested date: 2021/9/7</t>
  </si>
  <si>
    <t>HT2#4</t>
  </si>
  <si>
    <t>HT2 R1 #1</t>
  </si>
  <si>
    <t>141.32 g</t>
  </si>
  <si>
    <t>145.26  g</t>
  </si>
  <si>
    <t>151.33 g</t>
  </si>
  <si>
    <t>163.04  g</t>
  </si>
  <si>
    <t>对于饱和后的土壤无法充满环刀，样品如何校正</t>
  </si>
  <si>
    <t>Fresh soil +ring</t>
  </si>
  <si>
    <t>Number 21</t>
  </si>
  <si>
    <t>Tested date: 2021/9/13</t>
  </si>
  <si>
    <t>144.91 g</t>
  </si>
  <si>
    <t>173.52 g</t>
  </si>
  <si>
    <t>183.26 g</t>
  </si>
  <si>
    <t>206.22  g</t>
  </si>
  <si>
    <t>Number 22</t>
  </si>
  <si>
    <t>Tested date: 2021/9/20</t>
  </si>
  <si>
    <t>Number 23</t>
  </si>
  <si>
    <t>Tested date: 2021/9/24</t>
  </si>
  <si>
    <t>Number 24</t>
  </si>
  <si>
    <t>Tested date: 2021/9/</t>
  </si>
  <si>
    <t>HT6  R3-3</t>
  </si>
  <si>
    <t>HT6  R4-5</t>
  </si>
  <si>
    <t>HT8  R1-1</t>
  </si>
  <si>
    <t>HT8  R3-5</t>
  </si>
  <si>
    <t>HT6 #1</t>
  </si>
  <si>
    <t>09-17-21</t>
  </si>
  <si>
    <t>added filter paper</t>
  </si>
  <si>
    <t>EC, us/cm</t>
  </si>
  <si>
    <r>
      <t>EC (u</t>
    </r>
    <r>
      <rPr>
        <sz val="11"/>
        <color theme="1"/>
        <rFont val="Calibri"/>
        <family val="2"/>
      </rPr>
      <t>S/cm)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</si>
</sst>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_ "/>
    <numFmt numFmtId="165" formatCode="0.000_ "/>
    <numFmt numFmtId="166" formatCode="0.0000_ "/>
    <numFmt numFmtId="167" formatCode="0.0000%"/>
    <numFmt numFmtId="168" formatCode="mm/dd/yy;@"/>
    <numFmt numFmtId="169" formatCode="0.0"/>
    <numFmt numFmtId="170" formatCode="0.000"/>
  </numFmts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Times New Roman"/>
      <family val="1"/>
    </font>
    <font>
      <sz val="12"/>
      <color rgb="FF000000"/>
      <name val="等线"/>
      <charset val="134"/>
    </font>
    <font>
      <sz val="12"/>
      <color rgb="FF000000"/>
      <name val="宋体"/>
      <charset val="134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vertAlign val="superscript"/>
      <sz val="10"/>
      <color rgb="FF000000"/>
      <name val="Times New Roman"/>
      <family val="1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sz val="11"/>
      <color rgb="FFFF0000"/>
      <name val="Calibri"/>
      <family val="2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0" fontId="26" fillId="0" borderId="0">
      <alignment vertical="center"/>
    </xf>
    <xf numFmtId="0" fontId="3" fillId="0" borderId="0"/>
    <xf numFmtId="0" fontId="4" fillId="0" borderId="0"/>
  </cellStyleXfs>
  <cellXfs count="850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6" fontId="12" fillId="0" borderId="0" xfId="0" applyNumberFormat="1" applyFont="1" applyAlignment="1">
      <alignment horizontal="center" vertical="center"/>
    </xf>
    <xf numFmtId="0" fontId="0" fillId="5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15" fillId="0" borderId="0" xfId="1">
      <alignment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>
      <alignment vertical="center"/>
    </xf>
    <xf numFmtId="0" fontId="0" fillId="0" borderId="6" xfId="0" applyFill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>
      <alignment vertical="center"/>
    </xf>
    <xf numFmtId="0" fontId="19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164" fontId="20" fillId="0" borderId="0" xfId="0" applyNumberFormat="1" applyFont="1" applyFill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18" fillId="0" borderId="14" xfId="0" applyFont="1" applyFill="1" applyBorder="1">
      <alignment vertical="center"/>
    </xf>
    <xf numFmtId="2" fontId="18" fillId="0" borderId="0" xfId="0" applyNumberFormat="1" applyFont="1" applyFill="1">
      <alignment vertical="center"/>
    </xf>
    <xf numFmtId="2" fontId="18" fillId="0" borderId="14" xfId="0" applyNumberFormat="1" applyFont="1" applyFill="1" applyBorder="1">
      <alignment vertical="center"/>
    </xf>
    <xf numFmtId="2" fontId="19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7" fillId="0" borderId="0" xfId="0" applyFont="1">
      <alignment vertical="center"/>
    </xf>
    <xf numFmtId="14" fontId="17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22" fillId="0" borderId="6" xfId="0" applyFont="1" applyBorder="1">
      <alignment vertical="center"/>
    </xf>
    <xf numFmtId="0" fontId="22" fillId="0" borderId="0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16" fillId="5" borderId="0" xfId="0" applyFont="1" applyFill="1">
      <alignment vertical="center"/>
    </xf>
    <xf numFmtId="0" fontId="24" fillId="6" borderId="0" xfId="0" applyFont="1" applyFill="1">
      <alignment vertical="center"/>
    </xf>
    <xf numFmtId="0" fontId="25" fillId="6" borderId="0" xfId="0" applyFont="1" applyFill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49" fontId="23" fillId="0" borderId="14" xfId="0" applyNumberFormat="1" applyFont="1" applyBorder="1" applyAlignment="1">
      <alignment horizontal="left" vertical="center" wrapText="1"/>
    </xf>
    <xf numFmtId="49" fontId="23" fillId="0" borderId="0" xfId="0" applyNumberFormat="1" applyFont="1" applyBorder="1" applyAlignment="1">
      <alignment horizontal="left" vertical="center" wrapText="1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64" fontId="17" fillId="0" borderId="0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14" xfId="0" applyNumberFormat="1" applyFont="1" applyFill="1" applyBorder="1" applyAlignment="1">
      <alignment horizontal="center" vertical="center"/>
    </xf>
    <xf numFmtId="0" fontId="27" fillId="6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1" fillId="7" borderId="0" xfId="0" applyFont="1" applyFill="1" applyBorder="1" applyAlignment="1"/>
    <xf numFmtId="0" fontId="31" fillId="7" borderId="0" xfId="0" applyFont="1" applyFill="1" applyBorder="1" applyAlignment="1">
      <alignment horizontal="center"/>
    </xf>
    <xf numFmtId="0" fontId="17" fillId="7" borderId="0" xfId="0" applyFont="1" applyFill="1" applyAlignment="1"/>
    <xf numFmtId="0" fontId="32" fillId="7" borderId="0" xfId="0" applyFont="1" applyFill="1" applyBorder="1" applyAlignment="1"/>
    <xf numFmtId="0" fontId="17" fillId="7" borderId="0" xfId="0" applyFont="1" applyFill="1" applyAlignment="1">
      <alignment horizontal="center"/>
    </xf>
    <xf numFmtId="0" fontId="30" fillId="8" borderId="4" xfId="0" applyFont="1" applyFill="1" applyBorder="1" applyAlignment="1">
      <alignment horizontal="center" wrapText="1" readingOrder="1"/>
    </xf>
    <xf numFmtId="0" fontId="30" fillId="7" borderId="4" xfId="0" applyFont="1" applyFill="1" applyBorder="1" applyAlignment="1">
      <alignment horizontal="center" wrapText="1" readingOrder="1"/>
    </xf>
    <xf numFmtId="0" fontId="17" fillId="0" borderId="4" xfId="0" applyFont="1" applyBorder="1" applyAlignment="1">
      <alignment horizontal="center" readingOrder="1"/>
    </xf>
    <xf numFmtId="0" fontId="17" fillId="0" borderId="4" xfId="0" applyFont="1" applyBorder="1" applyAlignment="1">
      <alignment horizontal="center"/>
    </xf>
    <xf numFmtId="0" fontId="17" fillId="7" borderId="4" xfId="0" applyFont="1" applyFill="1" applyBorder="1" applyAlignment="1">
      <alignment horizontal="center" readingOrder="1"/>
    </xf>
    <xf numFmtId="0" fontId="33" fillId="7" borderId="4" xfId="0" applyFont="1" applyFill="1" applyBorder="1" applyAlignment="1">
      <alignment horizontal="center" wrapText="1" readingOrder="1"/>
    </xf>
    <xf numFmtId="0" fontId="21" fillId="7" borderId="4" xfId="0" applyFont="1" applyFill="1" applyBorder="1" applyAlignment="1">
      <alignment horizontal="center" readingOrder="1"/>
    </xf>
    <xf numFmtId="0" fontId="27" fillId="0" borderId="0" xfId="0" applyFont="1">
      <alignment vertical="center"/>
    </xf>
    <xf numFmtId="0" fontId="21" fillId="0" borderId="4" xfId="0" applyFont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33" fillId="7" borderId="4" xfId="0" applyFont="1" applyFill="1" applyBorder="1" applyAlignment="1">
      <alignment horizontal="center" wrapText="1"/>
    </xf>
    <xf numFmtId="0" fontId="21" fillId="0" borderId="4" xfId="0" applyFont="1" applyBorder="1" applyAlignment="1">
      <alignment horizontal="center" readingOrder="1"/>
    </xf>
    <xf numFmtId="0" fontId="34" fillId="7" borderId="4" xfId="0" applyFont="1" applyFill="1" applyBorder="1" applyAlignment="1">
      <alignment horizontal="center" wrapText="1" readingOrder="1"/>
    </xf>
    <xf numFmtId="0" fontId="35" fillId="0" borderId="4" xfId="0" applyFont="1" applyBorder="1" applyAlignment="1">
      <alignment horizontal="center" readingOrder="1"/>
    </xf>
    <xf numFmtId="0" fontId="35" fillId="5" borderId="4" xfId="0" applyFont="1" applyFill="1" applyBorder="1" applyAlignment="1">
      <alignment horizontal="center" readingOrder="1"/>
    </xf>
    <xf numFmtId="0" fontId="0" fillId="5" borderId="0" xfId="0" applyFont="1" applyFill="1" applyAlignment="1"/>
    <xf numFmtId="0" fontId="0" fillId="5" borderId="0" xfId="0" applyFill="1" applyAlignment="1"/>
    <xf numFmtId="0" fontId="0" fillId="5" borderId="0" xfId="0" applyFill="1" applyBorder="1" applyAlignment="1"/>
    <xf numFmtId="164" fontId="0" fillId="0" borderId="0" xfId="0" applyNumberFormat="1" applyAlignment="1"/>
    <xf numFmtId="0" fontId="0" fillId="0" borderId="0" xfId="0" applyBorder="1" applyAlignment="1"/>
    <xf numFmtId="10" fontId="0" fillId="0" borderId="0" xfId="0" applyNumberFormat="1" applyAlignment="1"/>
    <xf numFmtId="0" fontId="16" fillId="0" borderId="0" xfId="0" applyFont="1" applyAlignment="1"/>
    <xf numFmtId="0" fontId="16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9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3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6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66" fontId="17" fillId="0" borderId="0" xfId="0" applyNumberFormat="1" applyFo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166" fontId="17" fillId="0" borderId="0" xfId="0" applyNumberFormat="1" applyFont="1" applyFill="1" applyAlignment="1">
      <alignment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vertical="center"/>
    </xf>
    <xf numFmtId="166" fontId="40" fillId="0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166" fontId="17" fillId="5" borderId="0" xfId="0" applyNumberFormat="1" applyFont="1" applyFill="1" applyAlignment="1">
      <alignment vertical="center"/>
    </xf>
    <xf numFmtId="164" fontId="17" fillId="0" borderId="0" xfId="0" applyNumberFormat="1" applyFont="1" applyFill="1" applyAlignment="1">
      <alignment horizontal="center" vertical="center"/>
    </xf>
    <xf numFmtId="166" fontId="17" fillId="0" borderId="0" xfId="0" applyNumberFormat="1" applyFont="1" applyFill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0" fontId="23" fillId="5" borderId="0" xfId="0" applyFont="1" applyFill="1">
      <alignment vertical="center"/>
    </xf>
    <xf numFmtId="0" fontId="33" fillId="0" borderId="16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7" fontId="27" fillId="0" borderId="0" xfId="2" applyNumberFormat="1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33" fillId="5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justify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64" fontId="35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justify" vertical="center"/>
    </xf>
    <xf numFmtId="0" fontId="43" fillId="0" borderId="0" xfId="0" applyFont="1">
      <alignment vertical="center"/>
    </xf>
    <xf numFmtId="0" fontId="44" fillId="0" borderId="2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justify" vertical="center"/>
    </xf>
    <xf numFmtId="164" fontId="44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164" fontId="44" fillId="0" borderId="0" xfId="0" applyNumberFormat="1" applyFont="1" applyAlignment="1">
      <alignment vertical="center"/>
    </xf>
    <xf numFmtId="164" fontId="44" fillId="0" borderId="0" xfId="0" applyNumberFormat="1" applyFont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164" fontId="44" fillId="0" borderId="17" xfId="0" applyNumberFormat="1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5" fillId="0" borderId="0" xfId="0" applyFont="1">
      <alignment vertical="center"/>
    </xf>
    <xf numFmtId="0" fontId="44" fillId="0" borderId="3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justify" vertical="center"/>
    </xf>
    <xf numFmtId="0" fontId="43" fillId="0" borderId="17" xfId="0" applyFont="1" applyBorder="1">
      <alignment vertical="center"/>
    </xf>
    <xf numFmtId="0" fontId="44" fillId="0" borderId="0" xfId="0" applyFont="1" applyFill="1" applyAlignment="1">
      <alignment horizontal="center" vertical="center" wrapText="1"/>
    </xf>
    <xf numFmtId="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>
      <alignment vertical="center"/>
    </xf>
    <xf numFmtId="2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0" fillId="9" borderId="0" xfId="0" applyFill="1">
      <alignment vertical="center"/>
    </xf>
    <xf numFmtId="49" fontId="0" fillId="9" borderId="0" xfId="0" applyNumberFormat="1" applyFill="1">
      <alignment vertical="center"/>
    </xf>
    <xf numFmtId="2" fontId="0" fillId="9" borderId="0" xfId="0" applyNumberFormat="1" applyFill="1">
      <alignment vertical="center"/>
    </xf>
    <xf numFmtId="0" fontId="0" fillId="9" borderId="18" xfId="0" applyFill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vertical="center"/>
    </xf>
    <xf numFmtId="16" fontId="1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0" fillId="9" borderId="18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23" fillId="9" borderId="0" xfId="0" applyNumberFormat="1" applyFon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68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2" fontId="0" fillId="5" borderId="0" xfId="0" applyNumberFormat="1" applyFill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center" wrapText="1"/>
    </xf>
    <xf numFmtId="49" fontId="23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2" fontId="55" fillId="0" borderId="0" xfId="0" applyNumberFormat="1" applyFont="1" applyFill="1">
      <alignment vertical="center"/>
    </xf>
    <xf numFmtId="2" fontId="55" fillId="5" borderId="0" xfId="0" applyNumberFormat="1" applyFont="1" applyFill="1">
      <alignment vertical="center"/>
    </xf>
    <xf numFmtId="2" fontId="20" fillId="0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0" fontId="29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7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0" xfId="0" applyBorder="1" applyAlignment="1">
      <alignment horizontal="center" vertical="center"/>
    </xf>
    <xf numFmtId="0" fontId="7" fillId="0" borderId="19" xfId="0" applyFont="1" applyBorder="1">
      <alignment vertical="center"/>
    </xf>
    <xf numFmtId="169" fontId="0" fillId="0" borderId="0" xfId="0" applyNumberFormat="1">
      <alignment vertical="center"/>
    </xf>
    <xf numFmtId="0" fontId="57" fillId="0" borderId="0" xfId="0" applyFo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  <xf numFmtId="2" fontId="58" fillId="0" borderId="0" xfId="0" applyNumberFormat="1" applyFont="1">
      <alignment vertical="center"/>
    </xf>
    <xf numFmtId="15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3" fillId="0" borderId="0" xfId="0" applyFont="1">
      <alignment vertical="center"/>
    </xf>
    <xf numFmtId="169" fontId="23" fillId="0" borderId="0" xfId="0" applyNumberFormat="1" applyFont="1">
      <alignment vertical="center"/>
    </xf>
    <xf numFmtId="0" fontId="18" fillId="0" borderId="0" xfId="0" applyFont="1">
      <alignment vertical="center"/>
    </xf>
    <xf numFmtId="2" fontId="18" fillId="0" borderId="0" xfId="0" applyNumberFormat="1" applyFont="1">
      <alignment vertical="center"/>
    </xf>
    <xf numFmtId="169" fontId="18" fillId="0" borderId="0" xfId="0" applyNumberFormat="1" applyFont="1">
      <alignment vertical="center"/>
    </xf>
    <xf numFmtId="170" fontId="18" fillId="0" borderId="0" xfId="0" applyNumberFormat="1" applyFont="1">
      <alignment vertical="center"/>
    </xf>
    <xf numFmtId="49" fontId="23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2" fontId="0" fillId="0" borderId="0" xfId="0" applyNumberFormat="1" applyFill="1">
      <alignment vertical="center"/>
    </xf>
    <xf numFmtId="49" fontId="0" fillId="9" borderId="0" xfId="0" applyNumberForma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168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21" fillId="0" borderId="12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7" fillId="11" borderId="0" xfId="0" applyFont="1" applyFill="1">
      <alignment vertical="center"/>
    </xf>
    <xf numFmtId="0" fontId="19" fillId="12" borderId="0" xfId="0" applyFont="1" applyFill="1" applyBorder="1" applyAlignment="1">
      <alignment horizontal="center" vertical="center"/>
    </xf>
    <xf numFmtId="0" fontId="17" fillId="12" borderId="0" xfId="0" applyFont="1" applyFill="1">
      <alignment vertical="center"/>
    </xf>
    <xf numFmtId="0" fontId="0" fillId="12" borderId="0" xfId="0" applyFill="1">
      <alignment vertical="center"/>
    </xf>
    <xf numFmtId="0" fontId="0" fillId="0" borderId="4" xfId="0" applyBorder="1">
      <alignment vertical="center"/>
    </xf>
    <xf numFmtId="0" fontId="0" fillId="0" borderId="21" xfId="0" applyFont="1" applyBorder="1">
      <alignment vertical="center"/>
    </xf>
    <xf numFmtId="0" fontId="20" fillId="11" borderId="6" xfId="0" applyFont="1" applyFill="1" applyBorder="1" applyAlignment="1">
      <alignment horizontal="left" vertical="center"/>
    </xf>
    <xf numFmtId="0" fontId="19" fillId="11" borderId="6" xfId="0" applyFont="1" applyFill="1" applyBorder="1" applyAlignment="1">
      <alignment horizontal="left" vertical="center"/>
    </xf>
    <xf numFmtId="0" fontId="17" fillId="11" borderId="6" xfId="0" applyFont="1" applyFill="1" applyBorder="1" applyAlignment="1">
      <alignment horizontal="left" vertical="center"/>
    </xf>
    <xf numFmtId="0" fontId="20" fillId="12" borderId="6" xfId="0" applyFont="1" applyFill="1" applyBorder="1" applyAlignment="1">
      <alignment horizontal="center" vertical="center"/>
    </xf>
    <xf numFmtId="0" fontId="19" fillId="12" borderId="6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164" fontId="17" fillId="0" borderId="0" xfId="0" applyNumberFormat="1" applyFont="1" applyFill="1">
      <alignment vertical="center"/>
    </xf>
    <xf numFmtId="0" fontId="4" fillId="13" borderId="4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17" fillId="11" borderId="0" xfId="0" applyFont="1" applyFill="1" applyAlignment="1">
      <alignment horizontal="left" vertical="center"/>
    </xf>
    <xf numFmtId="16" fontId="17" fillId="11" borderId="0" xfId="0" applyNumberFormat="1" applyFont="1" applyFill="1" applyAlignment="1">
      <alignment horizontal="left" vertical="center"/>
    </xf>
    <xf numFmtId="0" fontId="17" fillId="15" borderId="0" xfId="0" applyFont="1" applyFill="1">
      <alignment vertical="center"/>
    </xf>
    <xf numFmtId="164" fontId="17" fillId="15" borderId="0" xfId="0" applyNumberFormat="1" applyFont="1" applyFill="1">
      <alignment vertical="center"/>
    </xf>
    <xf numFmtId="164" fontId="17" fillId="11" borderId="0" xfId="0" applyNumberFormat="1" applyFont="1" applyFill="1">
      <alignment vertical="center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16" fontId="35" fillId="0" borderId="6" xfId="0" applyNumberFormat="1" applyFont="1" applyFill="1" applyBorder="1" applyAlignment="1">
      <alignment horizontal="center" vertical="center"/>
    </xf>
    <xf numFmtId="164" fontId="35" fillId="10" borderId="7" xfId="0" applyNumberFormat="1" applyFont="1" applyFill="1" applyBorder="1" applyAlignment="1">
      <alignment horizontal="center" vertical="center"/>
    </xf>
    <xf numFmtId="164" fontId="0" fillId="14" borderId="4" xfId="0" applyNumberForma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64" fontId="17" fillId="0" borderId="0" xfId="0" applyNumberFormat="1" applyFont="1">
      <alignment vertical="center"/>
    </xf>
    <xf numFmtId="0" fontId="17" fillId="15" borderId="0" xfId="0" applyFont="1" applyFill="1" applyAlignment="1">
      <alignment vertical="center"/>
    </xf>
    <xf numFmtId="164" fontId="17" fillId="15" borderId="0" xfId="0" applyNumberFormat="1" applyFont="1" applyFill="1" applyAlignment="1">
      <alignment vertical="center"/>
    </xf>
    <xf numFmtId="164" fontId="0" fillId="15" borderId="0" xfId="0" applyNumberFormat="1" applyFill="1">
      <alignment vertical="center"/>
    </xf>
    <xf numFmtId="0" fontId="0" fillId="11" borderId="0" xfId="0" applyFill="1">
      <alignment vertical="center"/>
    </xf>
    <xf numFmtId="164" fontId="0" fillId="11" borderId="0" xfId="0" applyNumberFormat="1" applyFill="1">
      <alignment vertical="center"/>
    </xf>
    <xf numFmtId="0" fontId="0" fillId="0" borderId="4" xfId="0" applyFont="1" applyBorder="1">
      <alignment vertical="center"/>
    </xf>
    <xf numFmtId="0" fontId="13" fillId="13" borderId="4" xfId="0" applyFont="1" applyFill="1" applyBorder="1">
      <alignment vertical="center"/>
    </xf>
    <xf numFmtId="0" fontId="17" fillId="13" borderId="4" xfId="0" applyFont="1" applyFill="1" applyBorder="1" applyAlignment="1">
      <alignment vertical="center" wrapText="1"/>
    </xf>
    <xf numFmtId="0" fontId="35" fillId="4" borderId="0" xfId="0" applyFont="1" applyFill="1" applyAlignment="1">
      <alignment horizontal="center" vertical="center"/>
    </xf>
    <xf numFmtId="16" fontId="35" fillId="0" borderId="0" xfId="0" applyNumberFormat="1" applyFont="1" applyFill="1" applyAlignment="1">
      <alignment horizontal="center" vertical="center"/>
    </xf>
    <xf numFmtId="164" fontId="35" fillId="10" borderId="0" xfId="0" applyNumberFormat="1" applyFont="1" applyFill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164" fontId="13" fillId="13" borderId="4" xfId="0" applyNumberFormat="1" applyFont="1" applyFill="1" applyBorder="1" applyAlignment="1">
      <alignment horizontal="center" vertical="center"/>
    </xf>
    <xf numFmtId="164" fontId="0" fillId="13" borderId="4" xfId="0" applyNumberFormat="1" applyFill="1" applyBorder="1" applyAlignment="1">
      <alignment horizontal="center" vertical="center"/>
    </xf>
    <xf numFmtId="164" fontId="0" fillId="14" borderId="4" xfId="0" applyNumberFormat="1" applyFill="1" applyBorder="1">
      <alignment vertical="center"/>
    </xf>
    <xf numFmtId="16" fontId="12" fillId="13" borderId="4" xfId="0" applyNumberFormat="1" applyFont="1" applyFill="1" applyBorder="1" applyAlignment="1">
      <alignment horizontal="center" vertical="center"/>
    </xf>
    <xf numFmtId="16" fontId="17" fillId="15" borderId="0" xfId="0" applyNumberFormat="1" applyFont="1" applyFill="1">
      <alignment vertical="center"/>
    </xf>
    <xf numFmtId="0" fontId="17" fillId="11" borderId="0" xfId="0" applyFont="1" applyFill="1" applyAlignment="1">
      <alignment vertical="center"/>
    </xf>
    <xf numFmtId="0" fontId="17" fillId="13" borderId="0" xfId="0" applyFont="1" applyFill="1">
      <alignment vertical="center"/>
    </xf>
    <xf numFmtId="16" fontId="17" fillId="13" borderId="0" xfId="0" applyNumberFormat="1" applyFont="1" applyFill="1">
      <alignment vertical="center"/>
    </xf>
    <xf numFmtId="164" fontId="17" fillId="13" borderId="0" xfId="0" applyNumberFormat="1" applyFont="1" applyFill="1">
      <alignment vertical="center"/>
    </xf>
    <xf numFmtId="164" fontId="0" fillId="13" borderId="0" xfId="0" applyNumberFormat="1" applyFill="1">
      <alignment vertical="center"/>
    </xf>
    <xf numFmtId="164" fontId="17" fillId="0" borderId="0" xfId="0" applyNumberFormat="1" applyFont="1" applyFill="1" applyAlignment="1">
      <alignment vertical="center"/>
    </xf>
    <xf numFmtId="0" fontId="0" fillId="16" borderId="0" xfId="0" applyFill="1">
      <alignment vertical="center"/>
    </xf>
    <xf numFmtId="164" fontId="0" fillId="16" borderId="0" xfId="0" applyNumberFormat="1" applyFill="1">
      <alignment vertical="center"/>
    </xf>
    <xf numFmtId="0" fontId="0" fillId="13" borderId="0" xfId="0" applyFill="1">
      <alignment vertical="center"/>
    </xf>
    <xf numFmtId="0" fontId="35" fillId="3" borderId="0" xfId="0" applyFont="1" applyFill="1" applyAlignment="1">
      <alignment horizontal="center" vertical="center"/>
    </xf>
    <xf numFmtId="16" fontId="17" fillId="11" borderId="0" xfId="0" applyNumberFormat="1" applyFont="1" applyFill="1">
      <alignment vertical="center"/>
    </xf>
    <xf numFmtId="0" fontId="17" fillId="16" borderId="0" xfId="0" applyFont="1" applyFill="1" applyAlignment="1">
      <alignment horizontal="left" vertical="center"/>
    </xf>
    <xf numFmtId="164" fontId="17" fillId="16" borderId="0" xfId="0" applyNumberFormat="1" applyFont="1" applyFill="1" applyAlignment="1">
      <alignment horizontal="left" vertical="center"/>
    </xf>
    <xf numFmtId="16" fontId="17" fillId="16" borderId="0" xfId="0" applyNumberFormat="1" applyFont="1" applyFill="1" applyAlignment="1">
      <alignment horizontal="left" vertical="center"/>
    </xf>
    <xf numFmtId="0" fontId="40" fillId="4" borderId="0" xfId="0" applyFont="1" applyFill="1" applyAlignment="1">
      <alignment horizontal="center" vertical="center"/>
    </xf>
    <xf numFmtId="0" fontId="17" fillId="16" borderId="0" xfId="0" applyFont="1" applyFill="1" applyAlignment="1">
      <alignment vertical="center"/>
    </xf>
    <xf numFmtId="164" fontId="17" fillId="16" borderId="0" xfId="0" applyNumberFormat="1" applyFont="1" applyFill="1" applyAlignment="1">
      <alignment vertical="center"/>
    </xf>
    <xf numFmtId="0" fontId="17" fillId="16" borderId="0" xfId="0" applyFont="1" applyFill="1">
      <alignment vertical="center"/>
    </xf>
    <xf numFmtId="164" fontId="17" fillId="16" borderId="0" xfId="0" applyNumberFormat="1" applyFont="1" applyFill="1">
      <alignment vertical="center"/>
    </xf>
    <xf numFmtId="16" fontId="17" fillId="16" borderId="0" xfId="0" applyNumberFormat="1" applyFont="1" applyFill="1">
      <alignment vertical="center"/>
    </xf>
    <xf numFmtId="0" fontId="17" fillId="17" borderId="0" xfId="0" applyFont="1" applyFill="1">
      <alignment vertical="center"/>
    </xf>
    <xf numFmtId="164" fontId="17" fillId="17" borderId="0" xfId="0" applyNumberFormat="1" applyFont="1" applyFill="1">
      <alignment vertical="center"/>
    </xf>
    <xf numFmtId="0" fontId="0" fillId="17" borderId="0" xfId="0" applyFill="1">
      <alignment vertical="center"/>
    </xf>
    <xf numFmtId="164" fontId="0" fillId="17" borderId="0" xfId="0" applyNumberFormat="1" applyFill="1">
      <alignment vertical="center"/>
    </xf>
    <xf numFmtId="0" fontId="19" fillId="17" borderId="0" xfId="0" applyFont="1" applyFill="1" applyAlignment="1">
      <alignment vertical="center"/>
    </xf>
    <xf numFmtId="164" fontId="17" fillId="17" borderId="0" xfId="0" applyNumberFormat="1" applyFont="1" applyFill="1" applyAlignment="1">
      <alignment vertical="center"/>
    </xf>
    <xf numFmtId="0" fontId="40" fillId="3" borderId="0" xfId="0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2" fontId="18" fillId="19" borderId="0" xfId="0" applyNumberFormat="1" applyFont="1" applyFill="1">
      <alignment vertical="center"/>
    </xf>
    <xf numFmtId="0" fontId="18" fillId="19" borderId="0" xfId="0" applyFont="1" applyFill="1">
      <alignment vertical="center"/>
    </xf>
    <xf numFmtId="49" fontId="18" fillId="19" borderId="0" xfId="0" applyNumberFormat="1" applyFont="1" applyFill="1">
      <alignment vertical="center"/>
    </xf>
    <xf numFmtId="0" fontId="18" fillId="13" borderId="0" xfId="0" applyFont="1" applyFill="1">
      <alignment vertical="center"/>
    </xf>
    <xf numFmtId="49" fontId="18" fillId="13" borderId="0" xfId="0" applyNumberFormat="1" applyFont="1" applyFill="1">
      <alignment vertical="center"/>
    </xf>
    <xf numFmtId="2" fontId="18" fillId="13" borderId="0" xfId="0" applyNumberFormat="1" applyFont="1" applyFill="1">
      <alignment vertical="center"/>
    </xf>
    <xf numFmtId="0" fontId="18" fillId="1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2" fontId="18" fillId="18" borderId="0" xfId="0" applyNumberFormat="1" applyFont="1" applyFill="1">
      <alignment vertical="center"/>
    </xf>
    <xf numFmtId="2" fontId="18" fillId="13" borderId="0" xfId="0" applyNumberFormat="1" applyFont="1" applyFill="1" applyAlignment="1">
      <alignment horizontal="center" vertical="center"/>
    </xf>
    <xf numFmtId="170" fontId="18" fillId="18" borderId="0" xfId="0" applyNumberFormat="1" applyFont="1" applyFill="1">
      <alignment vertical="center"/>
    </xf>
    <xf numFmtId="169" fontId="18" fillId="13" borderId="0" xfId="0" applyNumberFormat="1" applyFont="1" applyFill="1">
      <alignment vertical="center"/>
    </xf>
    <xf numFmtId="169" fontId="18" fillId="18" borderId="0" xfId="0" applyNumberFormat="1" applyFont="1" applyFill="1">
      <alignment vertical="center"/>
    </xf>
    <xf numFmtId="0" fontId="18" fillId="11" borderId="0" xfId="0" applyFont="1" applyFill="1" applyAlignment="1">
      <alignment horizontal="center" vertical="center"/>
    </xf>
    <xf numFmtId="0" fontId="18" fillId="11" borderId="0" xfId="0" applyFont="1" applyFill="1">
      <alignment vertical="center"/>
    </xf>
    <xf numFmtId="0" fontId="4" fillId="2" borderId="0" xfId="0" applyFont="1" applyFill="1">
      <alignment vertical="center"/>
    </xf>
    <xf numFmtId="170" fontId="18" fillId="11" borderId="0" xfId="0" applyNumberFormat="1" applyFont="1" applyFill="1" applyAlignment="1">
      <alignment horizontal="center" vertical="center"/>
    </xf>
    <xf numFmtId="169" fontId="18" fillId="11" borderId="0" xfId="0" applyNumberFormat="1" applyFont="1" applyFill="1">
      <alignment vertical="center"/>
    </xf>
    <xf numFmtId="0" fontId="18" fillId="20" borderId="0" xfId="0" applyFont="1" applyFill="1" applyAlignment="1">
      <alignment horizontal="center" vertical="center"/>
    </xf>
    <xf numFmtId="0" fontId="18" fillId="20" borderId="0" xfId="0" applyFont="1" applyFill="1">
      <alignment vertical="center"/>
    </xf>
    <xf numFmtId="169" fontId="0" fillId="11" borderId="0" xfId="0" applyNumberFormat="1" applyFill="1">
      <alignment vertical="center"/>
    </xf>
    <xf numFmtId="169" fontId="18" fillId="13" borderId="0" xfId="0" applyNumberFormat="1" applyFont="1" applyFill="1" applyAlignment="1">
      <alignment horizontal="center" vertical="center"/>
    </xf>
    <xf numFmtId="170" fontId="18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2" fontId="0" fillId="11" borderId="0" xfId="0" applyNumberFormat="1" applyFill="1">
      <alignment vertical="center"/>
    </xf>
    <xf numFmtId="16" fontId="0" fillId="11" borderId="0" xfId="0" applyNumberFormat="1" applyFill="1">
      <alignment vertical="center"/>
    </xf>
    <xf numFmtId="0" fontId="4" fillId="18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0" borderId="12" xfId="0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4" fillId="5" borderId="10" xfId="0" applyFont="1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11" fontId="0" fillId="5" borderId="12" xfId="0" applyNumberForma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13" borderId="4" xfId="0" applyFont="1" applyFill="1" applyBorder="1" applyAlignment="1">
      <alignment horizontal="center" vertical="center"/>
    </xf>
    <xf numFmtId="164" fontId="19" fillId="13" borderId="4" xfId="0" applyNumberFormat="1" applyFont="1" applyFill="1" applyBorder="1" applyAlignment="1">
      <alignment horizontal="center" vertical="center"/>
    </xf>
    <xf numFmtId="2" fontId="0" fillId="13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2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21" borderId="18" xfId="0" applyNumberForma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ill="1">
      <alignment vertical="center"/>
    </xf>
    <xf numFmtId="2" fontId="0" fillId="21" borderId="18" xfId="0" applyNumberFormat="1" applyFill="1" applyBorder="1">
      <alignment vertical="center"/>
    </xf>
    <xf numFmtId="2" fontId="0" fillId="21" borderId="0" xfId="0" applyNumberForma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2" fontId="4" fillId="9" borderId="0" xfId="0" applyNumberFormat="1" applyFont="1" applyFill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2" fontId="4" fillId="22" borderId="0" xfId="0" applyNumberFormat="1" applyFont="1" applyFill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22" borderId="18" xfId="0" applyFill="1" applyBorder="1">
      <alignment vertical="center"/>
    </xf>
    <xf numFmtId="2" fontId="0" fillId="22" borderId="0" xfId="0" applyNumberFormat="1" applyFill="1">
      <alignment vertical="center"/>
    </xf>
    <xf numFmtId="14" fontId="0" fillId="13" borderId="0" xfId="0" applyNumberForma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2" borderId="0" xfId="0" applyFill="1">
      <alignment vertical="center"/>
    </xf>
    <xf numFmtId="2" fontId="18" fillId="22" borderId="0" xfId="0" applyNumberFormat="1" applyFont="1" applyFill="1" applyAlignment="1">
      <alignment horizontal="center" vertical="center"/>
    </xf>
    <xf numFmtId="0" fontId="26" fillId="0" borderId="0" xfId="3">
      <alignment vertical="center"/>
    </xf>
    <xf numFmtId="14" fontId="26" fillId="0" borderId="0" xfId="3" applyNumberFormat="1">
      <alignment vertical="center"/>
    </xf>
    <xf numFmtId="170" fontId="26" fillId="0" borderId="0" xfId="3" applyNumberFormat="1">
      <alignment vertical="center"/>
    </xf>
    <xf numFmtId="0" fontId="3" fillId="0" borderId="0" xfId="4"/>
    <xf numFmtId="0" fontId="3" fillId="0" borderId="0" xfId="4" applyAlignment="1">
      <alignment horizontal="center"/>
    </xf>
    <xf numFmtId="0" fontId="3" fillId="5" borderId="0" xfId="4" applyFill="1"/>
    <xf numFmtId="0" fontId="3" fillId="5" borderId="0" xfId="4" applyFill="1" applyAlignment="1">
      <alignment wrapText="1"/>
    </xf>
    <xf numFmtId="0" fontId="3" fillId="5" borderId="0" xfId="4" applyFill="1" applyAlignment="1">
      <alignment horizontal="center"/>
    </xf>
    <xf numFmtId="0" fontId="3" fillId="5" borderId="0" xfId="4" applyFill="1" applyAlignment="1">
      <alignment horizontal="center" wrapText="1"/>
    </xf>
    <xf numFmtId="0" fontId="3" fillId="22" borderId="0" xfId="4" applyFill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/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59" fillId="5" borderId="0" xfId="4" applyFont="1" applyFill="1"/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17" xfId="0" applyNumberFormat="1" applyBorder="1" applyAlignment="1"/>
    <xf numFmtId="49" fontId="0" fillId="0" borderId="14" xfId="0" applyNumberFormat="1" applyBorder="1" applyAlignment="1"/>
    <xf numFmtId="0" fontId="3" fillId="0" borderId="0" xfId="4" applyAlignment="1">
      <alignment wrapText="1"/>
    </xf>
    <xf numFmtId="0" fontId="29" fillId="0" borderId="17" xfId="0" applyFont="1" applyBorder="1" applyAlignment="1">
      <alignment wrapText="1"/>
    </xf>
    <xf numFmtId="0" fontId="3" fillId="0" borderId="0" xfId="4" applyAlignment="1">
      <alignment horizontal="center" wrapText="1"/>
    </xf>
    <xf numFmtId="2" fontId="3" fillId="0" borderId="0" xfId="4" applyNumberFormat="1"/>
    <xf numFmtId="2" fontId="3" fillId="0" borderId="0" xfId="4" applyNumberFormat="1" applyAlignment="1">
      <alignment wrapText="1"/>
    </xf>
    <xf numFmtId="0" fontId="0" fillId="22" borderId="0" xfId="0" applyFill="1" applyBorder="1" applyAlignment="1"/>
    <xf numFmtId="0" fontId="0" fillId="22" borderId="0" xfId="0" applyFill="1" applyBorder="1" applyAlignment="1">
      <alignment horizontal="center"/>
    </xf>
    <xf numFmtId="0" fontId="3" fillId="22" borderId="0" xfId="4" applyFill="1"/>
    <xf numFmtId="0" fontId="3" fillId="22" borderId="0" xfId="4" applyFill="1" applyAlignment="1">
      <alignment horizontal="center"/>
    </xf>
    <xf numFmtId="0" fontId="3" fillId="0" borderId="0" xfId="4" applyFill="1"/>
    <xf numFmtId="0" fontId="3" fillId="5" borderId="0" xfId="4" applyFill="1" applyAlignment="1">
      <alignment horizontal="center"/>
    </xf>
    <xf numFmtId="0" fontId="2" fillId="5" borderId="0" xfId="4" applyFont="1" applyFill="1" applyAlignment="1">
      <alignment horizontal="center" wrapText="1"/>
    </xf>
    <xf numFmtId="0" fontId="4" fillId="22" borderId="0" xfId="0" applyFont="1" applyFill="1" applyAlignment="1">
      <alignment vertical="center" wrapText="1"/>
    </xf>
    <xf numFmtId="2" fontId="4" fillId="5" borderId="0" xfId="0" applyNumberFormat="1" applyFont="1" applyFill="1" applyAlignment="1">
      <alignment horizontal="center" vertical="center" wrapText="1"/>
    </xf>
    <xf numFmtId="14" fontId="0" fillId="21" borderId="0" xfId="0" applyNumberFormat="1" applyFill="1" applyAlignment="1">
      <alignment horizontal="center" vertical="center"/>
    </xf>
    <xf numFmtId="14" fontId="0" fillId="21" borderId="0" xfId="0" applyNumberFormat="1" applyFill="1">
      <alignment vertical="center"/>
    </xf>
    <xf numFmtId="0" fontId="4" fillId="21" borderId="0" xfId="0" applyFont="1" applyFill="1" applyAlignment="1">
      <alignment horizontal="center" vertical="center"/>
    </xf>
    <xf numFmtId="0" fontId="10" fillId="2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4" applyFont="1" applyAlignment="1">
      <alignment horizontal="center"/>
    </xf>
    <xf numFmtId="0" fontId="2" fillId="0" borderId="0" xfId="4" applyFont="1"/>
    <xf numFmtId="49" fontId="3" fillId="0" borderId="0" xfId="4" applyNumberFormat="1" applyAlignment="1">
      <alignment horizontal="center"/>
    </xf>
    <xf numFmtId="0" fontId="2" fillId="24" borderId="16" xfId="4" applyFont="1" applyFill="1" applyBorder="1" applyAlignment="1">
      <alignment horizontal="center"/>
    </xf>
    <xf numFmtId="0" fontId="3" fillId="24" borderId="25" xfId="4" applyFill="1" applyBorder="1" applyAlignment="1">
      <alignment horizontal="center"/>
    </xf>
    <xf numFmtId="0" fontId="2" fillId="24" borderId="17" xfId="4" applyFont="1" applyFill="1" applyBorder="1" applyAlignment="1">
      <alignment horizontal="center"/>
    </xf>
    <xf numFmtId="0" fontId="2" fillId="24" borderId="23" xfId="4" applyFont="1" applyFill="1" applyBorder="1"/>
    <xf numFmtId="0" fontId="2" fillId="24" borderId="16" xfId="4" applyFont="1" applyFill="1" applyBorder="1"/>
    <xf numFmtId="0" fontId="2" fillId="24" borderId="24" xfId="4" applyFont="1" applyFill="1" applyBorder="1" applyAlignment="1">
      <alignment horizontal="center"/>
    </xf>
    <xf numFmtId="0" fontId="3" fillId="24" borderId="27" xfId="4" applyFill="1" applyBorder="1"/>
    <xf numFmtId="0" fontId="2" fillId="24" borderId="0" xfId="4" applyFont="1" applyFill="1" applyBorder="1"/>
    <xf numFmtId="0" fontId="2" fillId="24" borderId="0" xfId="4" applyFont="1" applyFill="1" applyBorder="1" applyAlignment="1">
      <alignment horizontal="center"/>
    </xf>
    <xf numFmtId="49" fontId="2" fillId="24" borderId="28" xfId="4" applyNumberFormat="1" applyFont="1" applyFill="1" applyBorder="1" applyAlignment="1">
      <alignment horizontal="center"/>
    </xf>
    <xf numFmtId="0" fontId="3" fillId="24" borderId="25" xfId="4" applyFill="1" applyBorder="1"/>
    <xf numFmtId="0" fontId="2" fillId="24" borderId="17" xfId="4" applyFont="1" applyFill="1" applyBorder="1"/>
    <xf numFmtId="49" fontId="2" fillId="24" borderId="26" xfId="4" applyNumberFormat="1" applyFont="1" applyFill="1" applyBorder="1" applyAlignment="1">
      <alignment horizontal="center"/>
    </xf>
    <xf numFmtId="0" fontId="3" fillId="24" borderId="27" xfId="4" applyFill="1" applyBorder="1" applyAlignment="1">
      <alignment horizontal="center"/>
    </xf>
    <xf numFmtId="0" fontId="2" fillId="24" borderId="28" xfId="4" applyFont="1" applyFill="1" applyBorder="1" applyAlignment="1">
      <alignment horizontal="center"/>
    </xf>
    <xf numFmtId="0" fontId="2" fillId="24" borderId="26" xfId="4" applyFont="1" applyFill="1" applyBorder="1" applyAlignment="1">
      <alignment horizontal="center"/>
    </xf>
    <xf numFmtId="0" fontId="2" fillId="22" borderId="0" xfId="4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4" fontId="17" fillId="11" borderId="0" xfId="0" applyNumberFormat="1" applyFon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17" fillId="0" borderId="0" xfId="0" applyFont="1" applyAlignment="1"/>
    <xf numFmtId="0" fontId="61" fillId="6" borderId="0" xfId="0" applyFont="1" applyFill="1">
      <alignment vertical="center"/>
    </xf>
    <xf numFmtId="0" fontId="62" fillId="6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>
      <alignment vertical="center"/>
    </xf>
    <xf numFmtId="0" fontId="13" fillId="5" borderId="0" xfId="0" applyFont="1" applyFill="1">
      <alignment vertical="center"/>
    </xf>
    <xf numFmtId="0" fontId="13" fillId="5" borderId="0" xfId="0" applyFont="1" applyFill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0" fontId="40" fillId="0" borderId="14" xfId="0" applyFont="1" applyBorder="1" applyAlignment="1">
      <alignment horizontal="center" vertical="center"/>
    </xf>
    <xf numFmtId="49" fontId="40" fillId="0" borderId="14" xfId="0" applyNumberFormat="1" applyFont="1" applyBorder="1" applyAlignment="1">
      <alignment horizontal="left" vertical="center" wrapText="1"/>
    </xf>
    <xf numFmtId="49" fontId="40" fillId="0" borderId="0" xfId="0" applyNumberFormat="1" applyFont="1" applyBorder="1" applyAlignment="1">
      <alignment horizontal="left" vertical="center" wrapText="1"/>
    </xf>
    <xf numFmtId="49" fontId="13" fillId="0" borderId="14" xfId="0" applyNumberFormat="1" applyFont="1" applyBorder="1" applyAlignment="1">
      <alignment horizontal="left" vertical="center" wrapText="1"/>
    </xf>
    <xf numFmtId="49" fontId="40" fillId="0" borderId="14" xfId="0" applyNumberFormat="1" applyFont="1" applyBorder="1" applyAlignment="1">
      <alignment horizontal="center" vertical="center" wrapText="1"/>
    </xf>
    <xf numFmtId="0" fontId="40" fillId="0" borderId="13" xfId="0" applyFont="1" applyBorder="1" applyAlignment="1">
      <alignment horizontal="left" vertical="center"/>
    </xf>
    <xf numFmtId="2" fontId="13" fillId="0" borderId="8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40" fillId="5" borderId="9" xfId="0" applyFont="1" applyFill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164" fontId="40" fillId="5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2" xfId="0" applyFont="1" applyBorder="1">
      <alignment vertical="center"/>
    </xf>
    <xf numFmtId="0" fontId="13" fillId="0" borderId="11" xfId="0" applyNumberFormat="1" applyFont="1" applyFill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 vertical="center"/>
    </xf>
    <xf numFmtId="1" fontId="13" fillId="0" borderId="13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>
      <alignment vertical="center"/>
    </xf>
    <xf numFmtId="0" fontId="13" fillId="0" borderId="13" xfId="0" applyNumberFormat="1" applyFont="1" applyFill="1" applyBorder="1" applyAlignment="1">
      <alignment horizontal="center" vertical="center"/>
    </xf>
    <xf numFmtId="164" fontId="40" fillId="5" borderId="14" xfId="0" applyNumberFormat="1" applyFont="1" applyFill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3" fillId="0" borderId="1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6" borderId="0" xfId="0" applyFont="1" applyFill="1">
      <alignment vertical="center"/>
    </xf>
    <xf numFmtId="0" fontId="13" fillId="6" borderId="0" xfId="0" applyFont="1" applyFill="1" applyAlignment="1">
      <alignment horizontal="center" vertical="center"/>
    </xf>
    <xf numFmtId="49" fontId="40" fillId="0" borderId="0" xfId="0" applyNumberFormat="1" applyFont="1" applyBorder="1" applyAlignment="1">
      <alignment horizontal="center" vertical="center" wrapText="1"/>
    </xf>
    <xf numFmtId="0" fontId="40" fillId="5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20" fillId="0" borderId="0" xfId="3" applyFont="1">
      <alignment vertical="center"/>
    </xf>
    <xf numFmtId="0" fontId="20" fillId="5" borderId="0" xfId="3" applyFont="1" applyFill="1">
      <alignment vertical="center"/>
    </xf>
    <xf numFmtId="0" fontId="20" fillId="5" borderId="0" xfId="3" applyFont="1" applyFill="1" applyAlignment="1">
      <alignment vertical="center" wrapText="1"/>
    </xf>
    <xf numFmtId="170" fontId="20" fillId="5" borderId="0" xfId="3" applyNumberFormat="1" applyFont="1" applyFill="1">
      <alignment vertical="center"/>
    </xf>
    <xf numFmtId="170" fontId="20" fillId="0" borderId="0" xfId="3" applyNumberFormat="1" applyFont="1">
      <alignment vertical="center"/>
    </xf>
    <xf numFmtId="49" fontId="20" fillId="0" borderId="0" xfId="3" applyNumberFormat="1" applyFont="1">
      <alignment vertical="center"/>
    </xf>
    <xf numFmtId="164" fontId="20" fillId="0" borderId="0" xfId="3" applyNumberFormat="1" applyFont="1">
      <alignment vertical="center"/>
    </xf>
    <xf numFmtId="14" fontId="20" fillId="0" borderId="0" xfId="3" applyNumberFormat="1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3" fillId="0" borderId="0" xfId="0" applyNumberFormat="1" applyFont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49" fontId="40" fillId="0" borderId="0" xfId="0" applyNumberFormat="1" applyFont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49" fontId="40" fillId="0" borderId="0" xfId="0" applyNumberFormat="1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4" fontId="40" fillId="5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2" fontId="13" fillId="0" borderId="0" xfId="0" applyNumberFormat="1" applyFont="1">
      <alignment vertical="center"/>
    </xf>
    <xf numFmtId="0" fontId="13" fillId="0" borderId="21" xfId="0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 wrapText="1"/>
    </xf>
    <xf numFmtId="164" fontId="12" fillId="0" borderId="12" xfId="0" applyNumberFormat="1" applyFont="1" applyBorder="1" applyAlignment="1">
      <alignment horizontal="center" vertical="center" wrapText="1"/>
    </xf>
    <xf numFmtId="0" fontId="13" fillId="25" borderId="0" xfId="0" applyFont="1" applyFill="1">
      <alignment vertical="center"/>
    </xf>
    <xf numFmtId="0" fontId="13" fillId="25" borderId="4" xfId="0" applyFont="1" applyFill="1" applyBorder="1" applyAlignment="1">
      <alignment horizontal="center" vertical="center"/>
    </xf>
    <xf numFmtId="164" fontId="13" fillId="25" borderId="4" xfId="0" applyNumberFormat="1" applyFont="1" applyFill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0" fontId="40" fillId="0" borderId="0" xfId="0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49" fontId="13" fillId="0" borderId="0" xfId="0" applyNumberFormat="1" applyFont="1" applyBorder="1" applyAlignment="1">
      <alignment horizontal="center" vertical="center" wrapText="1"/>
    </xf>
    <xf numFmtId="164" fontId="13" fillId="0" borderId="0" xfId="0" applyNumberFormat="1" applyFont="1" applyBorder="1">
      <alignment vertical="center"/>
    </xf>
    <xf numFmtId="165" fontId="12" fillId="0" borderId="0" xfId="0" applyNumberFormat="1" applyFont="1" applyBorder="1" applyAlignment="1">
      <alignment horizontal="center" vertical="center" wrapText="1"/>
    </xf>
    <xf numFmtId="164" fontId="13" fillId="0" borderId="0" xfId="0" applyNumberFormat="1" applyFont="1">
      <alignment vertical="center"/>
    </xf>
    <xf numFmtId="164" fontId="13" fillId="0" borderId="14" xfId="0" applyNumberFormat="1" applyFont="1" applyBorder="1" applyAlignment="1">
      <alignment horizontal="center" vertical="center" wrapText="1"/>
    </xf>
    <xf numFmtId="164" fontId="12" fillId="0" borderId="15" xfId="0" applyNumberFormat="1" applyFont="1" applyBorder="1" applyAlignment="1">
      <alignment horizontal="center" vertical="center" wrapText="1"/>
    </xf>
    <xf numFmtId="164" fontId="13" fillId="0" borderId="14" xfId="0" applyNumberFormat="1" applyFont="1" applyBorder="1">
      <alignment vertical="center"/>
    </xf>
    <xf numFmtId="165" fontId="12" fillId="0" borderId="14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164" fontId="12" fillId="0" borderId="0" xfId="0" applyNumberFormat="1" applyFont="1" applyBorder="1" applyAlignment="1">
      <alignment horizontal="center" vertical="center" wrapText="1"/>
    </xf>
    <xf numFmtId="0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horizontal="left" vertical="center"/>
    </xf>
    <xf numFmtId="164" fontId="13" fillId="6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9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16" fontId="40" fillId="0" borderId="14" xfId="0" applyNumberFormat="1" applyFont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164" fontId="11" fillId="12" borderId="12" xfId="0" applyNumberFormat="1" applyFont="1" applyFill="1" applyBorder="1" applyAlignment="1">
      <alignment horizontal="center" vertical="center"/>
    </xf>
    <xf numFmtId="164" fontId="11" fillId="12" borderId="15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 vertical="center" wrapText="1"/>
    </xf>
    <xf numFmtId="165" fontId="12" fillId="0" borderId="15" xfId="0" applyNumberFormat="1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left" vertical="center"/>
    </xf>
    <xf numFmtId="0" fontId="13" fillId="5" borderId="0" xfId="0" applyNumberFormat="1" applyFont="1" applyFill="1" applyAlignment="1">
      <alignment horizontal="left" vertical="center"/>
    </xf>
    <xf numFmtId="164" fontId="13" fillId="3" borderId="0" xfId="0" applyNumberFormat="1" applyFont="1" applyFill="1" applyAlignment="1">
      <alignment horizontal="center" vertical="center" wrapText="1"/>
    </xf>
    <xf numFmtId="164" fontId="12" fillId="18" borderId="12" xfId="0" applyNumberFormat="1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164" fontId="12" fillId="18" borderId="15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Alignment="1">
      <alignment horizontal="left" vertical="center"/>
    </xf>
    <xf numFmtId="2" fontId="13" fillId="5" borderId="0" xfId="0" applyNumberFormat="1" applyFont="1" applyFill="1" applyAlignment="1">
      <alignment horizontal="left" vertical="center"/>
    </xf>
    <xf numFmtId="164" fontId="13" fillId="3" borderId="0" xfId="0" applyNumberFormat="1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left" vertical="center"/>
    </xf>
    <xf numFmtId="0" fontId="40" fillId="3" borderId="14" xfId="0" applyFont="1" applyFill="1" applyBorder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3" borderId="14" xfId="0" applyFont="1" applyFill="1" applyBorder="1" applyAlignment="1">
      <alignment horizontal="left" vertical="center"/>
    </xf>
    <xf numFmtId="0" fontId="23" fillId="3" borderId="11" xfId="0" applyFont="1" applyFill="1" applyBorder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3" fillId="0" borderId="0" xfId="4" applyFont="1" applyAlignment="1">
      <alignment horizontal="center"/>
    </xf>
    <xf numFmtId="0" fontId="63" fillId="0" borderId="0" xfId="4" applyFont="1" applyAlignment="1">
      <alignment horizontal="center" wrapText="1"/>
    </xf>
    <xf numFmtId="0" fontId="63" fillId="0" borderId="0" xfId="4" applyFont="1"/>
    <xf numFmtId="0" fontId="63" fillId="0" borderId="0" xfId="4" applyFont="1" applyAlignment="1">
      <alignment wrapText="1"/>
    </xf>
    <xf numFmtId="2" fontId="63" fillId="0" borderId="0" xfId="4" applyNumberFormat="1" applyFont="1"/>
    <xf numFmtId="2" fontId="63" fillId="0" borderId="0" xfId="4" applyNumberFormat="1" applyFont="1" applyAlignment="1">
      <alignment wrapText="1"/>
    </xf>
    <xf numFmtId="2" fontId="63" fillId="0" borderId="0" xfId="4" applyNumberFormat="1" applyFont="1" applyAlignment="1">
      <alignment horizontal="center" wrapText="1"/>
    </xf>
    <xf numFmtId="0" fontId="13" fillId="3" borderId="0" xfId="0" applyFont="1" applyFill="1" applyAlignment="1">
      <alignment horizontal="left" vertical="center"/>
    </xf>
    <xf numFmtId="2" fontId="13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22" borderId="0" xfId="0" applyNumberFormat="1" applyFont="1" applyFill="1" applyAlignment="1">
      <alignment horizontal="center" vertical="center"/>
    </xf>
    <xf numFmtId="2" fontId="20" fillId="22" borderId="12" xfId="0" applyNumberFormat="1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164" fontId="11" fillId="0" borderId="12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2" fontId="20" fillId="0" borderId="12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0" fillId="22" borderId="0" xfId="0" applyNumberFormat="1" applyFont="1" applyFill="1" applyAlignment="1">
      <alignment horizontal="center" vertical="center"/>
    </xf>
    <xf numFmtId="0" fontId="20" fillId="22" borderId="12" xfId="0" applyFont="1" applyFill="1" applyBorder="1" applyAlignment="1">
      <alignment horizontal="center" vertical="center"/>
    </xf>
    <xf numFmtId="2" fontId="13" fillId="22" borderId="0" xfId="0" applyNumberFormat="1" applyFont="1" applyFill="1" applyBorder="1" applyAlignment="1">
      <alignment horizontal="center" vertical="center"/>
    </xf>
    <xf numFmtId="0" fontId="13" fillId="22" borderId="0" xfId="0" applyFont="1" applyFill="1" applyAlignment="1">
      <alignment horizontal="left" vertical="center"/>
    </xf>
    <xf numFmtId="2" fontId="13" fillId="22" borderId="0" xfId="0" applyNumberFormat="1" applyFont="1" applyFill="1" applyAlignment="1">
      <alignment horizontal="left" vertical="center"/>
    </xf>
    <xf numFmtId="0" fontId="13" fillId="22" borderId="0" xfId="0" applyFont="1" applyFill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26" borderId="0" xfId="0" applyFont="1" applyFill="1">
      <alignment vertical="center"/>
    </xf>
    <xf numFmtId="0" fontId="19" fillId="26" borderId="11" xfId="0" applyFont="1" applyFill="1" applyBorder="1" applyAlignment="1">
      <alignment horizontal="center" vertical="center"/>
    </xf>
    <xf numFmtId="0" fontId="19" fillId="26" borderId="0" xfId="0" applyFont="1" applyFill="1" applyAlignment="1">
      <alignment horizontal="center" vertical="center" wrapText="1"/>
    </xf>
    <xf numFmtId="0" fontId="19" fillId="26" borderId="14" xfId="0" applyFont="1" applyFill="1" applyBorder="1" applyAlignment="1">
      <alignment horizontal="left" vertical="center"/>
    </xf>
    <xf numFmtId="0" fontId="19" fillId="26" borderId="14" xfId="0" applyFont="1" applyFill="1" applyBorder="1" applyAlignment="1">
      <alignment horizontal="center" vertical="center"/>
    </xf>
    <xf numFmtId="49" fontId="19" fillId="26" borderId="0" xfId="0" applyNumberFormat="1" applyFont="1" applyFill="1" applyAlignment="1">
      <alignment horizontal="left" vertical="center" wrapText="1"/>
    </xf>
    <xf numFmtId="0" fontId="61" fillId="0" borderId="0" xfId="0" applyFont="1" applyFill="1">
      <alignment vertical="center"/>
    </xf>
    <xf numFmtId="0" fontId="62" fillId="0" borderId="0" xfId="0" applyFont="1" applyFill="1">
      <alignment vertical="center"/>
    </xf>
    <xf numFmtId="2" fontId="13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22" borderId="0" xfId="0" applyNumberFormat="1" applyFont="1" applyFill="1" applyAlignment="1">
      <alignment horizontal="center" vertical="center"/>
    </xf>
    <xf numFmtId="0" fontId="19" fillId="22" borderId="14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 wrapText="1"/>
    </xf>
    <xf numFmtId="168" fontId="0" fillId="22" borderId="0" xfId="0" applyNumberFormat="1" applyFill="1">
      <alignment vertical="center"/>
    </xf>
    <xf numFmtId="168" fontId="1" fillId="2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5" borderId="0" xfId="4" applyFill="1" applyAlignment="1">
      <alignment horizontal="center"/>
    </xf>
    <xf numFmtId="0" fontId="2" fillId="5" borderId="0" xfId="4" applyFont="1" applyFill="1" applyAlignment="1">
      <alignment horizontal="center" wrapText="1"/>
    </xf>
    <xf numFmtId="0" fontId="3" fillId="0" borderId="0" xfId="4" applyAlignment="1">
      <alignment horizontal="center" wrapText="1"/>
    </xf>
    <xf numFmtId="0" fontId="3" fillId="5" borderId="0" xfId="4" applyFill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62" fillId="6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2" fontId="13" fillId="0" borderId="9" xfId="0" applyNumberFormat="1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0" fontId="62" fillId="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25" fillId="6" borderId="0" xfId="0" applyFont="1" applyFill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" fillId="23" borderId="0" xfId="0" applyFont="1" applyFill="1" applyAlignment="1">
      <alignment horizontal="center" vertical="center" wrapText="1"/>
    </xf>
    <xf numFmtId="0" fontId="60" fillId="5" borderId="0" xfId="4" applyFont="1" applyFill="1" applyAlignment="1">
      <alignment horizontal="center" wrapText="1"/>
    </xf>
    <xf numFmtId="0" fontId="17" fillId="13" borderId="5" xfId="0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1" fillId="13" borderId="5" xfId="0" applyFont="1" applyFill="1" applyBorder="1" applyAlignment="1">
      <alignment horizontal="center" vertical="center" wrapText="1"/>
    </xf>
    <xf numFmtId="0" fontId="21" fillId="13" borderId="7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20" fillId="10" borderId="1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44" fillId="0" borderId="2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center"/>
    </xf>
    <xf numFmtId="0" fontId="42" fillId="0" borderId="0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</cellXfs>
  <cellStyles count="6">
    <cellStyle name="百分比" xfId="2" builtinId="5"/>
    <cellStyle name="常规" xfId="0" builtinId="0"/>
    <cellStyle name="常规 2" xfId="3" xr:uid="{8345A771-7AB9-4C7A-A5C4-7EA27718FAFF}"/>
    <cellStyle name="常规 3" xfId="4" xr:uid="{F0CA6DC9-FEC2-4A33-8AC8-3CB9DB334D88}"/>
    <cellStyle name="常规 4" xfId="5" xr:uid="{76096A5E-15C5-4112-B99B-60769D4BD99A}"/>
    <cellStyle name="超链接" xfId="1" builtinId="8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</xdr:row>
          <xdr:rowOff>171450</xdr:rowOff>
        </xdr:from>
        <xdr:to>
          <xdr:col>2</xdr:col>
          <xdr:colOff>85725</xdr:colOff>
          <xdr:row>5</xdr:row>
          <xdr:rowOff>247650</xdr:rowOff>
        </xdr:to>
        <xdr:sp macro="" textlink="">
          <xdr:nvSpPr>
            <xdr:cNvPr id="24577" name="对象 19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6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733425</xdr:colOff>
          <xdr:row>3</xdr:row>
          <xdr:rowOff>47625</xdr:rowOff>
        </xdr:from>
        <xdr:to>
          <xdr:col>13</xdr:col>
          <xdr:colOff>828675</xdr:colOff>
          <xdr:row>5</xdr:row>
          <xdr:rowOff>38100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06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FB31-6048-4836-9671-6E1B40E55F75}">
  <dimension ref="A1:AM37"/>
  <sheetViews>
    <sheetView workbookViewId="0">
      <selection activeCell="B21" sqref="B21:E21"/>
    </sheetView>
  </sheetViews>
  <sheetFormatPr defaultRowHeight="15"/>
  <cols>
    <col min="1" max="1" width="9.140625" style="491"/>
    <col min="2" max="2" width="13.140625" style="491" customWidth="1"/>
    <col min="3" max="3" width="9.140625" style="491"/>
    <col min="4" max="4" width="12.28515625" style="492" customWidth="1"/>
    <col min="5" max="5" width="9.140625" style="492"/>
    <col min="6" max="7" width="13" style="492" customWidth="1"/>
    <col min="8" max="8" width="12.7109375" style="491" customWidth="1"/>
    <col min="9" max="9" width="11.7109375" style="491" customWidth="1"/>
    <col min="10" max="21" width="9.140625" style="491"/>
    <col min="22" max="22" width="9.140625" style="493"/>
    <col min="23" max="23" width="14.5703125" style="517" customWidth="1"/>
    <col min="24" max="24" width="9.140625" style="517"/>
    <col min="25" max="16384" width="9.140625" style="491"/>
  </cols>
  <sheetData>
    <row r="1" spans="1:39">
      <c r="Z1" s="787" t="s">
        <v>967</v>
      </c>
      <c r="AA1" s="787"/>
      <c r="AB1" s="787"/>
      <c r="AC1" s="787"/>
      <c r="AD1" s="787"/>
      <c r="AE1" s="787"/>
      <c r="AF1" s="787"/>
      <c r="AG1" s="787"/>
      <c r="AH1" s="787"/>
      <c r="AI1" s="787"/>
      <c r="AJ1" s="787"/>
    </row>
    <row r="2" spans="1:39" ht="45">
      <c r="A2" s="491" t="s">
        <v>935</v>
      </c>
      <c r="B2" s="491" t="s">
        <v>964</v>
      </c>
      <c r="C2" s="491" t="s">
        <v>936</v>
      </c>
      <c r="D2" s="492" t="s">
        <v>937</v>
      </c>
      <c r="E2" s="492" t="s">
        <v>963</v>
      </c>
      <c r="F2" s="492" t="s">
        <v>938</v>
      </c>
      <c r="G2" s="492" t="s">
        <v>939</v>
      </c>
      <c r="H2" s="491" t="s">
        <v>965</v>
      </c>
      <c r="I2" s="491" t="s">
        <v>941</v>
      </c>
      <c r="J2" s="491" t="s">
        <v>942</v>
      </c>
      <c r="K2" s="508" t="s">
        <v>943</v>
      </c>
      <c r="L2" s="508" t="s">
        <v>944</v>
      </c>
      <c r="M2" s="508" t="s">
        <v>945</v>
      </c>
      <c r="N2" s="508" t="s">
        <v>946</v>
      </c>
      <c r="O2" s="508" t="s">
        <v>947</v>
      </c>
      <c r="P2" s="508" t="s">
        <v>948</v>
      </c>
      <c r="Q2" s="508" t="s">
        <v>949</v>
      </c>
      <c r="R2" s="508" t="s">
        <v>950</v>
      </c>
      <c r="S2" s="508" t="s">
        <v>951</v>
      </c>
      <c r="T2" s="508" t="s">
        <v>952</v>
      </c>
      <c r="U2" s="508" t="s">
        <v>953</v>
      </c>
      <c r="V2" s="494"/>
      <c r="W2" s="508" t="s">
        <v>964</v>
      </c>
      <c r="X2" s="508" t="s">
        <v>936</v>
      </c>
      <c r="Y2" s="510" t="s">
        <v>937</v>
      </c>
      <c r="Z2" s="508" t="s">
        <v>965</v>
      </c>
      <c r="AA2" s="508" t="s">
        <v>941</v>
      </c>
      <c r="AB2" s="508" t="s">
        <v>942</v>
      </c>
      <c r="AC2" s="508" t="s">
        <v>943</v>
      </c>
      <c r="AD2" s="508" t="s">
        <v>944</v>
      </c>
      <c r="AE2" s="508" t="s">
        <v>945</v>
      </c>
      <c r="AF2" s="508" t="s">
        <v>946</v>
      </c>
      <c r="AG2" s="508" t="s">
        <v>947</v>
      </c>
      <c r="AH2" s="508" t="s">
        <v>948</v>
      </c>
      <c r="AI2" s="508" t="s">
        <v>949</v>
      </c>
      <c r="AJ2" s="508" t="s">
        <v>950</v>
      </c>
      <c r="AK2" s="508" t="s">
        <v>951</v>
      </c>
      <c r="AL2" s="508" t="s">
        <v>952</v>
      </c>
      <c r="AM2" s="508" t="s">
        <v>953</v>
      </c>
    </row>
    <row r="3" spans="1:39">
      <c r="A3" s="493" t="s">
        <v>954</v>
      </c>
      <c r="B3" s="493" t="s">
        <v>966</v>
      </c>
      <c r="C3" s="493" t="s">
        <v>63</v>
      </c>
      <c r="D3" s="518">
        <v>71</v>
      </c>
      <c r="E3" s="492">
        <v>73</v>
      </c>
      <c r="F3" s="492">
        <v>43.1</v>
      </c>
      <c r="G3" s="492" t="s">
        <v>955</v>
      </c>
      <c r="H3" s="491">
        <v>1121</v>
      </c>
      <c r="I3" s="491">
        <v>1329</v>
      </c>
      <c r="J3" s="491">
        <v>14289</v>
      </c>
      <c r="K3" s="491">
        <v>1000</v>
      </c>
      <c r="L3" s="491">
        <v>345</v>
      </c>
      <c r="M3" s="491">
        <v>691</v>
      </c>
      <c r="N3" s="491">
        <v>20</v>
      </c>
      <c r="O3" s="491">
        <v>212</v>
      </c>
      <c r="P3" s="491">
        <v>499</v>
      </c>
      <c r="Q3" s="491">
        <v>5.26</v>
      </c>
      <c r="R3" s="491">
        <v>11.06</v>
      </c>
      <c r="S3" s="491">
        <v>1.74</v>
      </c>
      <c r="T3" s="491">
        <v>2.99</v>
      </c>
      <c r="U3" s="491">
        <v>0.17</v>
      </c>
      <c r="W3" s="493" t="s">
        <v>966</v>
      </c>
      <c r="X3" s="493" t="s">
        <v>63</v>
      </c>
      <c r="Y3" s="492">
        <v>71</v>
      </c>
      <c r="Z3" s="491">
        <f>H3*0.4535923*1000000/758785.215</f>
        <v>670.11976281061311</v>
      </c>
      <c r="AA3" s="491">
        <f t="shared" ref="AA3:AJ3" si="0">I3*0.4535923*1000000/758785.215</f>
        <v>794.45955822953135</v>
      </c>
      <c r="AB3" s="491">
        <f t="shared" si="0"/>
        <v>8541.7852727929076</v>
      </c>
      <c r="AC3" s="491">
        <f t="shared" si="0"/>
        <v>597.78747797556912</v>
      </c>
      <c r="AD3" s="491">
        <f t="shared" si="0"/>
        <v>206.23667990157136</v>
      </c>
      <c r="AE3" s="491">
        <f t="shared" si="0"/>
        <v>413.07114728111833</v>
      </c>
      <c r="AF3" s="491">
        <f t="shared" si="0"/>
        <v>11.955749559511384</v>
      </c>
      <c r="AG3" s="491">
        <f t="shared" si="0"/>
        <v>126.73094533082066</v>
      </c>
      <c r="AH3" s="491">
        <f t="shared" si="0"/>
        <v>298.29595150980902</v>
      </c>
      <c r="AI3" s="491">
        <f t="shared" si="0"/>
        <v>3.144362134151494</v>
      </c>
      <c r="AJ3" s="491">
        <f t="shared" si="0"/>
        <v>6.6115295064097941</v>
      </c>
      <c r="AK3" s="491">
        <v>1.74</v>
      </c>
      <c r="AL3" s="491">
        <v>2.99</v>
      </c>
      <c r="AM3" s="491">
        <v>0.17</v>
      </c>
    </row>
    <row r="4" spans="1:39">
      <c r="A4" s="493" t="s">
        <v>954</v>
      </c>
      <c r="B4" s="493" t="s">
        <v>966</v>
      </c>
      <c r="C4" s="493" t="s">
        <v>63</v>
      </c>
      <c r="D4" s="518">
        <v>72</v>
      </c>
      <c r="E4" s="492">
        <v>74</v>
      </c>
      <c r="F4" s="492">
        <v>33.090000000000003</v>
      </c>
      <c r="G4" s="492" t="s">
        <v>955</v>
      </c>
      <c r="H4" s="491">
        <v>698</v>
      </c>
      <c r="I4" s="491">
        <v>371</v>
      </c>
      <c r="J4" s="491">
        <v>11615</v>
      </c>
      <c r="K4" s="491">
        <v>664</v>
      </c>
      <c r="L4" s="491">
        <v>128</v>
      </c>
      <c r="M4" s="491">
        <v>372</v>
      </c>
      <c r="N4" s="491">
        <v>14</v>
      </c>
      <c r="O4" s="491">
        <v>224</v>
      </c>
      <c r="P4" s="491">
        <v>596</v>
      </c>
      <c r="Q4" s="491">
        <v>5.77</v>
      </c>
      <c r="R4" s="491">
        <v>7.64</v>
      </c>
      <c r="S4" s="491">
        <v>0.93</v>
      </c>
      <c r="T4" s="491">
        <v>1.6</v>
      </c>
      <c r="U4" s="491">
        <v>0.09</v>
      </c>
      <c r="W4" s="493" t="s">
        <v>966</v>
      </c>
      <c r="X4" s="493" t="s">
        <v>63</v>
      </c>
      <c r="Y4" s="492">
        <v>72</v>
      </c>
      <c r="Z4" s="491">
        <f t="shared" ref="Z4:Z16" si="1">H4*0.4535923*1000000/758785.215</f>
        <v>417.25565962694731</v>
      </c>
      <c r="AA4" s="491">
        <f t="shared" ref="AA4:AA16" si="2">I4*0.4535923*1000000/758785.215</f>
        <v>221.77915432893613</v>
      </c>
      <c r="AB4" s="491">
        <f t="shared" ref="AB4:AB16" si="3">J4*0.4535923*1000000/758785.215</f>
        <v>6943.3015566862359</v>
      </c>
      <c r="AC4" s="491">
        <f t="shared" ref="AC4:AC16" si="4">K4*0.4535923*1000000/758785.215</f>
        <v>396.9308853757779</v>
      </c>
      <c r="AD4" s="491">
        <f t="shared" ref="AD4:AD16" si="5">L4*0.4535923*1000000/758785.215</f>
        <v>76.516797180872857</v>
      </c>
      <c r="AE4" s="491">
        <f t="shared" ref="AE4:AE16" si="6">M4*0.4535923*1000000/758785.215</f>
        <v>222.37694180691173</v>
      </c>
      <c r="AF4" s="491">
        <f t="shared" ref="AF4:AF16" si="7">N4*0.4535923*1000000/758785.215</f>
        <v>8.3690246916579678</v>
      </c>
      <c r="AG4" s="491">
        <f t="shared" ref="AG4:AG16" si="8">O4*0.4535923*1000000/758785.215</f>
        <v>133.90439506652748</v>
      </c>
      <c r="AH4" s="491">
        <f t="shared" ref="AH4:AH16" si="9">P4*0.4535923*1000000/758785.215</f>
        <v>356.28133687343922</v>
      </c>
      <c r="AI4" s="491">
        <f t="shared" ref="AI4:AI16" si="10">Q4*0.4535923*1000000/758785.215</f>
        <v>3.4492337479190343</v>
      </c>
      <c r="AJ4" s="491">
        <f t="shared" ref="AJ4:AJ16" si="11">R4*0.4535923*1000000/758785.215</f>
        <v>4.5670963317333486</v>
      </c>
      <c r="AK4" s="491">
        <v>0.93</v>
      </c>
      <c r="AL4" s="491">
        <v>1.6</v>
      </c>
      <c r="AM4" s="491">
        <v>0.09</v>
      </c>
    </row>
    <row r="5" spans="1:39">
      <c r="A5" s="493" t="s">
        <v>954</v>
      </c>
      <c r="B5" s="493" t="s">
        <v>966</v>
      </c>
      <c r="C5" s="493" t="s">
        <v>63</v>
      </c>
      <c r="D5" s="518">
        <v>73</v>
      </c>
      <c r="E5" s="492">
        <v>75</v>
      </c>
      <c r="F5" s="492">
        <v>25.03</v>
      </c>
      <c r="G5" s="492" t="s">
        <v>955</v>
      </c>
      <c r="H5" s="491">
        <v>363</v>
      </c>
      <c r="I5" s="491">
        <v>550</v>
      </c>
      <c r="J5" s="491">
        <v>8779</v>
      </c>
      <c r="K5" s="491">
        <v>396</v>
      </c>
      <c r="L5" s="491">
        <v>58</v>
      </c>
      <c r="M5" s="491">
        <v>336</v>
      </c>
      <c r="N5" s="491">
        <v>9</v>
      </c>
      <c r="O5" s="491">
        <v>196</v>
      </c>
      <c r="P5" s="491">
        <v>653</v>
      </c>
      <c r="Q5" s="491">
        <v>4.53</v>
      </c>
      <c r="R5" s="491">
        <v>5.72</v>
      </c>
      <c r="S5" s="491">
        <v>2.36</v>
      </c>
      <c r="T5" s="491">
        <v>4.0599999999999996</v>
      </c>
      <c r="U5" s="491">
        <v>0.21</v>
      </c>
      <c r="W5" s="493" t="s">
        <v>966</v>
      </c>
      <c r="X5" s="493" t="s">
        <v>63</v>
      </c>
      <c r="Y5" s="492">
        <v>73</v>
      </c>
      <c r="Z5" s="491">
        <f t="shared" si="1"/>
        <v>216.99685450513158</v>
      </c>
      <c r="AA5" s="491">
        <f t="shared" si="2"/>
        <v>328.78311288656306</v>
      </c>
      <c r="AB5" s="491">
        <f t="shared" si="3"/>
        <v>5247.9762691475225</v>
      </c>
      <c r="AC5" s="491">
        <f t="shared" si="4"/>
        <v>236.72384127832541</v>
      </c>
      <c r="AD5" s="491">
        <f t="shared" si="5"/>
        <v>34.671673722583016</v>
      </c>
      <c r="AE5" s="491">
        <f t="shared" si="6"/>
        <v>200.85659259979121</v>
      </c>
      <c r="AF5" s="491">
        <f t="shared" si="7"/>
        <v>5.3800873017801232</v>
      </c>
      <c r="AG5" s="491">
        <f t="shared" si="8"/>
        <v>117.16634568321157</v>
      </c>
      <c r="AH5" s="491">
        <f t="shared" si="9"/>
        <v>390.35522311804669</v>
      </c>
      <c r="AI5" s="491">
        <f t="shared" si="10"/>
        <v>2.7079772752293283</v>
      </c>
      <c r="AJ5" s="491">
        <f t="shared" si="11"/>
        <v>3.4193443740202554</v>
      </c>
      <c r="AK5" s="491">
        <v>2.36</v>
      </c>
      <c r="AL5" s="491">
        <v>4.0599999999999996</v>
      </c>
      <c r="AM5" s="491">
        <v>0.21</v>
      </c>
    </row>
    <row r="6" spans="1:39">
      <c r="A6" s="493" t="s">
        <v>954</v>
      </c>
      <c r="B6" s="493" t="s">
        <v>966</v>
      </c>
      <c r="C6" s="493" t="s">
        <v>63</v>
      </c>
      <c r="D6" s="518">
        <v>74</v>
      </c>
      <c r="E6" s="492">
        <v>76</v>
      </c>
      <c r="F6" s="492">
        <v>32.06</v>
      </c>
      <c r="G6" s="492" t="s">
        <v>955</v>
      </c>
      <c r="H6" s="491">
        <v>627</v>
      </c>
      <c r="I6" s="491">
        <v>1443</v>
      </c>
      <c r="J6" s="491">
        <v>9502</v>
      </c>
      <c r="K6" s="491">
        <v>812</v>
      </c>
      <c r="L6" s="491">
        <v>584</v>
      </c>
      <c r="M6" s="491">
        <v>1415</v>
      </c>
      <c r="N6" s="491">
        <v>12</v>
      </c>
      <c r="O6" s="491">
        <v>227</v>
      </c>
      <c r="P6" s="491">
        <v>388</v>
      </c>
      <c r="Q6" s="491">
        <v>5.2</v>
      </c>
      <c r="R6" s="491">
        <v>11.3</v>
      </c>
      <c r="S6" s="491">
        <v>2.0099999999999998</v>
      </c>
      <c r="T6" s="491">
        <v>3.46</v>
      </c>
      <c r="U6" s="491">
        <v>0.19</v>
      </c>
      <c r="W6" s="493" t="s">
        <v>966</v>
      </c>
      <c r="X6" s="493" t="s">
        <v>63</v>
      </c>
      <c r="Y6" s="492">
        <v>74</v>
      </c>
      <c r="Z6" s="491">
        <f t="shared" si="1"/>
        <v>374.81274869068181</v>
      </c>
      <c r="AA6" s="491">
        <f t="shared" si="2"/>
        <v>862.60733071874631</v>
      </c>
      <c r="AB6" s="491">
        <f t="shared" si="3"/>
        <v>5680.176615723859</v>
      </c>
      <c r="AC6" s="491">
        <f t="shared" si="4"/>
        <v>485.40343211616209</v>
      </c>
      <c r="AD6" s="491">
        <f t="shared" si="5"/>
        <v>349.1078871377324</v>
      </c>
      <c r="AE6" s="491">
        <f t="shared" si="6"/>
        <v>845.8692813354304</v>
      </c>
      <c r="AF6" s="491">
        <f t="shared" si="7"/>
        <v>7.1734497357068312</v>
      </c>
      <c r="AG6" s="491">
        <f t="shared" si="8"/>
        <v>135.6977575004542</v>
      </c>
      <c r="AH6" s="491">
        <f t="shared" si="9"/>
        <v>231.94154145452086</v>
      </c>
      <c r="AI6" s="491">
        <f t="shared" si="10"/>
        <v>3.1084948854729597</v>
      </c>
      <c r="AJ6" s="491">
        <f t="shared" si="11"/>
        <v>6.7549985011239322</v>
      </c>
      <c r="AK6" s="491">
        <v>2.0099999999999998</v>
      </c>
      <c r="AL6" s="491">
        <v>3.46</v>
      </c>
      <c r="AM6" s="491">
        <v>0.19</v>
      </c>
    </row>
    <row r="7" spans="1:39">
      <c r="A7" s="493" t="s">
        <v>954</v>
      </c>
      <c r="B7" s="493" t="s">
        <v>966</v>
      </c>
      <c r="C7" s="493" t="s">
        <v>63</v>
      </c>
      <c r="D7" s="518">
        <v>75</v>
      </c>
      <c r="E7" s="492">
        <v>77</v>
      </c>
      <c r="F7" s="492">
        <v>24.5</v>
      </c>
      <c r="G7" s="492" t="s">
        <v>955</v>
      </c>
      <c r="H7" s="491">
        <v>410</v>
      </c>
      <c r="I7" s="491">
        <v>364</v>
      </c>
      <c r="J7" s="491">
        <v>8168</v>
      </c>
      <c r="K7" s="491">
        <v>546</v>
      </c>
      <c r="L7" s="491">
        <v>140</v>
      </c>
      <c r="M7" s="491">
        <v>451</v>
      </c>
      <c r="N7" s="491">
        <v>15</v>
      </c>
      <c r="O7" s="491">
        <v>214</v>
      </c>
      <c r="P7" s="491">
        <v>388</v>
      </c>
      <c r="Q7" s="491">
        <v>6.09</v>
      </c>
      <c r="R7" s="491">
        <v>11.14</v>
      </c>
      <c r="S7" s="491">
        <v>1.18</v>
      </c>
      <c r="T7" s="491">
        <v>2.0299999999999998</v>
      </c>
      <c r="U7" s="491">
        <v>0.12</v>
      </c>
      <c r="W7" s="493" t="s">
        <v>966</v>
      </c>
      <c r="X7" s="493" t="s">
        <v>63</v>
      </c>
      <c r="Y7" s="492">
        <v>75</v>
      </c>
      <c r="Z7" s="491">
        <f t="shared" si="1"/>
        <v>245.09286596998336</v>
      </c>
      <c r="AA7" s="491">
        <f t="shared" si="2"/>
        <v>217.59464198310721</v>
      </c>
      <c r="AB7" s="491">
        <f t="shared" si="3"/>
        <v>4882.7281201044489</v>
      </c>
      <c r="AC7" s="491">
        <f t="shared" si="4"/>
        <v>326.39196297466077</v>
      </c>
      <c r="AD7" s="491">
        <f t="shared" si="5"/>
        <v>83.690246916579682</v>
      </c>
      <c r="AE7" s="491">
        <f t="shared" si="6"/>
        <v>269.60215256698166</v>
      </c>
      <c r="AF7" s="491">
        <f t="shared" si="7"/>
        <v>8.9668121696335383</v>
      </c>
      <c r="AG7" s="491">
        <f t="shared" si="8"/>
        <v>127.9265202867718</v>
      </c>
      <c r="AH7" s="491">
        <f t="shared" si="9"/>
        <v>231.94154145452086</v>
      </c>
      <c r="AI7" s="491">
        <f t="shared" si="10"/>
        <v>3.6405257408712162</v>
      </c>
      <c r="AJ7" s="491">
        <f t="shared" si="11"/>
        <v>6.659352504647841</v>
      </c>
      <c r="AK7" s="491">
        <v>1.18</v>
      </c>
      <c r="AL7" s="491">
        <v>2.0299999999999998</v>
      </c>
      <c r="AM7" s="491">
        <v>0.12</v>
      </c>
    </row>
    <row r="8" spans="1:39">
      <c r="A8" s="493" t="s">
        <v>954</v>
      </c>
      <c r="B8" s="493" t="s">
        <v>966</v>
      </c>
      <c r="C8" s="493" t="s">
        <v>63</v>
      </c>
      <c r="D8" s="518">
        <v>76</v>
      </c>
      <c r="E8" s="492">
        <v>78</v>
      </c>
      <c r="F8" s="492">
        <v>24.99</v>
      </c>
      <c r="G8" s="492" t="s">
        <v>955</v>
      </c>
      <c r="H8" s="491">
        <v>377</v>
      </c>
      <c r="I8" s="491">
        <v>617</v>
      </c>
      <c r="J8" s="491">
        <v>8772</v>
      </c>
      <c r="K8" s="491">
        <v>375</v>
      </c>
      <c r="L8" s="491">
        <v>52</v>
      </c>
      <c r="M8" s="491">
        <v>269</v>
      </c>
      <c r="N8" s="491">
        <v>8</v>
      </c>
      <c r="O8" s="491">
        <v>195</v>
      </c>
      <c r="P8" s="491">
        <v>513</v>
      </c>
      <c r="Q8" s="491">
        <v>4.8499999999999996</v>
      </c>
      <c r="R8" s="491">
        <v>7.27</v>
      </c>
      <c r="S8" s="491">
        <v>6.59</v>
      </c>
      <c r="T8" s="491">
        <v>11.33</v>
      </c>
      <c r="U8" s="491">
        <v>0.67</v>
      </c>
      <c r="W8" s="493" t="s">
        <v>966</v>
      </c>
      <c r="X8" s="493" t="s">
        <v>63</v>
      </c>
      <c r="Y8" s="492">
        <v>76</v>
      </c>
      <c r="Z8" s="491">
        <f t="shared" si="1"/>
        <v>225.36587919678956</v>
      </c>
      <c r="AA8" s="491">
        <f t="shared" si="2"/>
        <v>368.83487391092621</v>
      </c>
      <c r="AB8" s="491">
        <f t="shared" si="3"/>
        <v>5243.7917568016928</v>
      </c>
      <c r="AC8" s="491">
        <f t="shared" si="4"/>
        <v>224.17030424083845</v>
      </c>
      <c r="AD8" s="491">
        <f t="shared" si="5"/>
        <v>31.084948854729593</v>
      </c>
      <c r="AE8" s="491">
        <f t="shared" si="6"/>
        <v>160.80483157542812</v>
      </c>
      <c r="AF8" s="491">
        <f t="shared" si="7"/>
        <v>4.7822998238045535</v>
      </c>
      <c r="AG8" s="491">
        <f t="shared" si="8"/>
        <v>116.56855820523599</v>
      </c>
      <c r="AH8" s="491">
        <f t="shared" si="9"/>
        <v>306.66497620146697</v>
      </c>
      <c r="AI8" s="491">
        <f t="shared" si="10"/>
        <v>2.8992692681815102</v>
      </c>
      <c r="AJ8" s="491">
        <f t="shared" si="11"/>
        <v>4.3459149648823878</v>
      </c>
      <c r="AK8" s="491">
        <v>6.59</v>
      </c>
      <c r="AL8" s="491">
        <v>11.33</v>
      </c>
      <c r="AM8" s="491">
        <v>0.67</v>
      </c>
    </row>
    <row r="9" spans="1:39">
      <c r="A9" s="493" t="s">
        <v>954</v>
      </c>
      <c r="B9" s="493" t="s">
        <v>966</v>
      </c>
      <c r="C9" s="493" t="s">
        <v>63</v>
      </c>
      <c r="D9" s="518">
        <v>77</v>
      </c>
      <c r="E9" s="492">
        <v>79</v>
      </c>
      <c r="F9" s="492">
        <v>32.380000000000003</v>
      </c>
      <c r="G9" s="492" t="s">
        <v>955</v>
      </c>
      <c r="H9" s="491">
        <v>707</v>
      </c>
      <c r="I9" s="491">
        <v>445</v>
      </c>
      <c r="J9" s="491">
        <v>11219</v>
      </c>
      <c r="K9" s="491">
        <v>615</v>
      </c>
      <c r="L9" s="491">
        <v>411</v>
      </c>
      <c r="M9" s="491">
        <v>550</v>
      </c>
      <c r="N9" s="491">
        <v>18</v>
      </c>
      <c r="O9" s="491">
        <v>218</v>
      </c>
      <c r="P9" s="491">
        <v>399</v>
      </c>
      <c r="Q9" s="491">
        <v>8.16</v>
      </c>
      <c r="R9" s="491">
        <v>8.51</v>
      </c>
      <c r="S9" s="491">
        <v>3.69</v>
      </c>
      <c r="T9" s="491">
        <v>6.35</v>
      </c>
      <c r="U9" s="491">
        <v>0.36</v>
      </c>
      <c r="W9" s="493" t="s">
        <v>966</v>
      </c>
      <c r="X9" s="493" t="s">
        <v>63</v>
      </c>
      <c r="Y9" s="492">
        <v>77</v>
      </c>
      <c r="Z9" s="491">
        <f t="shared" si="1"/>
        <v>422.63574692872743</v>
      </c>
      <c r="AA9" s="491">
        <f t="shared" si="2"/>
        <v>266.01542769912828</v>
      </c>
      <c r="AB9" s="491">
        <f t="shared" si="3"/>
        <v>6706.5777154079105</v>
      </c>
      <c r="AC9" s="491">
        <f t="shared" si="4"/>
        <v>367.63929895497506</v>
      </c>
      <c r="AD9" s="491">
        <f t="shared" si="5"/>
        <v>245.69065344795894</v>
      </c>
      <c r="AE9" s="491">
        <f t="shared" si="6"/>
        <v>328.78311288656306</v>
      </c>
      <c r="AF9" s="491">
        <f t="shared" si="7"/>
        <v>10.760174603560246</v>
      </c>
      <c r="AG9" s="491">
        <f t="shared" si="8"/>
        <v>130.31767019867408</v>
      </c>
      <c r="AH9" s="491">
        <f t="shared" si="9"/>
        <v>238.5172037122521</v>
      </c>
      <c r="AI9" s="491">
        <f t="shared" si="10"/>
        <v>4.8779458202806447</v>
      </c>
      <c r="AJ9" s="491">
        <f t="shared" si="11"/>
        <v>5.0871714375720938</v>
      </c>
      <c r="AK9" s="491">
        <v>3.69</v>
      </c>
      <c r="AL9" s="491">
        <v>6.35</v>
      </c>
      <c r="AM9" s="491">
        <v>0.36</v>
      </c>
    </row>
    <row r="10" spans="1:39">
      <c r="A10" s="493" t="s">
        <v>954</v>
      </c>
      <c r="B10" s="493" t="s">
        <v>966</v>
      </c>
      <c r="C10" s="493" t="s">
        <v>63</v>
      </c>
      <c r="D10" s="518">
        <v>78</v>
      </c>
      <c r="E10" s="492">
        <v>80</v>
      </c>
      <c r="F10" s="492">
        <v>26.73</v>
      </c>
      <c r="G10" s="492" t="s">
        <v>955</v>
      </c>
      <c r="H10" s="491">
        <v>417</v>
      </c>
      <c r="I10" s="491">
        <v>395</v>
      </c>
      <c r="J10" s="491">
        <v>9477</v>
      </c>
      <c r="K10" s="491">
        <v>343</v>
      </c>
      <c r="L10" s="491">
        <v>59</v>
      </c>
      <c r="M10" s="491">
        <v>339</v>
      </c>
      <c r="N10" s="491">
        <v>12</v>
      </c>
      <c r="O10" s="491">
        <v>200</v>
      </c>
      <c r="P10" s="491">
        <v>408</v>
      </c>
      <c r="Q10" s="491">
        <v>7.98</v>
      </c>
      <c r="R10" s="491">
        <v>6.16</v>
      </c>
      <c r="S10" s="491">
        <v>2.19</v>
      </c>
      <c r="T10" s="491">
        <v>3.77</v>
      </c>
      <c r="U10" s="491">
        <v>0.22</v>
      </c>
      <c r="W10" s="493" t="s">
        <v>966</v>
      </c>
      <c r="X10" s="493" t="s">
        <v>63</v>
      </c>
      <c r="Y10" s="492">
        <v>78</v>
      </c>
      <c r="Z10" s="491">
        <f t="shared" si="1"/>
        <v>249.27737831581234</v>
      </c>
      <c r="AA10" s="491">
        <f t="shared" si="2"/>
        <v>236.12605380034984</v>
      </c>
      <c r="AB10" s="491">
        <f t="shared" si="3"/>
        <v>5665.2319287744685</v>
      </c>
      <c r="AC10" s="491">
        <f t="shared" si="4"/>
        <v>205.04110494562025</v>
      </c>
      <c r="AD10" s="491">
        <f t="shared" si="5"/>
        <v>35.269461200558588</v>
      </c>
      <c r="AE10" s="491">
        <f t="shared" si="6"/>
        <v>202.64995503371799</v>
      </c>
      <c r="AF10" s="491">
        <f t="shared" si="7"/>
        <v>7.1734497357068312</v>
      </c>
      <c r="AG10" s="491">
        <f t="shared" si="8"/>
        <v>119.55749559511383</v>
      </c>
      <c r="AH10" s="491">
        <f t="shared" si="9"/>
        <v>243.89729101403219</v>
      </c>
      <c r="AI10" s="491">
        <f t="shared" si="10"/>
        <v>4.7703440742450418</v>
      </c>
      <c r="AJ10" s="491">
        <f t="shared" si="11"/>
        <v>3.6823708643295059</v>
      </c>
      <c r="AK10" s="491">
        <v>2.19</v>
      </c>
      <c r="AL10" s="491">
        <v>3.77</v>
      </c>
      <c r="AM10" s="491">
        <v>0.22</v>
      </c>
    </row>
    <row r="11" spans="1:39">
      <c r="A11" s="493" t="s">
        <v>954</v>
      </c>
      <c r="B11" s="493" t="s">
        <v>966</v>
      </c>
      <c r="C11" s="493" t="s">
        <v>63</v>
      </c>
      <c r="D11" s="518">
        <v>79</v>
      </c>
      <c r="E11" s="492">
        <v>81</v>
      </c>
      <c r="F11" s="492">
        <v>20.329999999999998</v>
      </c>
      <c r="G11" s="492" t="s">
        <v>955</v>
      </c>
      <c r="H11" s="491">
        <v>280</v>
      </c>
      <c r="I11" s="491">
        <v>4080</v>
      </c>
      <c r="J11" s="491">
        <v>5434</v>
      </c>
      <c r="K11" s="491">
        <v>193</v>
      </c>
      <c r="L11" s="491">
        <v>36</v>
      </c>
      <c r="M11" s="491">
        <v>273</v>
      </c>
      <c r="N11" s="491">
        <v>8</v>
      </c>
      <c r="O11" s="491">
        <v>181</v>
      </c>
      <c r="P11" s="491">
        <v>463</v>
      </c>
      <c r="Q11" s="491">
        <v>7.17</v>
      </c>
      <c r="R11" s="491">
        <v>4.8099999999999996</v>
      </c>
      <c r="S11" s="491">
        <v>2.67</v>
      </c>
      <c r="T11" s="491">
        <v>4.59</v>
      </c>
      <c r="U11" s="491">
        <v>0.31</v>
      </c>
      <c r="W11" s="493" t="s">
        <v>966</v>
      </c>
      <c r="X11" s="493" t="s">
        <v>63</v>
      </c>
      <c r="Y11" s="492">
        <v>79</v>
      </c>
      <c r="Z11" s="491">
        <f t="shared" si="1"/>
        <v>167.38049383315936</v>
      </c>
      <c r="AA11" s="491">
        <f t="shared" si="2"/>
        <v>2438.9729101403223</v>
      </c>
      <c r="AB11" s="491">
        <f t="shared" si="3"/>
        <v>3248.3771553192432</v>
      </c>
      <c r="AC11" s="491">
        <f t="shared" si="4"/>
        <v>115.37298324928486</v>
      </c>
      <c r="AD11" s="491">
        <f t="shared" si="5"/>
        <v>21.520349207120493</v>
      </c>
      <c r="AE11" s="491">
        <f t="shared" si="6"/>
        <v>163.19598148733039</v>
      </c>
      <c r="AF11" s="491">
        <f t="shared" si="7"/>
        <v>4.7822998238045535</v>
      </c>
      <c r="AG11" s="491">
        <f t="shared" si="8"/>
        <v>108.19953351357802</v>
      </c>
      <c r="AH11" s="491">
        <f t="shared" si="9"/>
        <v>276.77560230268853</v>
      </c>
      <c r="AI11" s="491">
        <f t="shared" si="10"/>
        <v>4.2861362170848309</v>
      </c>
      <c r="AJ11" s="491">
        <f t="shared" si="11"/>
        <v>2.8753577690624872</v>
      </c>
      <c r="AK11" s="491">
        <v>2.67</v>
      </c>
      <c r="AL11" s="491">
        <v>4.59</v>
      </c>
      <c r="AM11" s="491">
        <v>0.31</v>
      </c>
    </row>
    <row r="12" spans="1:39">
      <c r="A12" s="493" t="s">
        <v>954</v>
      </c>
      <c r="B12" s="493" t="s">
        <v>966</v>
      </c>
      <c r="C12" s="493" t="s">
        <v>63</v>
      </c>
      <c r="D12" s="518">
        <v>80</v>
      </c>
      <c r="E12" s="492">
        <v>82</v>
      </c>
      <c r="F12" s="492">
        <v>34.49</v>
      </c>
      <c r="G12" s="492" t="s">
        <v>955</v>
      </c>
      <c r="H12" s="491">
        <v>573</v>
      </c>
      <c r="I12" s="491">
        <v>661</v>
      </c>
      <c r="J12" s="491">
        <v>11850</v>
      </c>
      <c r="K12" s="491">
        <v>631</v>
      </c>
      <c r="L12" s="491">
        <v>389</v>
      </c>
      <c r="M12" s="491">
        <v>583</v>
      </c>
      <c r="N12" s="491">
        <v>13</v>
      </c>
      <c r="O12" s="491">
        <v>241</v>
      </c>
      <c r="P12" s="491">
        <v>390</v>
      </c>
      <c r="Q12" s="491">
        <v>5.03</v>
      </c>
      <c r="R12" s="491">
        <v>9.39</v>
      </c>
      <c r="S12" s="491">
        <v>2.1</v>
      </c>
      <c r="T12" s="491">
        <v>3.61</v>
      </c>
      <c r="U12" s="491">
        <v>0.22</v>
      </c>
      <c r="W12" s="493" t="s">
        <v>966</v>
      </c>
      <c r="X12" s="493" t="s">
        <v>63</v>
      </c>
      <c r="Y12" s="492">
        <v>80</v>
      </c>
      <c r="Z12" s="491">
        <f t="shared" si="1"/>
        <v>342.53222488000108</v>
      </c>
      <c r="AA12" s="491">
        <f t="shared" si="2"/>
        <v>395.13752294185122</v>
      </c>
      <c r="AB12" s="491">
        <f t="shared" si="3"/>
        <v>7083.7816140104951</v>
      </c>
      <c r="AC12" s="491">
        <f t="shared" si="4"/>
        <v>377.20389860258416</v>
      </c>
      <c r="AD12" s="491">
        <f t="shared" si="5"/>
        <v>232.5393289324964</v>
      </c>
      <c r="AE12" s="491">
        <f t="shared" si="6"/>
        <v>348.51009965975686</v>
      </c>
      <c r="AF12" s="491">
        <f t="shared" si="7"/>
        <v>7.7712372136823982</v>
      </c>
      <c r="AG12" s="491">
        <f t="shared" si="8"/>
        <v>144.06678219211219</v>
      </c>
      <c r="AH12" s="491">
        <f t="shared" si="9"/>
        <v>233.13711641047198</v>
      </c>
      <c r="AI12" s="491">
        <f t="shared" si="10"/>
        <v>3.0068710142171136</v>
      </c>
      <c r="AJ12" s="491">
        <f t="shared" si="11"/>
        <v>5.6132244181905957</v>
      </c>
      <c r="AK12" s="491">
        <v>2.1</v>
      </c>
      <c r="AL12" s="491">
        <v>3.61</v>
      </c>
      <c r="AM12" s="491">
        <v>0.22</v>
      </c>
    </row>
    <row r="13" spans="1:39">
      <c r="A13" s="493" t="s">
        <v>954</v>
      </c>
      <c r="B13" s="493" t="s">
        <v>966</v>
      </c>
      <c r="C13" s="493" t="s">
        <v>63</v>
      </c>
      <c r="D13" s="518">
        <v>81</v>
      </c>
      <c r="E13" s="492">
        <v>83</v>
      </c>
      <c r="F13" s="492">
        <v>25.81</v>
      </c>
      <c r="G13" s="492" t="s">
        <v>955</v>
      </c>
      <c r="H13" s="491">
        <v>348</v>
      </c>
      <c r="I13" s="491">
        <v>487</v>
      </c>
      <c r="J13" s="491">
        <v>9206</v>
      </c>
      <c r="K13" s="491">
        <v>315</v>
      </c>
      <c r="L13" s="491">
        <v>62</v>
      </c>
      <c r="M13" s="491">
        <v>340</v>
      </c>
      <c r="N13" s="491">
        <v>9</v>
      </c>
      <c r="O13" s="491">
        <v>220</v>
      </c>
      <c r="P13" s="491">
        <v>437</v>
      </c>
      <c r="Q13" s="491">
        <v>5.71</v>
      </c>
      <c r="R13" s="491">
        <v>6.29</v>
      </c>
      <c r="S13" s="491">
        <v>1.57</v>
      </c>
      <c r="T13" s="491">
        <v>2.7</v>
      </c>
      <c r="U13" s="491">
        <v>0.17</v>
      </c>
      <c r="W13" s="493" t="s">
        <v>966</v>
      </c>
      <c r="X13" s="493" t="s">
        <v>63</v>
      </c>
      <c r="Y13" s="492">
        <v>81</v>
      </c>
      <c r="Z13" s="491">
        <f t="shared" si="1"/>
        <v>208.03004233549808</v>
      </c>
      <c r="AA13" s="491">
        <f t="shared" si="2"/>
        <v>291.1225017741022</v>
      </c>
      <c r="AB13" s="491">
        <f t="shared" si="3"/>
        <v>5503.2315222430898</v>
      </c>
      <c r="AC13" s="491">
        <f t="shared" si="4"/>
        <v>188.30305556230428</v>
      </c>
      <c r="AD13" s="491">
        <f t="shared" si="5"/>
        <v>37.062823634485284</v>
      </c>
      <c r="AE13" s="491">
        <f t="shared" si="6"/>
        <v>203.24774251169353</v>
      </c>
      <c r="AF13" s="491">
        <f t="shared" si="7"/>
        <v>5.3800873017801232</v>
      </c>
      <c r="AG13" s="491">
        <f t="shared" si="8"/>
        <v>131.51324515462522</v>
      </c>
      <c r="AH13" s="491">
        <f t="shared" si="9"/>
        <v>261.23312787532376</v>
      </c>
      <c r="AI13" s="491">
        <f t="shared" si="10"/>
        <v>3.4133664992405</v>
      </c>
      <c r="AJ13" s="491">
        <f t="shared" si="11"/>
        <v>3.7600832364663299</v>
      </c>
      <c r="AK13" s="491">
        <v>1.57</v>
      </c>
      <c r="AL13" s="491">
        <v>2.7</v>
      </c>
      <c r="AM13" s="491">
        <v>0.17</v>
      </c>
    </row>
    <row r="14" spans="1:39">
      <c r="A14" s="493" t="s">
        <v>954</v>
      </c>
      <c r="B14" s="493" t="s">
        <v>966</v>
      </c>
      <c r="C14" s="493" t="s">
        <v>63</v>
      </c>
      <c r="D14" s="518">
        <v>82</v>
      </c>
      <c r="E14" s="492">
        <v>84</v>
      </c>
      <c r="F14" s="492">
        <v>21.11</v>
      </c>
      <c r="G14" s="492" t="s">
        <v>955</v>
      </c>
      <c r="H14" s="491">
        <v>254</v>
      </c>
      <c r="I14" s="491">
        <v>570</v>
      </c>
      <c r="J14" s="491">
        <v>7280</v>
      </c>
      <c r="K14" s="491">
        <v>246</v>
      </c>
      <c r="L14" s="491">
        <v>45</v>
      </c>
      <c r="M14" s="491">
        <v>311</v>
      </c>
      <c r="N14" s="491">
        <v>7</v>
      </c>
      <c r="O14" s="491">
        <v>213</v>
      </c>
      <c r="P14" s="491">
        <v>512</v>
      </c>
      <c r="Q14" s="491">
        <v>5.0999999999999996</v>
      </c>
      <c r="R14" s="491">
        <v>5.99</v>
      </c>
      <c r="S14" s="491">
        <v>3.68</v>
      </c>
      <c r="T14" s="491">
        <v>6.33</v>
      </c>
      <c r="U14" s="491">
        <v>0.27</v>
      </c>
      <c r="W14" s="493" t="s">
        <v>966</v>
      </c>
      <c r="X14" s="493" t="s">
        <v>63</v>
      </c>
      <c r="Y14" s="492">
        <v>82</v>
      </c>
      <c r="Z14" s="491">
        <f t="shared" si="1"/>
        <v>151.83801940579457</v>
      </c>
      <c r="AA14" s="491">
        <f t="shared" si="2"/>
        <v>340.73886244607445</v>
      </c>
      <c r="AB14" s="491">
        <f t="shared" si="3"/>
        <v>4351.8928396621432</v>
      </c>
      <c r="AC14" s="491">
        <f t="shared" si="4"/>
        <v>147.05571958199002</v>
      </c>
      <c r="AD14" s="491">
        <f t="shared" si="5"/>
        <v>26.900436508900611</v>
      </c>
      <c r="AE14" s="491">
        <f t="shared" si="6"/>
        <v>185.91190565040202</v>
      </c>
      <c r="AF14" s="491">
        <f t="shared" si="7"/>
        <v>4.1845123458289839</v>
      </c>
      <c r="AG14" s="491">
        <f t="shared" si="8"/>
        <v>127.32873280879622</v>
      </c>
      <c r="AH14" s="491">
        <f t="shared" si="9"/>
        <v>306.06718872349143</v>
      </c>
      <c r="AI14" s="491">
        <f t="shared" si="10"/>
        <v>3.0487161376754028</v>
      </c>
      <c r="AJ14" s="491">
        <f t="shared" si="11"/>
        <v>3.5807469930736593</v>
      </c>
      <c r="AK14" s="491">
        <v>3.68</v>
      </c>
      <c r="AL14" s="491">
        <v>6.33</v>
      </c>
      <c r="AM14" s="491">
        <v>0.27</v>
      </c>
    </row>
    <row r="15" spans="1:39">
      <c r="A15" s="493" t="s">
        <v>954</v>
      </c>
      <c r="B15" s="493" t="s">
        <v>966</v>
      </c>
      <c r="C15" s="493" t="s">
        <v>63</v>
      </c>
      <c r="D15" s="518">
        <v>83</v>
      </c>
      <c r="E15" s="492">
        <v>85</v>
      </c>
      <c r="F15" s="492">
        <v>3.42</v>
      </c>
      <c r="G15" s="492" t="s">
        <v>955</v>
      </c>
      <c r="H15" s="491">
        <v>25</v>
      </c>
      <c r="I15" s="491">
        <v>448</v>
      </c>
      <c r="J15" s="491">
        <v>866</v>
      </c>
      <c r="K15" s="491">
        <v>142</v>
      </c>
      <c r="L15" s="491">
        <v>31</v>
      </c>
      <c r="M15" s="491">
        <v>39</v>
      </c>
      <c r="N15" s="491">
        <v>6</v>
      </c>
      <c r="O15" s="491">
        <v>163</v>
      </c>
      <c r="P15" s="491">
        <v>583</v>
      </c>
      <c r="Q15" s="491">
        <v>3.83</v>
      </c>
      <c r="R15" s="491">
        <v>3.21</v>
      </c>
      <c r="S15" s="491">
        <v>0.92</v>
      </c>
      <c r="T15" s="491">
        <v>1.58</v>
      </c>
      <c r="U15" s="491">
        <v>0.1</v>
      </c>
      <c r="W15" s="493" t="s">
        <v>966</v>
      </c>
      <c r="X15" s="493" t="s">
        <v>63</v>
      </c>
      <c r="Y15" s="492">
        <v>83</v>
      </c>
      <c r="Z15" s="491">
        <f t="shared" si="1"/>
        <v>14.944686949389229</v>
      </c>
      <c r="AA15" s="491">
        <f t="shared" si="2"/>
        <v>267.80879013305497</v>
      </c>
      <c r="AB15" s="491">
        <f t="shared" si="3"/>
        <v>517.68395592684294</v>
      </c>
      <c r="AC15" s="491">
        <f t="shared" si="4"/>
        <v>84.88582187253084</v>
      </c>
      <c r="AD15" s="491">
        <f t="shared" si="5"/>
        <v>18.531411817242642</v>
      </c>
      <c r="AE15" s="491">
        <f t="shared" si="6"/>
        <v>23.313711641047195</v>
      </c>
      <c r="AF15" s="491">
        <f t="shared" si="7"/>
        <v>3.5867248678534156</v>
      </c>
      <c r="AG15" s="491">
        <f t="shared" si="8"/>
        <v>97.439358910017759</v>
      </c>
      <c r="AH15" s="491">
        <f t="shared" si="9"/>
        <v>348.51009965975686</v>
      </c>
      <c r="AI15" s="491">
        <f t="shared" si="10"/>
        <v>2.2895260406464302</v>
      </c>
      <c r="AJ15" s="491">
        <f t="shared" si="11"/>
        <v>1.9188978043015772</v>
      </c>
      <c r="AK15" s="491">
        <v>0.92</v>
      </c>
      <c r="AL15" s="491">
        <v>1.58</v>
      </c>
      <c r="AM15" s="491">
        <v>0.1</v>
      </c>
    </row>
    <row r="16" spans="1:39">
      <c r="A16" s="493" t="s">
        <v>954</v>
      </c>
      <c r="B16" s="493" t="s">
        <v>966</v>
      </c>
      <c r="C16" s="493" t="s">
        <v>63</v>
      </c>
      <c r="D16" s="518">
        <v>86</v>
      </c>
      <c r="E16" s="492">
        <v>86</v>
      </c>
      <c r="F16" s="492">
        <v>4.45</v>
      </c>
      <c r="G16" s="492" t="s">
        <v>955</v>
      </c>
      <c r="H16" s="491">
        <v>7</v>
      </c>
      <c r="I16" s="491">
        <v>369</v>
      </c>
      <c r="J16" s="491">
        <v>1303</v>
      </c>
      <c r="K16" s="491">
        <v>150</v>
      </c>
      <c r="L16" s="491">
        <v>30</v>
      </c>
      <c r="M16" s="491">
        <v>45</v>
      </c>
      <c r="N16" s="491">
        <v>3</v>
      </c>
      <c r="O16" s="491">
        <v>156</v>
      </c>
      <c r="P16" s="491">
        <v>310</v>
      </c>
      <c r="Q16" s="491">
        <v>2.42</v>
      </c>
      <c r="R16" s="491">
        <v>2.73</v>
      </c>
      <c r="S16" s="491">
        <v>2.77</v>
      </c>
      <c r="T16" s="491">
        <v>4.76</v>
      </c>
      <c r="U16" s="491">
        <v>0.3</v>
      </c>
      <c r="W16" s="493" t="s">
        <v>966</v>
      </c>
      <c r="X16" s="493" t="s">
        <v>63</v>
      </c>
      <c r="Y16" s="492">
        <v>86</v>
      </c>
      <c r="Z16" s="491">
        <f t="shared" si="1"/>
        <v>4.1845123458289839</v>
      </c>
      <c r="AA16" s="491">
        <f t="shared" si="2"/>
        <v>220.58357937298501</v>
      </c>
      <c r="AB16" s="491">
        <f t="shared" si="3"/>
        <v>778.91708380216664</v>
      </c>
      <c r="AC16" s="491">
        <f t="shared" si="4"/>
        <v>89.668121696335376</v>
      </c>
      <c r="AD16" s="491">
        <f t="shared" si="5"/>
        <v>17.933624339267077</v>
      </c>
      <c r="AE16" s="491">
        <f t="shared" si="6"/>
        <v>26.900436508900611</v>
      </c>
      <c r="AF16" s="491">
        <f t="shared" si="7"/>
        <v>1.7933624339267078</v>
      </c>
      <c r="AG16" s="491">
        <f t="shared" si="8"/>
        <v>93.254846564188782</v>
      </c>
      <c r="AH16" s="491">
        <f t="shared" si="9"/>
        <v>185.31411817242648</v>
      </c>
      <c r="AI16" s="491">
        <f t="shared" si="10"/>
        <v>1.4466456967008774</v>
      </c>
      <c r="AJ16" s="491">
        <f t="shared" si="11"/>
        <v>1.6319598148733039</v>
      </c>
      <c r="AK16" s="491">
        <v>2.77</v>
      </c>
      <c r="AL16" s="491">
        <v>4.76</v>
      </c>
      <c r="AM16" s="491">
        <v>0.3</v>
      </c>
    </row>
    <row r="19" spans="1:6">
      <c r="A19" s="508"/>
      <c r="B19" s="508"/>
    </row>
    <row r="20" spans="1:6" ht="105" customHeight="1" thickBot="1">
      <c r="A20" s="788" t="s">
        <v>979</v>
      </c>
      <c r="B20" s="788"/>
      <c r="C20" s="788"/>
      <c r="D20" s="788"/>
      <c r="E20" s="788"/>
      <c r="F20" s="788"/>
    </row>
    <row r="21" spans="1:6">
      <c r="B21" s="533"/>
      <c r="C21" s="534" t="s">
        <v>986</v>
      </c>
      <c r="D21" s="530" t="s">
        <v>987</v>
      </c>
      <c r="E21" s="535" t="s">
        <v>111</v>
      </c>
    </row>
    <row r="22" spans="1:6">
      <c r="B22" s="536">
        <v>71</v>
      </c>
      <c r="C22" s="537" t="s">
        <v>988</v>
      </c>
      <c r="D22" s="538" t="s">
        <v>25</v>
      </c>
      <c r="E22" s="539" t="s">
        <v>114</v>
      </c>
    </row>
    <row r="23" spans="1:6">
      <c r="B23" s="536">
        <v>72</v>
      </c>
      <c r="C23" s="537" t="s">
        <v>988</v>
      </c>
      <c r="D23" s="538" t="s">
        <v>19</v>
      </c>
      <c r="E23" s="539" t="s">
        <v>112</v>
      </c>
    </row>
    <row r="24" spans="1:6">
      <c r="B24" s="536">
        <v>73</v>
      </c>
      <c r="C24" s="537" t="s">
        <v>988</v>
      </c>
      <c r="D24" s="538" t="s">
        <v>19</v>
      </c>
      <c r="E24" s="539" t="s">
        <v>114</v>
      </c>
    </row>
    <row r="25" spans="1:6">
      <c r="B25" s="536">
        <v>74</v>
      </c>
      <c r="C25" s="537" t="s">
        <v>988</v>
      </c>
      <c r="D25" s="538" t="s">
        <v>19</v>
      </c>
      <c r="E25" s="539" t="s">
        <v>817</v>
      </c>
    </row>
    <row r="26" spans="1:6">
      <c r="B26" s="536">
        <v>75</v>
      </c>
      <c r="C26" s="537" t="s">
        <v>988</v>
      </c>
      <c r="D26" s="538" t="s">
        <v>18</v>
      </c>
      <c r="E26" s="539" t="s">
        <v>112</v>
      </c>
    </row>
    <row r="27" spans="1:6">
      <c r="B27" s="536">
        <v>76</v>
      </c>
      <c r="C27" s="537" t="s">
        <v>988</v>
      </c>
      <c r="D27" s="538" t="s">
        <v>18</v>
      </c>
      <c r="E27" s="539" t="s">
        <v>114</v>
      </c>
    </row>
    <row r="28" spans="1:6">
      <c r="B28" s="536">
        <v>77</v>
      </c>
      <c r="C28" s="537" t="s">
        <v>988</v>
      </c>
      <c r="D28" s="538" t="s">
        <v>18</v>
      </c>
      <c r="E28" s="539" t="s">
        <v>817</v>
      </c>
    </row>
    <row r="29" spans="1:6">
      <c r="B29" s="536">
        <v>78</v>
      </c>
      <c r="C29" s="537" t="s">
        <v>988</v>
      </c>
      <c r="D29" s="538" t="s">
        <v>22</v>
      </c>
      <c r="E29" s="539" t="s">
        <v>112</v>
      </c>
    </row>
    <row r="30" spans="1:6">
      <c r="B30" s="536">
        <v>79</v>
      </c>
      <c r="C30" s="537" t="s">
        <v>988</v>
      </c>
      <c r="D30" s="538" t="s">
        <v>22</v>
      </c>
      <c r="E30" s="539" t="s">
        <v>114</v>
      </c>
    </row>
    <row r="31" spans="1:6">
      <c r="B31" s="536">
        <v>80</v>
      </c>
      <c r="C31" s="537" t="s">
        <v>988</v>
      </c>
      <c r="D31" s="538" t="s">
        <v>22</v>
      </c>
      <c r="E31" s="539" t="s">
        <v>817</v>
      </c>
    </row>
    <row r="32" spans="1:6">
      <c r="B32" s="536">
        <v>81</v>
      </c>
      <c r="C32" s="537" t="s">
        <v>988</v>
      </c>
      <c r="D32" s="538" t="s">
        <v>20</v>
      </c>
      <c r="E32" s="539" t="s">
        <v>112</v>
      </c>
    </row>
    <row r="33" spans="2:5">
      <c r="B33" s="536">
        <v>82</v>
      </c>
      <c r="C33" s="537" t="s">
        <v>988</v>
      </c>
      <c r="D33" s="538" t="s">
        <v>20</v>
      </c>
      <c r="E33" s="539" t="s">
        <v>114</v>
      </c>
    </row>
    <row r="34" spans="2:5">
      <c r="B34" s="536">
        <v>83</v>
      </c>
      <c r="C34" s="537" t="s">
        <v>988</v>
      </c>
      <c r="D34" s="538" t="s">
        <v>20</v>
      </c>
      <c r="E34" s="539" t="s">
        <v>817</v>
      </c>
    </row>
    <row r="35" spans="2:5" ht="15.75" thickBot="1">
      <c r="B35" s="540">
        <v>86</v>
      </c>
      <c r="C35" s="541" t="s">
        <v>988</v>
      </c>
      <c r="D35" s="532" t="s">
        <v>20</v>
      </c>
      <c r="E35" s="542" t="s">
        <v>112</v>
      </c>
    </row>
    <row r="36" spans="2:5">
      <c r="C36" s="528"/>
      <c r="E36" s="529"/>
    </row>
    <row r="37" spans="2:5">
      <c r="E37" s="529"/>
    </row>
  </sheetData>
  <mergeCells count="2">
    <mergeCell ref="Z1:AJ1"/>
    <mergeCell ref="A20:F20"/>
  </mergeCells>
  <phoneticPr fontId="4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C5F2-6806-479A-AC3C-AA21957C2B00}">
  <dimension ref="A1:W55"/>
  <sheetViews>
    <sheetView workbookViewId="0">
      <selection activeCell="T28" sqref="T28"/>
    </sheetView>
  </sheetViews>
  <sheetFormatPr defaultColWidth="8.85546875" defaultRowHeight="15"/>
  <sheetData>
    <row r="1" spans="1:23" ht="15.75" thickBot="1">
      <c r="A1" s="187"/>
      <c r="B1" s="840" t="s">
        <v>0</v>
      </c>
      <c r="C1" s="840" t="s">
        <v>1</v>
      </c>
      <c r="D1" s="841" t="s">
        <v>2</v>
      </c>
      <c r="E1" s="841"/>
      <c r="F1" s="841"/>
      <c r="G1" s="841"/>
      <c r="H1" s="841"/>
      <c r="I1" s="187"/>
      <c r="J1" s="187"/>
      <c r="K1" s="187"/>
      <c r="L1" s="840" t="s">
        <v>0</v>
      </c>
      <c r="M1" s="840" t="s">
        <v>1</v>
      </c>
      <c r="N1" s="841" t="s">
        <v>2</v>
      </c>
      <c r="O1" s="841"/>
      <c r="P1" s="841"/>
      <c r="Q1" s="841"/>
      <c r="R1" s="841"/>
      <c r="S1" s="187"/>
      <c r="T1" s="187"/>
      <c r="U1" s="187"/>
      <c r="V1" s="187"/>
      <c r="W1" s="187"/>
    </row>
    <row r="2" spans="1:23" ht="26.25" thickBot="1">
      <c r="A2" s="187"/>
      <c r="B2" s="840"/>
      <c r="C2" s="840"/>
      <c r="D2" s="844" t="s">
        <v>705</v>
      </c>
      <c r="E2" s="844"/>
      <c r="F2" s="844"/>
      <c r="G2" s="844"/>
      <c r="H2" s="844"/>
      <c r="I2" s="187"/>
      <c r="J2" s="187"/>
      <c r="K2" s="187"/>
      <c r="L2" s="840"/>
      <c r="M2" s="840"/>
      <c r="N2" s="844" t="s">
        <v>705</v>
      </c>
      <c r="O2" s="844"/>
      <c r="P2" s="844"/>
      <c r="Q2" s="844"/>
      <c r="R2" s="844"/>
      <c r="S2" s="187"/>
      <c r="T2" s="188" t="s">
        <v>0</v>
      </c>
      <c r="U2" s="188" t="s">
        <v>38</v>
      </c>
      <c r="V2" s="188" t="s">
        <v>711</v>
      </c>
      <c r="W2" s="187"/>
    </row>
    <row r="3" spans="1:23">
      <c r="A3" s="187">
        <v>1</v>
      </c>
      <c r="B3" s="189" t="s">
        <v>712</v>
      </c>
      <c r="C3" s="189" t="s">
        <v>4</v>
      </c>
      <c r="D3" s="189">
        <v>1.88</v>
      </c>
      <c r="E3" s="189">
        <v>1.32</v>
      </c>
      <c r="F3" s="190"/>
      <c r="G3" s="190"/>
      <c r="H3" s="190"/>
      <c r="I3" s="187"/>
      <c r="J3" s="187"/>
      <c r="K3" s="187"/>
      <c r="L3" s="189" t="s">
        <v>712</v>
      </c>
      <c r="M3" s="189" t="s">
        <v>4</v>
      </c>
      <c r="N3" s="189">
        <v>1.88</v>
      </c>
      <c r="O3" s="189">
        <v>1.32</v>
      </c>
      <c r="P3" s="190"/>
      <c r="Q3" s="190"/>
      <c r="R3" s="190"/>
      <c r="S3" s="187"/>
      <c r="T3" s="839" t="s">
        <v>700</v>
      </c>
      <c r="U3" s="189" t="s">
        <v>4</v>
      </c>
      <c r="V3" s="191">
        <f>AVERAGE(N3:N5)</f>
        <v>1.6519999999999999</v>
      </c>
      <c r="W3" s="187"/>
    </row>
    <row r="4" spans="1:23">
      <c r="A4" s="187">
        <v>2</v>
      </c>
      <c r="B4" s="189" t="s">
        <v>712</v>
      </c>
      <c r="C4" s="189" t="s">
        <v>5</v>
      </c>
      <c r="D4" s="189">
        <v>0.34799999999999998</v>
      </c>
      <c r="E4" s="189">
        <v>0.34499999999999997</v>
      </c>
      <c r="F4" s="190"/>
      <c r="G4" s="190"/>
      <c r="H4" s="190"/>
      <c r="I4" s="187"/>
      <c r="J4" s="187"/>
      <c r="K4" s="187"/>
      <c r="L4" s="189" t="s">
        <v>713</v>
      </c>
      <c r="M4" s="189" t="s">
        <v>4</v>
      </c>
      <c r="N4" s="189">
        <v>2.9</v>
      </c>
      <c r="O4" s="187"/>
      <c r="P4" s="187"/>
      <c r="Q4" s="187"/>
      <c r="R4" s="187"/>
      <c r="S4" s="187"/>
      <c r="T4" s="839"/>
      <c r="U4" s="189" t="s">
        <v>5</v>
      </c>
      <c r="V4" s="191">
        <f>AVERAGE(N7:N9)</f>
        <v>0.83</v>
      </c>
      <c r="W4" s="187"/>
    </row>
    <row r="5" spans="1:23">
      <c r="A5" s="187">
        <v>3</v>
      </c>
      <c r="B5" s="189" t="s">
        <v>713</v>
      </c>
      <c r="C5" s="189" t="s">
        <v>4</v>
      </c>
      <c r="D5" s="189">
        <v>2.9</v>
      </c>
      <c r="E5" s="189"/>
      <c r="F5" s="190"/>
      <c r="G5" s="190"/>
      <c r="H5" s="190"/>
      <c r="I5" s="187"/>
      <c r="J5" s="187"/>
      <c r="K5" s="187"/>
      <c r="L5" s="189" t="s">
        <v>714</v>
      </c>
      <c r="M5" s="189" t="s">
        <v>4</v>
      </c>
      <c r="N5" s="189">
        <v>0.17599999999999999</v>
      </c>
      <c r="O5" s="189">
        <v>0.19800000000000001</v>
      </c>
      <c r="P5" s="192">
        <v>0.28499999999999998</v>
      </c>
      <c r="Q5" s="193">
        <v>0.22</v>
      </c>
      <c r="R5" s="189">
        <v>0.224</v>
      </c>
      <c r="S5" s="187"/>
      <c r="T5" s="839"/>
      <c r="U5" s="189" t="s">
        <v>715</v>
      </c>
      <c r="V5" s="191">
        <f>AVERAGE(V3:V4)</f>
        <v>1.2409999999999999</v>
      </c>
      <c r="W5" s="187"/>
    </row>
    <row r="6" spans="1:23">
      <c r="A6" s="187">
        <v>4</v>
      </c>
      <c r="B6" s="189" t="s">
        <v>713</v>
      </c>
      <c r="C6" s="189" t="s">
        <v>5</v>
      </c>
      <c r="D6" s="189">
        <v>1.48</v>
      </c>
      <c r="E6" s="189">
        <v>0.80600000000000005</v>
      </c>
      <c r="F6" s="190"/>
      <c r="G6" s="190"/>
      <c r="H6" s="190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94" t="s">
        <v>716</v>
      </c>
      <c r="U6" s="189" t="s">
        <v>4</v>
      </c>
      <c r="V6" s="195">
        <v>1.04</v>
      </c>
      <c r="W6" s="187"/>
    </row>
    <row r="7" spans="1:23">
      <c r="A7" s="187">
        <v>5</v>
      </c>
      <c r="B7" s="189" t="s">
        <v>714</v>
      </c>
      <c r="C7" s="189" t="s">
        <v>4</v>
      </c>
      <c r="D7" s="189">
        <v>0.17599999999999999</v>
      </c>
      <c r="E7" s="189">
        <v>0.19800000000000001</v>
      </c>
      <c r="F7" s="192">
        <v>0.28499999999999998</v>
      </c>
      <c r="G7" s="193">
        <v>0.22</v>
      </c>
      <c r="H7" s="189">
        <v>0.224</v>
      </c>
      <c r="I7" s="187"/>
      <c r="J7" s="187"/>
      <c r="K7" s="187"/>
      <c r="L7" s="189" t="s">
        <v>712</v>
      </c>
      <c r="M7" s="189" t="s">
        <v>5</v>
      </c>
      <c r="N7" s="189">
        <v>0.34799999999999998</v>
      </c>
      <c r="O7" s="189">
        <v>0.34499999999999997</v>
      </c>
      <c r="P7" s="187"/>
      <c r="Q7" s="187"/>
      <c r="R7" s="187"/>
      <c r="S7" s="187"/>
      <c r="T7" s="187"/>
      <c r="U7" s="189" t="s">
        <v>5</v>
      </c>
      <c r="V7" s="195">
        <v>0.47499999999999998</v>
      </c>
      <c r="W7" s="187"/>
    </row>
    <row r="8" spans="1:23" ht="15.75" thickBot="1">
      <c r="A8" s="187">
        <v>6</v>
      </c>
      <c r="B8" s="189" t="s">
        <v>714</v>
      </c>
      <c r="C8" s="189" t="s">
        <v>5</v>
      </c>
      <c r="D8" s="189">
        <v>0.66200000000000003</v>
      </c>
      <c r="E8" s="189">
        <v>0.72299999999999998</v>
      </c>
      <c r="F8" s="189">
        <v>0.81799999999999995</v>
      </c>
      <c r="G8" s="189"/>
      <c r="H8" s="189"/>
      <c r="I8" s="187"/>
      <c r="J8" s="187"/>
      <c r="K8" s="187"/>
      <c r="L8" s="189" t="s">
        <v>713</v>
      </c>
      <c r="M8" s="189" t="s">
        <v>5</v>
      </c>
      <c r="N8" s="189">
        <v>1.48</v>
      </c>
      <c r="O8" s="189">
        <v>0.80600000000000005</v>
      </c>
      <c r="P8" s="187"/>
      <c r="Q8" s="187"/>
      <c r="R8" s="187"/>
      <c r="S8" s="187"/>
      <c r="T8" s="187"/>
      <c r="U8" s="196" t="s">
        <v>715</v>
      </c>
      <c r="V8" s="197">
        <f>AVERAGE(V6:V7)</f>
        <v>0.75750000000000006</v>
      </c>
      <c r="W8" s="187"/>
    </row>
    <row r="9" spans="1:23">
      <c r="A9" s="187">
        <v>7</v>
      </c>
      <c r="B9" s="838" t="s">
        <v>717</v>
      </c>
      <c r="C9" s="189" t="s">
        <v>4</v>
      </c>
      <c r="D9" s="189">
        <v>1.04</v>
      </c>
      <c r="E9" s="189"/>
      <c r="F9" s="190"/>
      <c r="G9" s="190"/>
      <c r="H9" s="190"/>
      <c r="I9" s="187"/>
      <c r="J9" s="187"/>
      <c r="K9" s="187"/>
      <c r="L9" s="189" t="s">
        <v>714</v>
      </c>
      <c r="M9" s="189" t="s">
        <v>5</v>
      </c>
      <c r="N9" s="189">
        <v>0.66200000000000003</v>
      </c>
      <c r="O9" s="189">
        <v>0.72299999999999998</v>
      </c>
      <c r="P9" s="189">
        <v>0.81799999999999995</v>
      </c>
      <c r="Q9" s="187"/>
      <c r="R9" s="187"/>
      <c r="S9" s="187"/>
      <c r="T9" s="839" t="s">
        <v>13</v>
      </c>
      <c r="U9" s="189" t="s">
        <v>4</v>
      </c>
      <c r="V9" s="191">
        <f>AVERAGE(N15:N20)</f>
        <v>5.038333333333334</v>
      </c>
      <c r="W9" s="187"/>
    </row>
    <row r="10" spans="1:23">
      <c r="A10" s="187">
        <v>8</v>
      </c>
      <c r="B10" s="838"/>
      <c r="C10" s="189" t="s">
        <v>5</v>
      </c>
      <c r="D10" s="189">
        <v>0.47499999999999998</v>
      </c>
      <c r="E10" s="189">
        <v>0.56399999999999995</v>
      </c>
      <c r="F10" s="190"/>
      <c r="G10" s="190"/>
      <c r="H10" s="190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839"/>
      <c r="U10" s="189" t="s">
        <v>5</v>
      </c>
      <c r="V10" s="191">
        <f>AVERAGE(N29:N32)</f>
        <v>3.6524999999999999</v>
      </c>
      <c r="W10" s="187"/>
    </row>
    <row r="11" spans="1:23" ht="15.75" thickBot="1">
      <c r="A11" s="187">
        <v>9</v>
      </c>
      <c r="B11" s="189" t="s">
        <v>10</v>
      </c>
      <c r="C11" s="189" t="s">
        <v>4</v>
      </c>
      <c r="D11" s="189">
        <v>7.93</v>
      </c>
      <c r="E11" s="189">
        <v>6.05</v>
      </c>
      <c r="F11" s="190"/>
      <c r="G11" s="190"/>
      <c r="H11" s="190"/>
      <c r="I11" s="187"/>
      <c r="J11" s="187"/>
      <c r="K11" s="187"/>
      <c r="L11" s="838" t="s">
        <v>717</v>
      </c>
      <c r="M11" s="189" t="s">
        <v>4</v>
      </c>
      <c r="N11" s="189">
        <v>1.04</v>
      </c>
      <c r="O11" s="189"/>
      <c r="P11" s="187"/>
      <c r="Q11" s="187"/>
      <c r="R11" s="187"/>
      <c r="S11" s="187"/>
      <c r="T11" s="839"/>
      <c r="U11" s="196" t="s">
        <v>715</v>
      </c>
      <c r="V11" s="197">
        <f>AVERAGE(V9:V10)</f>
        <v>4.3454166666666669</v>
      </c>
      <c r="W11" s="187"/>
    </row>
    <row r="12" spans="1:23">
      <c r="A12" s="187">
        <v>10</v>
      </c>
      <c r="B12" s="189" t="s">
        <v>10</v>
      </c>
      <c r="C12" s="189" t="s">
        <v>5</v>
      </c>
      <c r="D12" s="189">
        <v>5.99</v>
      </c>
      <c r="E12" s="189">
        <v>6.35</v>
      </c>
      <c r="F12" s="190"/>
      <c r="G12" s="190"/>
      <c r="H12" s="190"/>
      <c r="I12" s="187"/>
      <c r="J12" s="187"/>
      <c r="K12" s="187"/>
      <c r="L12" s="838"/>
      <c r="M12" s="189" t="s">
        <v>5</v>
      </c>
      <c r="N12" s="189">
        <v>0.47499999999999998</v>
      </c>
      <c r="O12" s="189">
        <v>0.56399999999999995</v>
      </c>
      <c r="P12" s="187"/>
      <c r="Q12" s="187"/>
      <c r="R12" s="187"/>
      <c r="S12" s="187"/>
      <c r="T12" s="187"/>
      <c r="U12" s="187"/>
      <c r="V12" s="187"/>
      <c r="W12" s="187"/>
    </row>
    <row r="13" spans="1:23" ht="15.75" thickBot="1">
      <c r="A13" s="187">
        <v>11</v>
      </c>
      <c r="B13" s="192" t="s">
        <v>160</v>
      </c>
      <c r="C13" s="192" t="s">
        <v>4</v>
      </c>
      <c r="D13" s="192">
        <v>20</v>
      </c>
      <c r="E13" s="192">
        <v>10</v>
      </c>
      <c r="F13" s="190"/>
      <c r="G13" s="190"/>
      <c r="H13" s="190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</row>
    <row r="14" spans="1:23" ht="32.25" thickBot="1">
      <c r="A14" s="187">
        <v>12</v>
      </c>
      <c r="B14" s="192" t="s">
        <v>160</v>
      </c>
      <c r="C14" s="192" t="s">
        <v>5</v>
      </c>
      <c r="D14" s="192">
        <v>100</v>
      </c>
      <c r="E14" s="192">
        <v>14</v>
      </c>
      <c r="F14" s="190"/>
      <c r="G14" s="190"/>
      <c r="H14" s="190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8" t="s">
        <v>0</v>
      </c>
      <c r="U14" s="188" t="s">
        <v>38</v>
      </c>
      <c r="V14" s="188" t="s">
        <v>727</v>
      </c>
      <c r="W14" s="187"/>
    </row>
    <row r="15" spans="1:23">
      <c r="A15" s="187">
        <v>13</v>
      </c>
      <c r="B15" s="192" t="s">
        <v>11</v>
      </c>
      <c r="C15" s="192" t="s">
        <v>4</v>
      </c>
      <c r="D15" s="192">
        <v>200</v>
      </c>
      <c r="E15" s="189"/>
      <c r="F15" s="190"/>
      <c r="G15" s="189"/>
      <c r="H15" s="190"/>
      <c r="I15" s="187"/>
      <c r="J15" s="187"/>
      <c r="K15" s="187"/>
      <c r="L15" s="189" t="s">
        <v>718</v>
      </c>
      <c r="M15" s="189" t="s">
        <v>4</v>
      </c>
      <c r="N15" s="189">
        <v>5.58</v>
      </c>
      <c r="O15" s="189">
        <v>5.25</v>
      </c>
      <c r="P15" s="189">
        <v>5.15</v>
      </c>
      <c r="Q15" s="187"/>
      <c r="R15" s="187"/>
      <c r="S15" s="187"/>
      <c r="T15" s="842" t="s">
        <v>698</v>
      </c>
      <c r="U15" s="189" t="s">
        <v>4</v>
      </c>
      <c r="V15" s="193">
        <v>30</v>
      </c>
      <c r="W15" s="187"/>
    </row>
    <row r="16" spans="1:23">
      <c r="A16" s="187">
        <v>14</v>
      </c>
      <c r="B16" s="192" t="s">
        <v>11</v>
      </c>
      <c r="C16" s="192" t="s">
        <v>5</v>
      </c>
      <c r="D16" s="192">
        <v>20</v>
      </c>
      <c r="E16" s="189"/>
      <c r="F16" s="190"/>
      <c r="G16" s="189"/>
      <c r="H16" s="190"/>
      <c r="I16" s="187"/>
      <c r="J16" s="187"/>
      <c r="K16" s="187"/>
      <c r="L16" s="189" t="s">
        <v>158</v>
      </c>
      <c r="M16" s="189" t="s">
        <v>4</v>
      </c>
      <c r="N16" s="189">
        <v>5.35</v>
      </c>
      <c r="O16" s="189">
        <v>4.42</v>
      </c>
      <c r="P16" s="187"/>
      <c r="Q16" s="187"/>
      <c r="R16" s="187"/>
      <c r="S16" s="187"/>
      <c r="T16" s="839"/>
      <c r="U16" s="189" t="s">
        <v>5</v>
      </c>
      <c r="V16" s="193">
        <v>0.63</v>
      </c>
      <c r="W16" s="187"/>
    </row>
    <row r="17" spans="1:23">
      <c r="A17" s="187">
        <v>15</v>
      </c>
      <c r="B17" s="189" t="s">
        <v>158</v>
      </c>
      <c r="C17" s="189" t="s">
        <v>4</v>
      </c>
      <c r="D17" s="189">
        <v>5.35</v>
      </c>
      <c r="E17" s="189">
        <v>4.42</v>
      </c>
      <c r="F17" s="190"/>
      <c r="G17" s="189"/>
      <c r="H17" s="189"/>
      <c r="I17" s="187"/>
      <c r="J17" s="187"/>
      <c r="K17" s="187"/>
      <c r="L17" s="189" t="s">
        <v>39</v>
      </c>
      <c r="M17" s="189" t="s">
        <v>4</v>
      </c>
      <c r="N17" s="189">
        <v>2.39</v>
      </c>
      <c r="O17" s="189">
        <v>2.1</v>
      </c>
      <c r="P17" s="189">
        <v>1.99</v>
      </c>
      <c r="Q17" s="187"/>
      <c r="R17" s="187"/>
      <c r="S17" s="187"/>
      <c r="T17" s="839"/>
      <c r="U17" s="189" t="s">
        <v>715</v>
      </c>
      <c r="V17" s="193">
        <v>15.31</v>
      </c>
      <c r="W17" s="187"/>
    </row>
    <row r="18" spans="1:23">
      <c r="A18" s="187">
        <v>16</v>
      </c>
      <c r="B18" s="189" t="s">
        <v>158</v>
      </c>
      <c r="C18" s="189" t="s">
        <v>5</v>
      </c>
      <c r="D18" s="189">
        <v>20</v>
      </c>
      <c r="E18" s="189">
        <v>10</v>
      </c>
      <c r="F18" s="189">
        <v>5.71</v>
      </c>
      <c r="G18" s="189"/>
      <c r="H18" s="189"/>
      <c r="I18" s="187"/>
      <c r="J18" s="187"/>
      <c r="K18" s="187"/>
      <c r="L18" s="189" t="s">
        <v>10</v>
      </c>
      <c r="M18" s="189" t="s">
        <v>4</v>
      </c>
      <c r="N18" s="189">
        <v>7.93</v>
      </c>
      <c r="O18" s="189">
        <v>6.05</v>
      </c>
      <c r="P18" s="187"/>
      <c r="Q18" s="187"/>
      <c r="R18" s="187"/>
      <c r="S18" s="187"/>
      <c r="T18" s="839" t="s">
        <v>719</v>
      </c>
      <c r="U18" s="189" t="s">
        <v>4</v>
      </c>
      <c r="V18" s="193">
        <v>12.66</v>
      </c>
      <c r="W18" s="187"/>
    </row>
    <row r="19" spans="1:23">
      <c r="A19" s="187">
        <v>17</v>
      </c>
      <c r="B19" s="189" t="s">
        <v>39</v>
      </c>
      <c r="C19" s="189" t="s">
        <v>4</v>
      </c>
      <c r="D19" s="189">
        <v>2.39</v>
      </c>
      <c r="E19" s="189">
        <v>2.1</v>
      </c>
      <c r="F19" s="189">
        <v>1.99</v>
      </c>
      <c r="G19" s="189"/>
      <c r="H19" s="189"/>
      <c r="I19" s="187"/>
      <c r="J19" s="187"/>
      <c r="K19" s="187"/>
      <c r="L19" s="189" t="s">
        <v>167</v>
      </c>
      <c r="M19" s="189" t="s">
        <v>5</v>
      </c>
      <c r="N19" s="189">
        <v>2.99</v>
      </c>
      <c r="O19" s="189">
        <v>2.4900000000000002</v>
      </c>
      <c r="P19" s="187"/>
      <c r="Q19" s="187"/>
      <c r="R19" s="187"/>
      <c r="S19" s="187"/>
      <c r="T19" s="839"/>
      <c r="U19" s="189" t="s">
        <v>5</v>
      </c>
      <c r="V19" s="193">
        <v>1.1000000000000001</v>
      </c>
      <c r="W19" s="187"/>
    </row>
    <row r="20" spans="1:23" ht="15.75" thickBot="1">
      <c r="A20" s="187">
        <v>18</v>
      </c>
      <c r="B20" s="189" t="s">
        <v>39</v>
      </c>
      <c r="C20" s="189" t="s">
        <v>5</v>
      </c>
      <c r="D20" s="189">
        <v>1.8700000000000001E-2</v>
      </c>
      <c r="E20" s="189">
        <v>5.16E-2</v>
      </c>
      <c r="F20" s="192">
        <v>0.01</v>
      </c>
      <c r="G20" s="189"/>
      <c r="H20" s="189"/>
      <c r="I20" s="187"/>
      <c r="J20" s="187"/>
      <c r="K20" s="187"/>
      <c r="L20" s="189" t="s">
        <v>10</v>
      </c>
      <c r="M20" s="189" t="s">
        <v>5</v>
      </c>
      <c r="N20" s="189">
        <v>5.99</v>
      </c>
      <c r="O20" s="189">
        <v>6.35</v>
      </c>
      <c r="P20" s="187"/>
      <c r="Q20" s="187"/>
      <c r="R20" s="187"/>
      <c r="S20" s="187"/>
      <c r="T20" s="843"/>
      <c r="U20" s="196" t="s">
        <v>715</v>
      </c>
      <c r="V20" s="198">
        <v>6.88</v>
      </c>
      <c r="W20" s="187"/>
    </row>
    <row r="21" spans="1:23">
      <c r="A21" s="187">
        <v>19</v>
      </c>
      <c r="B21" s="192" t="s">
        <v>163</v>
      </c>
      <c r="C21" s="192" t="s">
        <v>4</v>
      </c>
      <c r="D21" s="192">
        <v>20</v>
      </c>
      <c r="E21" s="192">
        <v>11</v>
      </c>
      <c r="F21" s="189"/>
      <c r="G21" s="189"/>
      <c r="H21" s="189"/>
      <c r="I21" s="187"/>
      <c r="J21" s="187"/>
      <c r="K21" s="187"/>
      <c r="L21" s="192" t="s">
        <v>720</v>
      </c>
      <c r="M21" s="192" t="s">
        <v>4</v>
      </c>
      <c r="N21" s="192">
        <v>10</v>
      </c>
      <c r="O21" s="192">
        <v>0.126</v>
      </c>
      <c r="P21" s="189">
        <v>3.6900000000000002E-2</v>
      </c>
      <c r="Q21" s="187"/>
      <c r="R21" s="187"/>
      <c r="S21" s="187"/>
      <c r="T21" s="186"/>
      <c r="U21" s="187"/>
      <c r="V21" s="187"/>
      <c r="W21" s="187"/>
    </row>
    <row r="22" spans="1:23">
      <c r="A22" s="187">
        <v>20</v>
      </c>
      <c r="B22" s="192" t="s">
        <v>163</v>
      </c>
      <c r="C22" s="192" t="s">
        <v>5</v>
      </c>
      <c r="D22" s="192">
        <v>3.94</v>
      </c>
      <c r="E22" s="192">
        <v>4.16</v>
      </c>
      <c r="F22" s="190"/>
      <c r="G22" s="189"/>
      <c r="H22" s="189"/>
      <c r="I22" s="187"/>
      <c r="J22" s="187"/>
      <c r="K22" s="187"/>
      <c r="L22" s="192" t="s">
        <v>164</v>
      </c>
      <c r="M22" s="192" t="s">
        <v>4</v>
      </c>
      <c r="N22" s="192">
        <v>0.01</v>
      </c>
      <c r="O22" s="199"/>
      <c r="P22" s="187"/>
      <c r="Q22" s="187"/>
      <c r="R22" s="187"/>
      <c r="S22" s="187"/>
      <c r="T22" s="187"/>
      <c r="U22" s="187"/>
      <c r="V22" s="187"/>
      <c r="W22" s="187"/>
    </row>
    <row r="23" spans="1:23">
      <c r="A23" s="187">
        <v>21</v>
      </c>
      <c r="B23" s="192" t="s">
        <v>167</v>
      </c>
      <c r="C23" s="192" t="s">
        <v>4</v>
      </c>
      <c r="D23" s="192">
        <v>20</v>
      </c>
      <c r="E23" s="190"/>
      <c r="F23" s="189"/>
      <c r="G23" s="189"/>
      <c r="H23" s="189"/>
      <c r="I23" s="187"/>
      <c r="J23" s="187"/>
      <c r="K23" s="187"/>
      <c r="L23" s="192" t="s">
        <v>163</v>
      </c>
      <c r="M23" s="192" t="s">
        <v>4</v>
      </c>
      <c r="N23" s="192">
        <v>20</v>
      </c>
      <c r="O23" s="192">
        <v>11</v>
      </c>
      <c r="P23" s="187"/>
      <c r="Q23" s="187"/>
      <c r="R23" s="187"/>
      <c r="S23" s="187"/>
      <c r="T23" s="187"/>
      <c r="U23" s="187"/>
      <c r="V23" s="187"/>
      <c r="W23" s="187"/>
    </row>
    <row r="24" spans="1:23">
      <c r="A24" s="187">
        <v>22</v>
      </c>
      <c r="B24" s="189" t="s">
        <v>167</v>
      </c>
      <c r="C24" s="189" t="s">
        <v>5</v>
      </c>
      <c r="D24" s="189">
        <v>2.99</v>
      </c>
      <c r="E24" s="189">
        <v>2.4900000000000002</v>
      </c>
      <c r="F24" s="189"/>
      <c r="G24" s="189"/>
      <c r="H24" s="189"/>
      <c r="I24" s="187"/>
      <c r="J24" s="187"/>
      <c r="K24" s="187"/>
      <c r="L24" s="192" t="s">
        <v>11</v>
      </c>
      <c r="M24" s="192" t="s">
        <v>4</v>
      </c>
      <c r="N24" s="192">
        <v>200</v>
      </c>
      <c r="O24" s="187"/>
      <c r="P24" s="187"/>
      <c r="Q24" s="187"/>
      <c r="R24" s="187"/>
      <c r="S24" s="187"/>
      <c r="T24" s="187"/>
      <c r="U24" s="187"/>
      <c r="V24" s="187"/>
      <c r="W24" s="187"/>
    </row>
    <row r="25" spans="1:23">
      <c r="A25" s="187">
        <v>23</v>
      </c>
      <c r="B25" s="189" t="s">
        <v>164</v>
      </c>
      <c r="C25" s="189" t="s">
        <v>4</v>
      </c>
      <c r="D25" s="189">
        <v>0.01</v>
      </c>
      <c r="E25" s="189"/>
      <c r="F25" s="189"/>
      <c r="G25" s="189"/>
      <c r="H25" s="189"/>
      <c r="I25" s="187"/>
      <c r="J25" s="187"/>
      <c r="K25" s="187"/>
      <c r="L25" s="192" t="s">
        <v>160</v>
      </c>
      <c r="M25" s="192" t="s">
        <v>4</v>
      </c>
      <c r="N25" s="192">
        <v>20</v>
      </c>
      <c r="O25" s="192">
        <v>10</v>
      </c>
      <c r="P25" s="187"/>
      <c r="Q25" s="187"/>
      <c r="R25" s="187"/>
      <c r="S25" s="187"/>
      <c r="T25" s="187"/>
      <c r="U25" s="187"/>
      <c r="V25" s="187"/>
      <c r="W25" s="187"/>
    </row>
    <row r="26" spans="1:23">
      <c r="A26" s="187">
        <v>24</v>
      </c>
      <c r="B26" s="189" t="s">
        <v>164</v>
      </c>
      <c r="C26" s="189" t="s">
        <v>5</v>
      </c>
      <c r="D26" s="189">
        <v>2.92</v>
      </c>
      <c r="E26" s="189">
        <v>2.46</v>
      </c>
      <c r="F26" s="189"/>
      <c r="G26" s="189"/>
      <c r="H26" s="189"/>
      <c r="I26" s="187"/>
      <c r="J26" s="187"/>
      <c r="K26" s="187"/>
      <c r="L26" s="192" t="s">
        <v>167</v>
      </c>
      <c r="M26" s="192" t="s">
        <v>4</v>
      </c>
      <c r="N26" s="192">
        <v>20</v>
      </c>
      <c r="O26" s="187"/>
      <c r="P26" s="187"/>
      <c r="Q26" s="187"/>
      <c r="R26" s="187"/>
      <c r="S26" s="187"/>
      <c r="T26" s="187"/>
      <c r="U26" s="187"/>
      <c r="V26" s="187"/>
      <c r="W26" s="187"/>
    </row>
    <row r="27" spans="1:23">
      <c r="A27" s="187">
        <v>25</v>
      </c>
      <c r="B27" s="189" t="s">
        <v>718</v>
      </c>
      <c r="C27" s="189" t="s">
        <v>4</v>
      </c>
      <c r="D27" s="189">
        <v>5.58</v>
      </c>
      <c r="E27" s="189">
        <v>5.25</v>
      </c>
      <c r="F27" s="189">
        <v>5.15</v>
      </c>
      <c r="G27" s="190"/>
      <c r="H27" s="190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</row>
    <row r="28" spans="1:23">
      <c r="A28" s="187">
        <v>26</v>
      </c>
      <c r="B28" s="189" t="s">
        <v>718</v>
      </c>
      <c r="C28" s="189" t="s">
        <v>5</v>
      </c>
      <c r="D28" s="189">
        <v>6.3</v>
      </c>
      <c r="E28" s="189"/>
      <c r="F28" s="189"/>
      <c r="G28" s="190"/>
      <c r="H28" s="190"/>
      <c r="I28" s="187"/>
      <c r="J28" s="187"/>
      <c r="K28" s="187"/>
      <c r="L28" s="189" t="s">
        <v>39</v>
      </c>
      <c r="M28" s="189" t="s">
        <v>5</v>
      </c>
      <c r="N28" s="189">
        <v>1.8700000000000001E-2</v>
      </c>
      <c r="O28" s="189">
        <v>5.16E-2</v>
      </c>
      <c r="P28" s="192">
        <v>0.01</v>
      </c>
      <c r="Q28" s="187"/>
      <c r="R28" s="187"/>
      <c r="S28" s="187"/>
      <c r="T28" s="187"/>
      <c r="U28" s="187"/>
      <c r="V28" s="187"/>
      <c r="W28" s="187"/>
    </row>
    <row r="29" spans="1:23">
      <c r="A29" s="187">
        <v>27</v>
      </c>
      <c r="B29" s="189" t="s">
        <v>720</v>
      </c>
      <c r="C29" s="189" t="s">
        <v>4</v>
      </c>
      <c r="D29" s="189">
        <v>10</v>
      </c>
      <c r="E29" s="189">
        <v>0.126</v>
      </c>
      <c r="F29" s="189">
        <v>3.6900000000000002E-2</v>
      </c>
      <c r="G29" s="189"/>
      <c r="H29" s="189"/>
      <c r="I29" s="187"/>
      <c r="J29" s="187"/>
      <c r="K29" s="187"/>
      <c r="L29" s="192" t="s">
        <v>163</v>
      </c>
      <c r="M29" s="192" t="s">
        <v>5</v>
      </c>
      <c r="N29" s="192">
        <v>3.94</v>
      </c>
      <c r="O29" s="192">
        <v>4.16</v>
      </c>
      <c r="P29" s="187"/>
      <c r="Q29" s="187"/>
      <c r="R29" s="187"/>
      <c r="S29" s="187"/>
      <c r="T29" s="187"/>
      <c r="U29" s="187"/>
      <c r="V29" s="187"/>
      <c r="W29" s="187"/>
    </row>
    <row r="30" spans="1:23">
      <c r="A30" s="187">
        <v>28</v>
      </c>
      <c r="B30" s="189" t="s">
        <v>720</v>
      </c>
      <c r="C30" s="189" t="s">
        <v>5</v>
      </c>
      <c r="D30" s="189">
        <v>1.45</v>
      </c>
      <c r="E30" s="189">
        <v>1.31</v>
      </c>
      <c r="F30" s="189">
        <v>0.41099999999999998</v>
      </c>
      <c r="G30" s="189"/>
      <c r="H30" s="189"/>
      <c r="I30" s="187"/>
      <c r="J30" s="187"/>
      <c r="K30" s="187"/>
      <c r="L30" s="189" t="s">
        <v>164</v>
      </c>
      <c r="M30" s="189" t="s">
        <v>5</v>
      </c>
      <c r="N30" s="189">
        <v>2.92</v>
      </c>
      <c r="O30" s="189">
        <v>2.46</v>
      </c>
      <c r="P30" s="187"/>
      <c r="Q30" s="187"/>
      <c r="R30" s="187"/>
      <c r="S30" s="187"/>
      <c r="T30" s="187"/>
      <c r="U30" s="187"/>
      <c r="V30" s="187"/>
      <c r="W30" s="187"/>
    </row>
    <row r="31" spans="1:23">
      <c r="A31" s="187">
        <v>29</v>
      </c>
      <c r="B31" s="192" t="s">
        <v>9</v>
      </c>
      <c r="C31" s="192" t="s">
        <v>4</v>
      </c>
      <c r="D31" s="192">
        <v>20</v>
      </c>
      <c r="E31" s="189"/>
      <c r="F31" s="190"/>
      <c r="G31" s="190"/>
      <c r="H31" s="190"/>
      <c r="I31" s="187"/>
      <c r="J31" s="187"/>
      <c r="K31" s="187"/>
      <c r="L31" s="189" t="s">
        <v>718</v>
      </c>
      <c r="M31" s="189" t="s">
        <v>5</v>
      </c>
      <c r="N31" s="189">
        <v>6.3</v>
      </c>
      <c r="O31" s="189"/>
      <c r="P31" s="187"/>
      <c r="Q31" s="187"/>
      <c r="R31" s="187"/>
      <c r="S31" s="187"/>
      <c r="T31" s="187"/>
      <c r="U31" s="187"/>
      <c r="V31" s="187"/>
      <c r="W31" s="187"/>
    </row>
    <row r="32" spans="1:23">
      <c r="A32" s="187">
        <v>30</v>
      </c>
      <c r="B32" s="189" t="s">
        <v>9</v>
      </c>
      <c r="C32" s="189" t="s">
        <v>5</v>
      </c>
      <c r="D32" s="189">
        <v>0.224</v>
      </c>
      <c r="E32" s="189">
        <v>0.124</v>
      </c>
      <c r="F32" s="189">
        <v>9.1300000000000006E-2</v>
      </c>
      <c r="G32" s="190"/>
      <c r="H32" s="190"/>
      <c r="I32" s="187"/>
      <c r="J32" s="187"/>
      <c r="K32" s="187"/>
      <c r="L32" s="189" t="s">
        <v>720</v>
      </c>
      <c r="M32" s="189" t="s">
        <v>5</v>
      </c>
      <c r="N32" s="189">
        <v>1.45</v>
      </c>
      <c r="O32" s="189">
        <v>1.31</v>
      </c>
      <c r="P32" s="189">
        <v>0.41099999999999998</v>
      </c>
      <c r="Q32" s="187"/>
      <c r="R32" s="187"/>
      <c r="S32" s="187"/>
      <c r="T32" s="187"/>
      <c r="U32" s="187"/>
      <c r="V32" s="187"/>
      <c r="W32" s="187"/>
    </row>
    <row r="33" spans="1:23">
      <c r="A33" s="187">
        <v>31</v>
      </c>
      <c r="B33" s="192" t="s">
        <v>709</v>
      </c>
      <c r="C33" s="192" t="s">
        <v>4</v>
      </c>
      <c r="D33" s="192">
        <v>140</v>
      </c>
      <c r="E33" s="190"/>
      <c r="F33" s="190"/>
      <c r="G33" s="190"/>
      <c r="H33" s="190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</row>
    <row r="34" spans="1:23">
      <c r="A34" s="187">
        <v>32</v>
      </c>
      <c r="B34" s="189" t="s">
        <v>709</v>
      </c>
      <c r="C34" s="189" t="s">
        <v>5</v>
      </c>
      <c r="D34" s="189">
        <v>1.03</v>
      </c>
      <c r="E34" s="190"/>
      <c r="F34" s="190"/>
      <c r="G34" s="190"/>
      <c r="H34" s="190"/>
      <c r="I34" s="187"/>
      <c r="J34" s="187"/>
      <c r="K34" s="187"/>
      <c r="L34" s="192" t="s">
        <v>160</v>
      </c>
      <c r="M34" s="192" t="s">
        <v>5</v>
      </c>
      <c r="N34" s="192">
        <v>100</v>
      </c>
      <c r="O34" s="192">
        <v>14</v>
      </c>
      <c r="P34" s="187"/>
      <c r="Q34" s="187"/>
      <c r="R34" s="187"/>
      <c r="S34" s="187"/>
      <c r="T34" s="187"/>
      <c r="U34" s="187"/>
      <c r="V34" s="187"/>
      <c r="W34" s="187"/>
    </row>
    <row r="35" spans="1:23">
      <c r="A35" s="187">
        <v>33</v>
      </c>
      <c r="B35" s="189" t="s">
        <v>721</v>
      </c>
      <c r="C35" s="189" t="s">
        <v>4</v>
      </c>
      <c r="D35" s="189">
        <v>7.9399999999999998E-2</v>
      </c>
      <c r="E35" s="189">
        <v>7.1400000000000005E-2</v>
      </c>
      <c r="F35" s="189">
        <v>6.7500000000000004E-2</v>
      </c>
      <c r="G35" s="189">
        <v>7.9399999999999998E-2</v>
      </c>
      <c r="H35" s="189"/>
      <c r="I35" s="187"/>
      <c r="J35" s="187"/>
      <c r="K35" s="187"/>
      <c r="L35" s="192" t="s">
        <v>11</v>
      </c>
      <c r="M35" s="192" t="s">
        <v>5</v>
      </c>
      <c r="N35" s="192">
        <v>20</v>
      </c>
      <c r="O35" s="187"/>
      <c r="P35" s="187"/>
      <c r="Q35" s="187"/>
      <c r="R35" s="187"/>
      <c r="S35" s="187"/>
      <c r="T35" s="187"/>
      <c r="U35" s="187"/>
      <c r="V35" s="187"/>
      <c r="W35" s="187"/>
    </row>
    <row r="36" spans="1:23">
      <c r="A36" s="187">
        <v>34</v>
      </c>
      <c r="B36" s="189" t="s">
        <v>721</v>
      </c>
      <c r="C36" s="189" t="s">
        <v>5</v>
      </c>
      <c r="D36" s="189">
        <v>0.26600000000000001</v>
      </c>
      <c r="E36" s="189">
        <v>0.30399999999999999</v>
      </c>
      <c r="F36" s="189"/>
      <c r="G36" s="189"/>
      <c r="H36" s="189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</row>
    <row r="37" spans="1:23">
      <c r="A37" s="187">
        <v>35</v>
      </c>
      <c r="B37" s="189" t="s">
        <v>722</v>
      </c>
      <c r="C37" s="189" t="s">
        <v>4</v>
      </c>
      <c r="D37" s="189">
        <v>4.13</v>
      </c>
      <c r="E37" s="189"/>
      <c r="F37" s="189"/>
      <c r="G37" s="189"/>
      <c r="H37" s="189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</row>
    <row r="38" spans="1:23">
      <c r="A38" s="187">
        <v>36</v>
      </c>
      <c r="B38" s="189" t="s">
        <v>722</v>
      </c>
      <c r="C38" s="189" t="s">
        <v>5</v>
      </c>
      <c r="D38" s="189"/>
      <c r="E38" s="189"/>
      <c r="F38" s="189"/>
      <c r="G38" s="189"/>
      <c r="H38" s="189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</row>
    <row r="39" spans="1:23">
      <c r="A39" s="187">
        <v>37</v>
      </c>
      <c r="B39" s="192" t="s">
        <v>723</v>
      </c>
      <c r="C39" s="192" t="s">
        <v>4</v>
      </c>
      <c r="D39" s="192">
        <v>10</v>
      </c>
      <c r="E39" s="189"/>
      <c r="F39" s="189"/>
      <c r="G39" s="189"/>
      <c r="H39" s="189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</row>
    <row r="40" spans="1:23">
      <c r="A40" s="187">
        <v>38</v>
      </c>
      <c r="B40" s="189" t="s">
        <v>723</v>
      </c>
      <c r="C40" s="189" t="s">
        <v>5</v>
      </c>
      <c r="D40" s="189">
        <v>1.07</v>
      </c>
      <c r="E40" s="189"/>
      <c r="F40" s="189"/>
      <c r="G40" s="190"/>
      <c r="H40" s="190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</row>
    <row r="41" spans="1:23">
      <c r="A41" s="187">
        <v>39</v>
      </c>
      <c r="B41" s="189" t="s">
        <v>724</v>
      </c>
      <c r="C41" s="189" t="s">
        <v>4</v>
      </c>
      <c r="D41" s="189">
        <v>0.245</v>
      </c>
      <c r="E41" s="189"/>
      <c r="F41" s="189"/>
      <c r="G41" s="190"/>
      <c r="H41" s="190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</row>
    <row r="42" spans="1:23" ht="15.75" thickBot="1">
      <c r="A42" s="187">
        <v>40</v>
      </c>
      <c r="B42" s="200" t="s">
        <v>724</v>
      </c>
      <c r="C42" s="200" t="s">
        <v>5</v>
      </c>
      <c r="D42" s="200"/>
      <c r="E42" s="196"/>
      <c r="F42" s="196"/>
      <c r="G42" s="201"/>
      <c r="H42" s="202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</row>
    <row r="43" spans="1:23">
      <c r="A43" s="187">
        <v>41</v>
      </c>
      <c r="B43" s="203">
        <v>2</v>
      </c>
      <c r="C43" s="203" t="s">
        <v>4</v>
      </c>
      <c r="D43" s="203">
        <v>20</v>
      </c>
      <c r="E43" s="203"/>
      <c r="F43" s="203"/>
      <c r="G43" s="203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</row>
    <row r="44" spans="1:23">
      <c r="A44" s="187">
        <v>42</v>
      </c>
      <c r="B44" s="203">
        <v>2</v>
      </c>
      <c r="C44" s="203" t="s">
        <v>5</v>
      </c>
      <c r="D44" s="203">
        <v>2.41</v>
      </c>
      <c r="E44" s="203"/>
      <c r="F44" s="203"/>
      <c r="G44" s="203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</row>
    <row r="45" spans="1:23">
      <c r="A45" s="187">
        <v>43</v>
      </c>
      <c r="B45" s="203">
        <v>13</v>
      </c>
      <c r="C45" s="203" t="s">
        <v>4</v>
      </c>
      <c r="D45" s="203">
        <v>1.18</v>
      </c>
      <c r="E45" s="203">
        <v>0.88400000000000001</v>
      </c>
      <c r="F45" s="203">
        <v>1.1299999999999999</v>
      </c>
      <c r="G45" s="203">
        <v>1.1399999999999999</v>
      </c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</row>
    <row r="46" spans="1:23">
      <c r="A46" s="187">
        <v>44</v>
      </c>
      <c r="B46" s="203">
        <v>13</v>
      </c>
      <c r="C46" s="203" t="s">
        <v>5</v>
      </c>
      <c r="D46" s="203">
        <v>2.86</v>
      </c>
      <c r="E46" s="203">
        <v>0.159</v>
      </c>
      <c r="F46" s="203">
        <v>0.14000000000000001</v>
      </c>
      <c r="G46" s="203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</row>
    <row r="47" spans="1:23">
      <c r="A47" s="187">
        <v>45</v>
      </c>
      <c r="B47" s="203" t="s">
        <v>725</v>
      </c>
      <c r="C47" s="203" t="s">
        <v>4</v>
      </c>
      <c r="D47" s="203">
        <v>40</v>
      </c>
      <c r="E47" s="203"/>
      <c r="F47" s="203"/>
      <c r="G47" s="203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</row>
    <row r="48" spans="1:23">
      <c r="A48" s="187">
        <v>46</v>
      </c>
      <c r="B48" s="203" t="s">
        <v>31</v>
      </c>
      <c r="C48" s="203" t="s">
        <v>4</v>
      </c>
      <c r="D48" s="203">
        <v>30</v>
      </c>
      <c r="E48" s="203"/>
      <c r="F48" s="203"/>
      <c r="G48" s="203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</row>
    <row r="49" spans="1:23">
      <c r="A49" s="187">
        <v>47</v>
      </c>
      <c r="B49" s="203">
        <v>1</v>
      </c>
      <c r="C49" s="203" t="s">
        <v>4</v>
      </c>
      <c r="D49" s="203">
        <v>20</v>
      </c>
      <c r="E49" s="203"/>
      <c r="F49" s="203"/>
      <c r="G49" s="203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</row>
    <row r="50" spans="1:23">
      <c r="A50" s="187">
        <v>48</v>
      </c>
      <c r="B50" s="203">
        <v>1</v>
      </c>
      <c r="C50" s="203" t="s">
        <v>5</v>
      </c>
      <c r="D50" s="203">
        <v>0.66700000000000004</v>
      </c>
      <c r="E50" s="203">
        <v>0.54600000000000004</v>
      </c>
      <c r="F50" s="203"/>
      <c r="G50" s="203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</row>
    <row r="51" spans="1:23">
      <c r="A51" s="187">
        <v>49</v>
      </c>
      <c r="B51" s="203">
        <v>5</v>
      </c>
      <c r="C51" s="203" t="s">
        <v>4</v>
      </c>
      <c r="D51" s="203">
        <v>10</v>
      </c>
      <c r="E51" s="203"/>
      <c r="F51" s="203"/>
      <c r="G51" s="203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</row>
    <row r="52" spans="1:23">
      <c r="A52" s="187">
        <v>50</v>
      </c>
      <c r="B52" s="203">
        <v>6</v>
      </c>
      <c r="C52" s="203" t="s">
        <v>726</v>
      </c>
      <c r="D52" s="203">
        <v>3.15</v>
      </c>
      <c r="E52" s="203">
        <v>4.66</v>
      </c>
      <c r="F52" s="203"/>
      <c r="G52" s="203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</row>
    <row r="53" spans="1:23">
      <c r="A53" s="187">
        <v>51</v>
      </c>
      <c r="B53" s="203">
        <v>12</v>
      </c>
      <c r="C53" s="203" t="s">
        <v>4</v>
      </c>
      <c r="D53" s="203">
        <v>30</v>
      </c>
      <c r="E53" s="203">
        <v>8.93</v>
      </c>
      <c r="F53" s="203"/>
      <c r="G53" s="203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</row>
    <row r="54" spans="1:23">
      <c r="A54" s="187">
        <v>52</v>
      </c>
      <c r="B54" s="203">
        <v>12</v>
      </c>
      <c r="C54" s="203" t="s">
        <v>5</v>
      </c>
      <c r="D54" s="203">
        <v>230</v>
      </c>
      <c r="E54" s="203">
        <v>180</v>
      </c>
      <c r="F54" s="203"/>
      <c r="G54" s="203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</row>
    <row r="55" spans="1:23">
      <c r="A55" s="187">
        <v>53</v>
      </c>
      <c r="B55" s="203">
        <v>4</v>
      </c>
      <c r="C55" s="203" t="s">
        <v>4</v>
      </c>
      <c r="D55" s="203">
        <v>5.97</v>
      </c>
      <c r="E55" s="203"/>
      <c r="F55" s="203"/>
      <c r="G55" s="203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</row>
  </sheetData>
  <mergeCells count="14">
    <mergeCell ref="T15:T17"/>
    <mergeCell ref="T18:T20"/>
    <mergeCell ref="N1:R1"/>
    <mergeCell ref="D2:H2"/>
    <mergeCell ref="N2:R2"/>
    <mergeCell ref="T3:T5"/>
    <mergeCell ref="B9:B10"/>
    <mergeCell ref="T9:T11"/>
    <mergeCell ref="L11:L12"/>
    <mergeCell ref="B1:B2"/>
    <mergeCell ref="C1:C2"/>
    <mergeCell ref="D1:H1"/>
    <mergeCell ref="L1:L2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7673-24FE-490E-ABB5-9F65A907B476}">
  <dimension ref="A1:L167"/>
  <sheetViews>
    <sheetView workbookViewId="0">
      <selection activeCell="N28" sqref="N28"/>
    </sheetView>
  </sheetViews>
  <sheetFormatPr defaultColWidth="8.85546875" defaultRowHeight="15"/>
  <cols>
    <col min="1" max="1" width="9.140625" style="112"/>
    <col min="2" max="2" width="13.28515625" style="112" customWidth="1"/>
    <col min="3" max="5" width="9" style="112"/>
    <col min="6" max="6" width="13.7109375" style="112"/>
    <col min="7" max="7" width="16.28515625" style="112" bestFit="1" customWidth="1"/>
    <col min="8" max="8" width="5.42578125" style="112" customWidth="1"/>
    <col min="9" max="9" width="12.42578125" style="113"/>
    <col min="10" max="10" width="9" style="112"/>
    <col min="11" max="11" width="13.7109375" style="112" customWidth="1"/>
    <col min="12" max="12" width="9.140625" style="112"/>
  </cols>
  <sheetData>
    <row r="1" spans="1:12">
      <c r="I1" s="141" t="s">
        <v>507</v>
      </c>
    </row>
    <row r="2" spans="1:12">
      <c r="B2" s="635" t="s">
        <v>1036</v>
      </c>
      <c r="C2" s="635" t="s">
        <v>1035</v>
      </c>
      <c r="D2" s="635" t="s">
        <v>1038</v>
      </c>
      <c r="E2" s="635" t="s">
        <v>1037</v>
      </c>
      <c r="F2" s="635" t="s">
        <v>1034</v>
      </c>
      <c r="G2" s="140" t="s">
        <v>508</v>
      </c>
      <c r="I2" s="636" t="s">
        <v>1039</v>
      </c>
      <c r="K2" s="635" t="s">
        <v>124</v>
      </c>
      <c r="L2" s="635" t="s">
        <v>563</v>
      </c>
    </row>
    <row r="4" spans="1:12">
      <c r="A4" s="112">
        <v>1</v>
      </c>
      <c r="B4" s="134" t="s">
        <v>355</v>
      </c>
      <c r="C4" s="112">
        <v>1.38</v>
      </c>
      <c r="D4" s="112">
        <v>5.07</v>
      </c>
      <c r="E4" s="112">
        <v>4.37</v>
      </c>
      <c r="F4" s="112">
        <v>0.23411371237458198</v>
      </c>
      <c r="G4" s="139">
        <v>0.23411371237458198</v>
      </c>
      <c r="I4" s="142">
        <v>2.46822742474916</v>
      </c>
      <c r="K4" s="112" t="s">
        <v>505</v>
      </c>
      <c r="L4" s="112" t="s">
        <v>506</v>
      </c>
    </row>
    <row r="5" spans="1:12">
      <c r="A5" s="112">
        <v>2</v>
      </c>
      <c r="B5" s="134" t="s">
        <v>356</v>
      </c>
      <c r="C5" s="112">
        <v>1.29</v>
      </c>
      <c r="D5" s="112">
        <v>5.42</v>
      </c>
      <c r="E5" s="112">
        <v>4.62</v>
      </c>
      <c r="F5" s="112">
        <v>0.24024024024024018</v>
      </c>
      <c r="G5" s="139">
        <v>0.24024024024024018</v>
      </c>
      <c r="I5" s="142">
        <v>2.4804804804804799</v>
      </c>
      <c r="K5" s="112" t="s">
        <v>505</v>
      </c>
      <c r="L5" s="112" t="s">
        <v>506</v>
      </c>
    </row>
    <row r="6" spans="1:12">
      <c r="A6" s="112">
        <v>3</v>
      </c>
      <c r="B6" s="134" t="s">
        <v>357</v>
      </c>
      <c r="C6" s="112">
        <v>1.45</v>
      </c>
      <c r="D6" s="137">
        <v>8.5</v>
      </c>
      <c r="E6" s="112">
        <v>6.94</v>
      </c>
      <c r="F6" s="112">
        <v>0.2841530054644808</v>
      </c>
      <c r="G6" s="139">
        <v>0.2841530054644808</v>
      </c>
      <c r="I6" s="142">
        <v>2.5683060109289602</v>
      </c>
      <c r="K6" s="112" t="s">
        <v>505</v>
      </c>
      <c r="L6" s="112" t="s">
        <v>506</v>
      </c>
    </row>
    <row r="7" spans="1:12">
      <c r="A7" s="112">
        <v>4</v>
      </c>
      <c r="B7" s="134" t="s">
        <v>358</v>
      </c>
      <c r="C7" s="112">
        <v>1.43</v>
      </c>
      <c r="D7" s="137">
        <v>5.4</v>
      </c>
      <c r="E7" s="112">
        <v>4.47</v>
      </c>
      <c r="F7" s="112">
        <v>0.30592105263157915</v>
      </c>
      <c r="G7" s="139">
        <v>0.30592105263157915</v>
      </c>
      <c r="I7" s="142">
        <v>2.6118421052631602</v>
      </c>
      <c r="K7" s="112" t="s">
        <v>505</v>
      </c>
      <c r="L7" s="112" t="s">
        <v>506</v>
      </c>
    </row>
    <row r="8" spans="1:12">
      <c r="A8" s="112">
        <v>5</v>
      </c>
      <c r="B8" s="134" t="s">
        <v>359</v>
      </c>
      <c r="C8" s="112">
        <v>1.28</v>
      </c>
      <c r="D8" s="137">
        <v>6.4</v>
      </c>
      <c r="E8" s="112">
        <v>5.39</v>
      </c>
      <c r="F8" s="112">
        <v>0.24574209245742112</v>
      </c>
      <c r="G8" s="139">
        <v>0.24574209245742112</v>
      </c>
      <c r="I8" s="142">
        <v>2.4914841849148401</v>
      </c>
      <c r="K8" s="112" t="s">
        <v>505</v>
      </c>
      <c r="L8" s="112" t="s">
        <v>506</v>
      </c>
    </row>
    <row r="9" spans="1:12">
      <c r="A9" s="112">
        <v>6</v>
      </c>
      <c r="B9" s="135" t="s">
        <v>360</v>
      </c>
      <c r="C9" s="112">
        <v>2.2200000000000002</v>
      </c>
      <c r="D9" s="112">
        <v>9.74</v>
      </c>
      <c r="E9" s="112">
        <v>8.1300000000000008</v>
      </c>
      <c r="F9" s="112">
        <v>0.2724196277495769</v>
      </c>
      <c r="G9" s="139">
        <v>0.2724196277495769</v>
      </c>
      <c r="I9" s="142">
        <v>2.5448392554991499</v>
      </c>
      <c r="K9" s="112" t="s">
        <v>505</v>
      </c>
      <c r="L9" s="112" t="s">
        <v>506</v>
      </c>
    </row>
    <row r="10" spans="1:12">
      <c r="A10" s="112">
        <v>7</v>
      </c>
      <c r="B10" s="135" t="s">
        <v>361</v>
      </c>
      <c r="C10" s="112">
        <v>2.25</v>
      </c>
      <c r="D10" s="112">
        <v>8.5</v>
      </c>
      <c r="E10" s="112">
        <v>7.18</v>
      </c>
      <c r="F10" s="112">
        <v>0.26774847870182561</v>
      </c>
      <c r="G10" s="139">
        <v>0.26774847870182561</v>
      </c>
      <c r="I10" s="142">
        <v>2.5354969574036499</v>
      </c>
      <c r="K10" s="112" t="s">
        <v>505</v>
      </c>
      <c r="L10" s="112" t="s">
        <v>506</v>
      </c>
    </row>
    <row r="11" spans="1:12">
      <c r="A11" s="112">
        <v>8</v>
      </c>
      <c r="B11" s="135" t="s">
        <v>362</v>
      </c>
      <c r="C11" s="112">
        <v>2.2200000000000002</v>
      </c>
      <c r="D11" s="112">
        <v>7.4</v>
      </c>
      <c r="E11" s="112">
        <v>6.28</v>
      </c>
      <c r="F11" s="112">
        <v>0.27586206896551724</v>
      </c>
      <c r="G11" s="139">
        <v>0.27586206896551724</v>
      </c>
      <c r="I11" s="142">
        <v>2.5517241379310298</v>
      </c>
      <c r="K11" s="112" t="s">
        <v>505</v>
      </c>
      <c r="L11" s="112" t="s">
        <v>506</v>
      </c>
    </row>
    <row r="12" spans="1:12">
      <c r="A12" s="112">
        <v>9</v>
      </c>
      <c r="B12" s="135" t="s">
        <v>363</v>
      </c>
      <c r="C12" s="112">
        <v>2.2599999999999998</v>
      </c>
      <c r="D12" s="112">
        <v>8.11</v>
      </c>
      <c r="E12" s="112">
        <v>6.88</v>
      </c>
      <c r="F12" s="112">
        <v>0.2662337662337661</v>
      </c>
      <c r="G12" s="139">
        <v>0.2662337662337661</v>
      </c>
      <c r="I12" s="142">
        <v>2.5324675324675301</v>
      </c>
      <c r="K12" s="112" t="s">
        <v>505</v>
      </c>
      <c r="L12" s="112" t="s">
        <v>506</v>
      </c>
    </row>
    <row r="13" spans="1:12">
      <c r="A13" s="112">
        <v>10</v>
      </c>
      <c r="B13" s="135" t="s">
        <v>364</v>
      </c>
      <c r="C13" s="137">
        <v>2.2000000000000002</v>
      </c>
      <c r="D13" s="112">
        <v>6.96</v>
      </c>
      <c r="E13" s="112">
        <v>5.98</v>
      </c>
      <c r="F13" s="112">
        <v>0.25925925925925913</v>
      </c>
      <c r="G13" s="139">
        <v>0.25925925925925913</v>
      </c>
      <c r="I13" s="142">
        <v>2.5185185185185199</v>
      </c>
      <c r="K13" s="112" t="s">
        <v>505</v>
      </c>
      <c r="L13" s="112" t="s">
        <v>506</v>
      </c>
    </row>
    <row r="14" spans="1:12">
      <c r="A14" s="112">
        <v>11</v>
      </c>
      <c r="B14" s="135" t="s">
        <v>365</v>
      </c>
      <c r="C14" s="112">
        <v>2.25</v>
      </c>
      <c r="D14" s="112">
        <v>6.77</v>
      </c>
      <c r="E14" s="112">
        <v>5.69</v>
      </c>
      <c r="F14" s="112">
        <v>0.31395348837209275</v>
      </c>
      <c r="G14" s="139">
        <v>0.31395348837209275</v>
      </c>
      <c r="I14" s="142">
        <v>2.6279069767441898</v>
      </c>
      <c r="K14" s="112" t="s">
        <v>505</v>
      </c>
      <c r="L14" s="112" t="s">
        <v>506</v>
      </c>
    </row>
    <row r="15" spans="1:12">
      <c r="A15" s="112">
        <v>12</v>
      </c>
      <c r="B15" s="135" t="s">
        <v>366</v>
      </c>
      <c r="C15" s="112">
        <v>2.25</v>
      </c>
      <c r="D15" s="112">
        <v>9.1300000000000008</v>
      </c>
      <c r="E15" s="112">
        <v>7.69</v>
      </c>
      <c r="F15" s="112">
        <v>0.26470588235294124</v>
      </c>
      <c r="G15" s="139">
        <v>0.26470588235294124</v>
      </c>
      <c r="I15" s="142">
        <v>2.52941176470588</v>
      </c>
      <c r="K15" s="112" t="s">
        <v>505</v>
      </c>
      <c r="L15" s="112" t="s">
        <v>506</v>
      </c>
    </row>
    <row r="16" spans="1:12">
      <c r="A16" s="112">
        <v>13</v>
      </c>
      <c r="B16" s="135" t="s">
        <v>367</v>
      </c>
      <c r="C16" s="112">
        <v>2.27</v>
      </c>
      <c r="D16" s="112">
        <v>8.9499999999999993</v>
      </c>
      <c r="E16" s="112">
        <v>7.49</v>
      </c>
      <c r="F16" s="112">
        <v>0.27969348659003812</v>
      </c>
      <c r="G16" s="139">
        <v>0.27969348659003812</v>
      </c>
      <c r="I16" s="142">
        <v>2.55938697318008</v>
      </c>
      <c r="K16" s="112" t="s">
        <v>505</v>
      </c>
      <c r="L16" s="112" t="s">
        <v>506</v>
      </c>
    </row>
    <row r="17" spans="1:12">
      <c r="A17" s="112">
        <v>14</v>
      </c>
      <c r="B17" s="135" t="s">
        <v>368</v>
      </c>
      <c r="C17" s="112">
        <v>2.2799999999999998</v>
      </c>
      <c r="D17" s="112">
        <v>6.94</v>
      </c>
      <c r="E17" s="112">
        <v>5.97</v>
      </c>
      <c r="F17" s="112">
        <v>0.26287262872628742</v>
      </c>
      <c r="G17" s="139">
        <v>0.26287262872628742</v>
      </c>
      <c r="I17" s="142">
        <v>2.5257452574525701</v>
      </c>
      <c r="K17" s="112" t="s">
        <v>505</v>
      </c>
      <c r="L17" s="112" t="s">
        <v>506</v>
      </c>
    </row>
    <row r="18" spans="1:12">
      <c r="A18" s="112">
        <v>15</v>
      </c>
      <c r="B18" s="135" t="s">
        <v>369</v>
      </c>
      <c r="C18" s="112">
        <v>2.27</v>
      </c>
      <c r="D18" s="112">
        <v>6.72</v>
      </c>
      <c r="E18" s="112">
        <v>5.61</v>
      </c>
      <c r="F18" s="112">
        <v>0.33233532934131715</v>
      </c>
      <c r="G18" s="139">
        <v>0.33233532934131715</v>
      </c>
      <c r="I18" s="142">
        <v>2.6646706586826299</v>
      </c>
      <c r="K18" s="112" t="s">
        <v>505</v>
      </c>
      <c r="L18" s="112" t="s">
        <v>506</v>
      </c>
    </row>
    <row r="19" spans="1:12">
      <c r="A19" s="112">
        <v>16</v>
      </c>
      <c r="B19" s="135" t="s">
        <v>370</v>
      </c>
      <c r="C19" s="112">
        <v>2.31</v>
      </c>
      <c r="D19" s="112">
        <v>7.72</v>
      </c>
      <c r="E19" s="112">
        <v>6.51</v>
      </c>
      <c r="F19" s="112">
        <v>0.28809523809523813</v>
      </c>
      <c r="G19" s="139">
        <v>0.28809523809523813</v>
      </c>
      <c r="I19" s="142">
        <v>2.5761904761904799</v>
      </c>
      <c r="K19" s="112" t="s">
        <v>505</v>
      </c>
      <c r="L19" s="112" t="s">
        <v>506</v>
      </c>
    </row>
    <row r="20" spans="1:12">
      <c r="A20" s="112">
        <v>17</v>
      </c>
      <c r="B20" s="135" t="s">
        <v>371</v>
      </c>
      <c r="C20" s="112">
        <v>2.2799999999999998</v>
      </c>
      <c r="D20" s="112">
        <v>5.35</v>
      </c>
      <c r="E20" s="112">
        <v>4.7300000000000004</v>
      </c>
      <c r="F20" s="112">
        <v>0.25306122448979551</v>
      </c>
      <c r="G20" s="139">
        <v>0.25306122448979551</v>
      </c>
      <c r="I20" s="142">
        <v>2.5061224489795899</v>
      </c>
      <c r="K20" s="112" t="s">
        <v>505</v>
      </c>
      <c r="L20" s="112" t="s">
        <v>506</v>
      </c>
    </row>
    <row r="21" spans="1:12">
      <c r="A21" s="112">
        <v>18</v>
      </c>
      <c r="B21" s="135" t="s">
        <v>372</v>
      </c>
      <c r="C21" s="112">
        <v>2.27</v>
      </c>
      <c r="D21" s="112">
        <v>5.34</v>
      </c>
      <c r="E21" s="112">
        <v>4.6500000000000004</v>
      </c>
      <c r="F21" s="112">
        <v>0.28991596638655437</v>
      </c>
      <c r="G21" s="139">
        <v>0.28991596638655437</v>
      </c>
      <c r="I21" s="142">
        <v>2.5798319327731098</v>
      </c>
      <c r="K21" s="112" t="s">
        <v>505</v>
      </c>
      <c r="L21" s="112" t="s">
        <v>506</v>
      </c>
    </row>
    <row r="22" spans="1:12">
      <c r="A22" s="112">
        <v>19</v>
      </c>
      <c r="B22" s="135" t="s">
        <v>373</v>
      </c>
      <c r="C22" s="112">
        <v>2.29</v>
      </c>
      <c r="D22" s="112">
        <v>6.87</v>
      </c>
      <c r="E22" s="112">
        <v>5.86</v>
      </c>
      <c r="F22" s="112">
        <v>0.28291316526610638</v>
      </c>
      <c r="G22" s="139">
        <v>0.28291316526610638</v>
      </c>
      <c r="I22" s="142">
        <v>2.56582633053221</v>
      </c>
      <c r="K22" s="112" t="s">
        <v>505</v>
      </c>
      <c r="L22" s="112" t="s">
        <v>506</v>
      </c>
    </row>
    <row r="23" spans="1:12">
      <c r="A23" s="112">
        <v>20</v>
      </c>
      <c r="B23" s="135" t="s">
        <v>374</v>
      </c>
      <c r="C23" s="112">
        <v>2.31</v>
      </c>
      <c r="D23" s="112">
        <v>7.7</v>
      </c>
      <c r="E23" s="112">
        <v>6.58</v>
      </c>
      <c r="F23" s="112">
        <v>0.26229508196721318</v>
      </c>
      <c r="G23" s="139">
        <v>0.26229508196721318</v>
      </c>
      <c r="I23" s="142">
        <v>2.5245901639344299</v>
      </c>
      <c r="K23" s="112" t="s">
        <v>505</v>
      </c>
      <c r="L23" s="112" t="s">
        <v>506</v>
      </c>
    </row>
    <row r="24" spans="1:12">
      <c r="A24" s="112">
        <v>21</v>
      </c>
      <c r="B24" s="135" t="s">
        <v>375</v>
      </c>
      <c r="C24" s="112">
        <v>2.19</v>
      </c>
      <c r="D24" s="112">
        <v>5.81</v>
      </c>
      <c r="E24" s="137">
        <v>5.0999999999999996</v>
      </c>
      <c r="F24" s="112">
        <v>0.24398625429553267</v>
      </c>
      <c r="G24" s="139">
        <v>0.24398625429553267</v>
      </c>
      <c r="I24" s="142">
        <v>2.4879725085910702</v>
      </c>
      <c r="K24" s="112" t="s">
        <v>505</v>
      </c>
      <c r="L24" s="112" t="s">
        <v>506</v>
      </c>
    </row>
    <row r="25" spans="1:12">
      <c r="A25" s="112">
        <v>22</v>
      </c>
      <c r="B25" s="135" t="s">
        <v>376</v>
      </c>
      <c r="C25" s="112">
        <v>2.2799999999999998</v>
      </c>
      <c r="D25" s="112">
        <v>7.07</v>
      </c>
      <c r="E25" s="137">
        <v>5.9</v>
      </c>
      <c r="F25" s="112">
        <v>0.32320441988950271</v>
      </c>
      <c r="G25" s="139">
        <v>0.32320441988950271</v>
      </c>
      <c r="I25" s="142">
        <v>2.64640883977901</v>
      </c>
      <c r="K25" s="112" t="s">
        <v>505</v>
      </c>
      <c r="L25" s="112" t="s">
        <v>506</v>
      </c>
    </row>
    <row r="26" spans="1:12">
      <c r="A26" s="112">
        <v>23</v>
      </c>
      <c r="B26" s="135" t="s">
        <v>377</v>
      </c>
      <c r="C26" s="112">
        <v>2.23</v>
      </c>
      <c r="D26" s="112">
        <v>6.91</v>
      </c>
      <c r="E26" s="112">
        <v>5.86</v>
      </c>
      <c r="F26" s="112">
        <v>0.28925619834710736</v>
      </c>
      <c r="G26" s="139">
        <v>0.28925619834710736</v>
      </c>
      <c r="I26" s="142">
        <v>2.5785123966942098</v>
      </c>
      <c r="K26" s="112" t="s">
        <v>505</v>
      </c>
      <c r="L26" s="112" t="s">
        <v>506</v>
      </c>
    </row>
    <row r="27" spans="1:12">
      <c r="A27" s="112">
        <v>24</v>
      </c>
      <c r="B27" s="135" t="s">
        <v>378</v>
      </c>
      <c r="C27" s="112">
        <v>2.2599999999999998</v>
      </c>
      <c r="D27" s="112">
        <v>6.44</v>
      </c>
      <c r="E27" s="112">
        <v>5.51</v>
      </c>
      <c r="F27" s="112">
        <v>0.28615384615384631</v>
      </c>
      <c r="G27" s="139">
        <v>0.28615384615384631</v>
      </c>
      <c r="I27" s="142">
        <v>2.5723076923076902</v>
      </c>
      <c r="K27" s="112" t="s">
        <v>505</v>
      </c>
      <c r="L27" s="112" t="s">
        <v>506</v>
      </c>
    </row>
    <row r="28" spans="1:12">
      <c r="A28" s="112">
        <v>25</v>
      </c>
      <c r="B28" s="135" t="s">
        <v>379</v>
      </c>
      <c r="C28" s="137">
        <v>2.2999999999999998</v>
      </c>
      <c r="D28" s="112">
        <v>5.81</v>
      </c>
      <c r="E28" s="112">
        <v>5.07</v>
      </c>
      <c r="F28" s="112">
        <v>0.2671480144404329</v>
      </c>
      <c r="G28" s="139">
        <v>0.2671480144404329</v>
      </c>
      <c r="I28" s="142">
        <v>2.53429602888087</v>
      </c>
      <c r="K28" s="112" t="s">
        <v>505</v>
      </c>
      <c r="L28" s="112" t="s">
        <v>506</v>
      </c>
    </row>
    <row r="29" spans="1:12">
      <c r="A29" s="112">
        <v>26</v>
      </c>
      <c r="B29" s="135" t="s">
        <v>380</v>
      </c>
      <c r="C29" s="137">
        <v>2.2999999999999998</v>
      </c>
      <c r="D29" s="137">
        <v>7.8</v>
      </c>
      <c r="E29" s="112">
        <v>6.61</v>
      </c>
      <c r="F29" s="112">
        <v>0.27610208816705323</v>
      </c>
      <c r="G29" s="139">
        <v>0.27610208816705323</v>
      </c>
      <c r="I29" s="142">
        <v>2.5522041763341101</v>
      </c>
      <c r="K29" s="112" t="s">
        <v>505</v>
      </c>
      <c r="L29" s="112" t="s">
        <v>506</v>
      </c>
    </row>
    <row r="30" spans="1:12">
      <c r="A30" s="112">
        <v>27</v>
      </c>
      <c r="B30" s="135" t="s">
        <v>381</v>
      </c>
      <c r="C30" s="112">
        <v>2.31</v>
      </c>
      <c r="D30" s="112">
        <v>12.08</v>
      </c>
      <c r="E30" s="112">
        <v>9.4499999999999993</v>
      </c>
      <c r="F30" s="112">
        <v>0.36834733893557442</v>
      </c>
      <c r="G30" s="139">
        <v>0.36834733893557442</v>
      </c>
      <c r="I30" s="142">
        <v>2.7366946778711498</v>
      </c>
      <c r="K30" s="112" t="s">
        <v>505</v>
      </c>
      <c r="L30" s="112" t="s">
        <v>506</v>
      </c>
    </row>
    <row r="31" spans="1:12">
      <c r="A31" s="112">
        <v>28</v>
      </c>
      <c r="B31" s="135" t="s">
        <v>382</v>
      </c>
      <c r="C31" s="112">
        <v>2.2400000000000002</v>
      </c>
      <c r="D31" s="112">
        <v>6.68</v>
      </c>
      <c r="E31" s="112">
        <v>5.51</v>
      </c>
      <c r="F31" s="112">
        <v>0.3577981651376147</v>
      </c>
      <c r="G31" s="139">
        <v>0.3577981651376147</v>
      </c>
      <c r="I31" s="142">
        <v>2.71559633027523</v>
      </c>
      <c r="K31" s="112" t="s">
        <v>505</v>
      </c>
      <c r="L31" s="112" t="s">
        <v>506</v>
      </c>
    </row>
    <row r="32" spans="1:12">
      <c r="A32" s="112">
        <v>29</v>
      </c>
      <c r="B32" s="135" t="s">
        <v>383</v>
      </c>
      <c r="C32" s="112">
        <v>2.35</v>
      </c>
      <c r="D32" s="112">
        <v>10.96</v>
      </c>
      <c r="E32" s="112">
        <v>9.0399999999999991</v>
      </c>
      <c r="F32" s="112">
        <v>0.28699551569506754</v>
      </c>
      <c r="G32" s="139">
        <v>0.28699551569506754</v>
      </c>
      <c r="I32" s="142">
        <v>2.5739910313901402</v>
      </c>
      <c r="K32" s="112" t="s">
        <v>505</v>
      </c>
      <c r="L32" s="112" t="s">
        <v>506</v>
      </c>
    </row>
    <row r="33" spans="1:12">
      <c r="A33" s="112">
        <v>30</v>
      </c>
      <c r="B33" s="135" t="s">
        <v>384</v>
      </c>
      <c r="C33" s="112">
        <v>2.29</v>
      </c>
      <c r="D33" s="112">
        <v>8.43</v>
      </c>
      <c r="E33" s="112">
        <v>6.99</v>
      </c>
      <c r="F33" s="112">
        <v>0.30638297872340414</v>
      </c>
      <c r="G33" s="139">
        <v>0.30638297872340414</v>
      </c>
      <c r="I33" s="142">
        <v>2.6127659574468098</v>
      </c>
      <c r="K33" s="112" t="s">
        <v>505</v>
      </c>
      <c r="L33" s="112" t="s">
        <v>506</v>
      </c>
    </row>
    <row r="34" spans="1:12">
      <c r="A34" s="112">
        <v>31</v>
      </c>
      <c r="B34" s="135" t="s">
        <v>385</v>
      </c>
      <c r="C34" s="112">
        <v>1.45</v>
      </c>
      <c r="D34" s="112">
        <v>7.76</v>
      </c>
      <c r="E34" s="112">
        <v>6.26</v>
      </c>
      <c r="F34" s="112">
        <v>0.31185031185031187</v>
      </c>
      <c r="G34" s="139">
        <v>0.31185031185031187</v>
      </c>
      <c r="I34" s="142">
        <v>2.62370062370062</v>
      </c>
      <c r="K34" s="112" t="s">
        <v>505</v>
      </c>
      <c r="L34" s="112" t="s">
        <v>506</v>
      </c>
    </row>
    <row r="35" spans="1:12">
      <c r="A35" s="112">
        <v>32</v>
      </c>
      <c r="B35" s="135" t="s">
        <v>386</v>
      </c>
      <c r="C35" s="112">
        <v>1.45</v>
      </c>
      <c r="D35" s="112">
        <v>7.32</v>
      </c>
      <c r="E35" s="137">
        <v>5.8</v>
      </c>
      <c r="F35" s="112">
        <v>0.349425287356322</v>
      </c>
      <c r="G35" s="139">
        <v>0.349425287356322</v>
      </c>
      <c r="I35" s="142">
        <v>2.6988505747126399</v>
      </c>
      <c r="K35" s="112" t="s">
        <v>505</v>
      </c>
      <c r="L35" s="112" t="s">
        <v>506</v>
      </c>
    </row>
    <row r="36" spans="1:12">
      <c r="A36" s="112">
        <v>33</v>
      </c>
      <c r="B36" s="135" t="s">
        <v>387</v>
      </c>
      <c r="C36" s="112">
        <v>1.43</v>
      </c>
      <c r="D36" s="112">
        <v>7.26</v>
      </c>
      <c r="E36" s="112">
        <v>5.53</v>
      </c>
      <c r="F36" s="112">
        <v>0.42195121951219494</v>
      </c>
      <c r="G36" s="139">
        <v>0.42195121951219494</v>
      </c>
      <c r="I36" s="142">
        <v>2.8439024390243901</v>
      </c>
      <c r="K36" s="112" t="s">
        <v>505</v>
      </c>
      <c r="L36" s="112" t="s">
        <v>506</v>
      </c>
    </row>
    <row r="37" spans="1:12">
      <c r="A37" s="112">
        <v>34</v>
      </c>
      <c r="B37" s="135" t="s">
        <v>388</v>
      </c>
      <c r="C37" s="112">
        <v>1.45</v>
      </c>
      <c r="D37" s="112">
        <v>9.7100000000000009</v>
      </c>
      <c r="E37" s="112">
        <v>7.49</v>
      </c>
      <c r="F37" s="112">
        <v>0.36754966887417229</v>
      </c>
      <c r="G37" s="139">
        <v>0.36754966887417229</v>
      </c>
      <c r="I37" s="142">
        <v>2.7350993377483399</v>
      </c>
      <c r="K37" s="112" t="s">
        <v>505</v>
      </c>
      <c r="L37" s="112" t="s">
        <v>506</v>
      </c>
    </row>
    <row r="38" spans="1:12">
      <c r="A38" s="112">
        <v>35</v>
      </c>
      <c r="B38" s="135" t="s">
        <v>389</v>
      </c>
      <c r="C38" s="112">
        <v>1.49</v>
      </c>
      <c r="D38" s="112">
        <v>6.07</v>
      </c>
      <c r="E38" s="112">
        <v>4.95</v>
      </c>
      <c r="F38" s="112">
        <v>0.32369942196531798</v>
      </c>
      <c r="G38" s="139">
        <v>0.32369942196531798</v>
      </c>
      <c r="I38" s="142">
        <v>2.64739884393064</v>
      </c>
      <c r="K38" s="112" t="s">
        <v>505</v>
      </c>
      <c r="L38" s="112" t="s">
        <v>506</v>
      </c>
    </row>
    <row r="39" spans="1:12">
      <c r="A39" s="112">
        <v>36</v>
      </c>
      <c r="B39" s="135" t="s">
        <v>390</v>
      </c>
      <c r="C39" s="112">
        <v>1.47</v>
      </c>
      <c r="D39" s="112">
        <v>7.18</v>
      </c>
      <c r="E39" s="112">
        <v>5.61</v>
      </c>
      <c r="F39" s="112">
        <v>0.37922705314009642</v>
      </c>
      <c r="G39" s="139">
        <v>0.37922705314009642</v>
      </c>
      <c r="I39" s="142">
        <v>2.7584541062801899</v>
      </c>
      <c r="K39" s="112" t="s">
        <v>505</v>
      </c>
      <c r="L39" s="112" t="s">
        <v>506</v>
      </c>
    </row>
    <row r="40" spans="1:12">
      <c r="A40" s="112">
        <v>37</v>
      </c>
      <c r="B40" s="135" t="s">
        <v>391</v>
      </c>
      <c r="C40" s="112">
        <v>1.45</v>
      </c>
      <c r="D40" s="112">
        <v>5.56</v>
      </c>
      <c r="E40" s="112">
        <v>4.57</v>
      </c>
      <c r="F40" s="112">
        <v>0.31730769230769207</v>
      </c>
      <c r="G40" s="139">
        <v>0.31730769230769207</v>
      </c>
      <c r="I40" s="142">
        <v>2.6346153846153801</v>
      </c>
      <c r="K40" s="112" t="s">
        <v>505</v>
      </c>
      <c r="L40" s="112" t="s">
        <v>506</v>
      </c>
    </row>
    <row r="41" spans="1:12">
      <c r="A41" s="112">
        <v>38</v>
      </c>
      <c r="B41" s="135" t="s">
        <v>392</v>
      </c>
      <c r="C41" s="112">
        <v>1.47</v>
      </c>
      <c r="D41" s="112">
        <v>9.26</v>
      </c>
      <c r="E41" s="112">
        <v>7.18</v>
      </c>
      <c r="F41" s="112">
        <v>0.36427320490367776</v>
      </c>
      <c r="G41" s="139">
        <v>0.36427320490367776</v>
      </c>
      <c r="I41" s="142">
        <v>2.7285464098073602</v>
      </c>
      <c r="K41" s="112" t="s">
        <v>505</v>
      </c>
      <c r="L41" s="112" t="s">
        <v>506</v>
      </c>
    </row>
    <row r="42" spans="1:12">
      <c r="G42" s="139"/>
      <c r="K42" s="112" t="s">
        <v>505</v>
      </c>
      <c r="L42" s="112" t="s">
        <v>506</v>
      </c>
    </row>
    <row r="43" spans="1:12">
      <c r="A43" s="112">
        <v>39</v>
      </c>
      <c r="B43" s="112" t="s">
        <v>393</v>
      </c>
      <c r="C43" s="112">
        <v>1.26</v>
      </c>
      <c r="D43" s="112">
        <v>6.74</v>
      </c>
      <c r="E43" s="112">
        <v>5.33</v>
      </c>
      <c r="F43" s="112">
        <v>0.34643734643734647</v>
      </c>
      <c r="G43" s="139">
        <v>0.34643734643734647</v>
      </c>
      <c r="I43" s="142">
        <v>2.6928746928746898</v>
      </c>
      <c r="K43" s="112" t="s">
        <v>505</v>
      </c>
      <c r="L43" s="112" t="s">
        <v>506</v>
      </c>
    </row>
    <row r="44" spans="1:12">
      <c r="A44" s="112">
        <v>40</v>
      </c>
      <c r="B44" s="112" t="s">
        <v>394</v>
      </c>
      <c r="C44" s="112">
        <v>1.27</v>
      </c>
      <c r="D44" s="112">
        <v>6.39</v>
      </c>
      <c r="E44" s="112">
        <v>5.49</v>
      </c>
      <c r="F44" s="112">
        <v>0.21327014218009463</v>
      </c>
      <c r="G44" s="139">
        <v>0.21327014218009463</v>
      </c>
      <c r="I44" s="142">
        <v>2.4265402843601902</v>
      </c>
      <c r="K44" s="112" t="s">
        <v>505</v>
      </c>
      <c r="L44" s="112" t="s">
        <v>506</v>
      </c>
    </row>
    <row r="45" spans="1:12">
      <c r="A45" s="112">
        <v>41</v>
      </c>
      <c r="B45" s="112" t="s">
        <v>395</v>
      </c>
      <c r="C45" s="112">
        <v>1.28</v>
      </c>
      <c r="D45" s="112">
        <v>8.48</v>
      </c>
      <c r="E45" s="112">
        <v>7.16</v>
      </c>
      <c r="F45" s="112">
        <v>0.2244897959183674</v>
      </c>
      <c r="G45" s="139">
        <v>0.2244897959183674</v>
      </c>
      <c r="I45" s="142">
        <v>2.4489795918367299</v>
      </c>
      <c r="K45" s="112" t="s">
        <v>505</v>
      </c>
      <c r="L45" s="112" t="s">
        <v>506</v>
      </c>
    </row>
    <row r="46" spans="1:12">
      <c r="A46" s="112">
        <v>42</v>
      </c>
      <c r="B46" s="112" t="s">
        <v>396</v>
      </c>
      <c r="C46" s="112">
        <v>1.29</v>
      </c>
      <c r="D46" s="112">
        <v>7.89</v>
      </c>
      <c r="E46" s="112">
        <v>6.54</v>
      </c>
      <c r="F46" s="112">
        <v>0.25714285714285706</v>
      </c>
      <c r="G46" s="139">
        <v>0.25714285714285706</v>
      </c>
      <c r="I46" s="142">
        <v>2.5142857142857098</v>
      </c>
      <c r="K46" s="112" t="s">
        <v>505</v>
      </c>
      <c r="L46" s="112" t="s">
        <v>506</v>
      </c>
    </row>
    <row r="47" spans="1:12">
      <c r="A47" s="112">
        <v>43</v>
      </c>
      <c r="B47" s="112" t="s">
        <v>397</v>
      </c>
      <c r="C47" s="112">
        <v>1.29</v>
      </c>
      <c r="D47" s="112">
        <v>8.68</v>
      </c>
      <c r="E47" s="112">
        <v>7.62</v>
      </c>
      <c r="F47" s="112">
        <v>0.16745655608214843</v>
      </c>
      <c r="G47" s="139">
        <v>0.16745655608214843</v>
      </c>
      <c r="I47" s="142">
        <v>2.3349131121642999</v>
      </c>
      <c r="K47" s="112" t="s">
        <v>505</v>
      </c>
      <c r="L47" s="112" t="s">
        <v>506</v>
      </c>
    </row>
    <row r="48" spans="1:12">
      <c r="A48" s="112">
        <v>44</v>
      </c>
      <c r="B48" s="112" t="s">
        <v>398</v>
      </c>
      <c r="C48" s="112">
        <v>1.27</v>
      </c>
      <c r="D48" s="112">
        <v>7.95</v>
      </c>
      <c r="E48" s="112">
        <v>7.06</v>
      </c>
      <c r="F48" s="112">
        <v>0.15371329879101911</v>
      </c>
      <c r="G48" s="139">
        <v>0.15371329879101911</v>
      </c>
      <c r="I48" s="142">
        <v>2.3074265975820398</v>
      </c>
      <c r="K48" s="112" t="s">
        <v>505</v>
      </c>
      <c r="L48" s="112" t="s">
        <v>506</v>
      </c>
    </row>
    <row r="49" spans="1:12">
      <c r="A49" s="112">
        <v>45</v>
      </c>
      <c r="B49" s="112" t="s">
        <v>399</v>
      </c>
      <c r="C49" s="112">
        <v>1.29</v>
      </c>
      <c r="D49" s="112">
        <v>6.86</v>
      </c>
      <c r="E49" s="112">
        <v>5.99</v>
      </c>
      <c r="F49" s="112">
        <v>0.18510638297872342</v>
      </c>
      <c r="G49" s="139">
        <v>0.18510638297872342</v>
      </c>
      <c r="I49" s="142">
        <v>2.3702127659574499</v>
      </c>
      <c r="K49" s="112" t="s">
        <v>505</v>
      </c>
      <c r="L49" s="112" t="s">
        <v>506</v>
      </c>
    </row>
    <row r="50" spans="1:12">
      <c r="A50" s="112">
        <v>46</v>
      </c>
      <c r="B50" s="112" t="s">
        <v>400</v>
      </c>
      <c r="C50" s="112">
        <v>1.28</v>
      </c>
      <c r="D50" s="137">
        <v>6.3</v>
      </c>
      <c r="E50" s="137">
        <v>5.8</v>
      </c>
      <c r="F50" s="112">
        <v>0.11061946902654868</v>
      </c>
      <c r="G50" s="139">
        <v>0.11061946902654868</v>
      </c>
      <c r="I50" s="142">
        <v>2.2212389380531001</v>
      </c>
      <c r="K50" s="112" t="s">
        <v>505</v>
      </c>
      <c r="L50" s="112" t="s">
        <v>506</v>
      </c>
    </row>
    <row r="51" spans="1:12">
      <c r="A51" s="112">
        <v>47</v>
      </c>
      <c r="B51" s="112" t="s">
        <v>401</v>
      </c>
      <c r="C51" s="112">
        <v>1.29</v>
      </c>
      <c r="D51" s="137">
        <v>7.9</v>
      </c>
      <c r="E51" s="112">
        <v>6.88</v>
      </c>
      <c r="F51" s="112">
        <v>0.18246869409660116</v>
      </c>
      <c r="G51" s="139">
        <v>0.18246869409660116</v>
      </c>
      <c r="I51" s="142">
        <v>2.3649373881932001</v>
      </c>
      <c r="K51" s="112" t="s">
        <v>505</v>
      </c>
      <c r="L51" s="112" t="s">
        <v>506</v>
      </c>
    </row>
    <row r="52" spans="1:12">
      <c r="A52" s="112">
        <v>48</v>
      </c>
      <c r="B52" s="112" t="s">
        <v>402</v>
      </c>
      <c r="C52" s="112">
        <v>1.26</v>
      </c>
      <c r="D52" s="112">
        <v>6.71</v>
      </c>
      <c r="E52" s="112">
        <v>5.77</v>
      </c>
      <c r="F52" s="112">
        <v>0.20842572062084266</v>
      </c>
      <c r="G52" s="139">
        <v>0.20842572062084266</v>
      </c>
      <c r="I52" s="142">
        <v>2.4168514412416902</v>
      </c>
      <c r="K52" s="112" t="s">
        <v>505</v>
      </c>
      <c r="L52" s="112" t="s">
        <v>506</v>
      </c>
    </row>
    <row r="53" spans="1:12">
      <c r="A53" s="112">
        <v>49</v>
      </c>
      <c r="B53" s="112" t="s">
        <v>403</v>
      </c>
      <c r="C53" s="112">
        <v>1.42</v>
      </c>
      <c r="D53" s="137">
        <v>6.4</v>
      </c>
      <c r="E53" s="112">
        <v>5.45</v>
      </c>
      <c r="F53" s="112">
        <v>0.23573200992555834</v>
      </c>
      <c r="G53" s="139">
        <v>0.23573200992555834</v>
      </c>
      <c r="I53" s="142">
        <v>2.47146401985112</v>
      </c>
      <c r="K53" s="112" t="s">
        <v>505</v>
      </c>
      <c r="L53" s="112" t="s">
        <v>506</v>
      </c>
    </row>
    <row r="54" spans="1:12">
      <c r="A54" s="112">
        <v>50</v>
      </c>
      <c r="B54" s="112" t="s">
        <v>404</v>
      </c>
      <c r="C54" s="112">
        <v>1.31</v>
      </c>
      <c r="D54" s="112">
        <v>7.34</v>
      </c>
      <c r="E54" s="137">
        <v>6.2</v>
      </c>
      <c r="F54" s="112">
        <v>0.23312883435582812</v>
      </c>
      <c r="G54" s="139">
        <v>0.23312883435582812</v>
      </c>
      <c r="I54" s="142">
        <v>2.46625766871166</v>
      </c>
      <c r="K54" s="112" t="s">
        <v>505</v>
      </c>
      <c r="L54" s="112" t="s">
        <v>506</v>
      </c>
    </row>
    <row r="55" spans="1:12">
      <c r="A55" s="112">
        <v>51</v>
      </c>
      <c r="B55" s="112" t="s">
        <v>405</v>
      </c>
      <c r="C55" s="112">
        <v>1.35</v>
      </c>
      <c r="D55" s="112">
        <v>7.01</v>
      </c>
      <c r="E55" s="112">
        <v>6.11</v>
      </c>
      <c r="F55" s="112">
        <v>0.18907563025210072</v>
      </c>
      <c r="G55" s="139">
        <v>0.18907563025210072</v>
      </c>
      <c r="I55" s="142">
        <v>2.3781512605041999</v>
      </c>
      <c r="K55" s="112" t="s">
        <v>505</v>
      </c>
      <c r="L55" s="112" t="s">
        <v>506</v>
      </c>
    </row>
    <row r="56" spans="1:12">
      <c r="A56" s="112">
        <v>52</v>
      </c>
      <c r="B56" s="112" t="s">
        <v>406</v>
      </c>
      <c r="C56" s="112">
        <v>1.45</v>
      </c>
      <c r="D56" s="112">
        <v>6.33</v>
      </c>
      <c r="E56" s="112">
        <v>5.34</v>
      </c>
      <c r="F56" s="112">
        <v>0.25449871465295637</v>
      </c>
      <c r="G56" s="139">
        <v>0.25449871465295637</v>
      </c>
      <c r="I56" s="142">
        <v>2.5089974293059099</v>
      </c>
      <c r="K56" s="112" t="s">
        <v>505</v>
      </c>
      <c r="L56" s="112" t="s">
        <v>506</v>
      </c>
    </row>
    <row r="57" spans="1:12">
      <c r="A57" s="112">
        <v>53</v>
      </c>
      <c r="B57" s="112" t="s">
        <v>407</v>
      </c>
      <c r="C57" s="112">
        <v>1.46</v>
      </c>
      <c r="D57" s="112">
        <v>6.26</v>
      </c>
      <c r="E57" s="112">
        <v>5.16</v>
      </c>
      <c r="F57" s="112">
        <v>0.2972972972972972</v>
      </c>
      <c r="G57" s="139">
        <v>0.2972972972972972</v>
      </c>
      <c r="I57" s="142">
        <v>2.5945945945945899</v>
      </c>
      <c r="K57" s="112" t="s">
        <v>505</v>
      </c>
      <c r="L57" s="112" t="s">
        <v>506</v>
      </c>
    </row>
    <row r="58" spans="1:12">
      <c r="A58" s="112">
        <v>54</v>
      </c>
      <c r="B58" s="112" t="s">
        <v>408</v>
      </c>
      <c r="C58" s="112">
        <v>1.47</v>
      </c>
      <c r="D58" s="137">
        <v>6.9</v>
      </c>
      <c r="E58" s="112">
        <v>5.77</v>
      </c>
      <c r="F58" s="112">
        <v>0.26279069767441882</v>
      </c>
      <c r="G58" s="139">
        <v>0.26279069767441882</v>
      </c>
      <c r="I58" s="142">
        <v>2.5255813953488402</v>
      </c>
      <c r="K58" s="112" t="s">
        <v>505</v>
      </c>
      <c r="L58" s="112" t="s">
        <v>506</v>
      </c>
    </row>
    <row r="59" spans="1:12">
      <c r="A59" s="112">
        <v>55</v>
      </c>
      <c r="B59" s="112" t="s">
        <v>409</v>
      </c>
      <c r="C59" s="112">
        <v>1.45</v>
      </c>
      <c r="D59" s="112">
        <v>6.34</v>
      </c>
      <c r="E59" s="112">
        <v>5.48</v>
      </c>
      <c r="F59" s="112">
        <v>0.21339950372208422</v>
      </c>
      <c r="G59" s="139">
        <v>0.21339950372208422</v>
      </c>
      <c r="I59" s="142">
        <v>2.4267990074441701</v>
      </c>
      <c r="K59" s="112" t="s">
        <v>505</v>
      </c>
      <c r="L59" s="112" t="s">
        <v>506</v>
      </c>
    </row>
    <row r="60" spans="1:12">
      <c r="A60" s="112">
        <v>56</v>
      </c>
      <c r="B60" s="112" t="s">
        <v>410</v>
      </c>
      <c r="C60" s="112">
        <v>1.47</v>
      </c>
      <c r="D60" s="112">
        <v>6.55</v>
      </c>
      <c r="E60" s="112">
        <v>5.13</v>
      </c>
      <c r="F60" s="112">
        <v>0.38797814207650272</v>
      </c>
      <c r="G60" s="139">
        <v>0.38797814207650272</v>
      </c>
      <c r="I60" s="142">
        <v>2.7759562841530099</v>
      </c>
      <c r="K60" s="112" t="s">
        <v>505</v>
      </c>
      <c r="L60" s="112" t="s">
        <v>506</v>
      </c>
    </row>
    <row r="61" spans="1:12">
      <c r="A61" s="112">
        <v>57</v>
      </c>
      <c r="B61" s="112" t="s">
        <v>411</v>
      </c>
      <c r="C61" s="112">
        <v>1.48</v>
      </c>
      <c r="D61" s="137">
        <v>6.8</v>
      </c>
      <c r="E61" s="112">
        <v>5.83</v>
      </c>
      <c r="F61" s="112">
        <v>0.22298850574712639</v>
      </c>
      <c r="G61" s="139">
        <v>0.22298850574712639</v>
      </c>
      <c r="I61" s="142">
        <v>2.4459770114942501</v>
      </c>
      <c r="K61" s="112" t="s">
        <v>505</v>
      </c>
      <c r="L61" s="112" t="s">
        <v>506</v>
      </c>
    </row>
    <row r="62" spans="1:12">
      <c r="A62" s="112">
        <v>58</v>
      </c>
      <c r="B62" s="112" t="s">
        <v>412</v>
      </c>
      <c r="C62" s="112">
        <v>1.48</v>
      </c>
      <c r="D62" s="112">
        <v>6.98</v>
      </c>
      <c r="E62" s="112">
        <v>5.81</v>
      </c>
      <c r="F62" s="112">
        <v>0.27020785219399557</v>
      </c>
      <c r="G62" s="139">
        <v>0.27020785219399557</v>
      </c>
      <c r="I62" s="142">
        <v>2.54041570438799</v>
      </c>
      <c r="K62" s="112" t="s">
        <v>505</v>
      </c>
      <c r="L62" s="112" t="s">
        <v>506</v>
      </c>
    </row>
    <row r="63" spans="1:12">
      <c r="A63" s="112">
        <v>59</v>
      </c>
      <c r="B63" s="112" t="s">
        <v>413</v>
      </c>
      <c r="C63" s="112">
        <v>1.45</v>
      </c>
      <c r="D63" s="112">
        <v>7.34</v>
      </c>
      <c r="E63" s="112">
        <v>6.45</v>
      </c>
      <c r="F63" s="112">
        <v>0.17799999999999994</v>
      </c>
      <c r="G63" s="139">
        <v>0.17799999999999994</v>
      </c>
      <c r="I63" s="142">
        <v>2.3559999999999999</v>
      </c>
      <c r="K63" s="112" t="s">
        <v>505</v>
      </c>
      <c r="L63" s="112" t="s">
        <v>506</v>
      </c>
    </row>
    <row r="64" spans="1:12">
      <c r="A64" s="112">
        <v>60</v>
      </c>
      <c r="B64" s="112" t="s">
        <v>414</v>
      </c>
      <c r="C64" s="112">
        <v>1.44</v>
      </c>
      <c r="D64" s="112">
        <v>5.27</v>
      </c>
      <c r="E64" s="112">
        <v>4.46</v>
      </c>
      <c r="F64" s="112">
        <v>0.2682119205298012</v>
      </c>
      <c r="G64" s="139">
        <v>0.2682119205298012</v>
      </c>
      <c r="I64" s="142">
        <v>2.5364238410595998</v>
      </c>
      <c r="K64" s="112" t="s">
        <v>505</v>
      </c>
      <c r="L64" s="112" t="s">
        <v>506</v>
      </c>
    </row>
    <row r="65" spans="1:12">
      <c r="A65" s="112">
        <v>61</v>
      </c>
      <c r="B65" s="112" t="s">
        <v>415</v>
      </c>
      <c r="C65" s="112">
        <v>1.49</v>
      </c>
      <c r="D65" s="112">
        <v>6.26</v>
      </c>
      <c r="E65" s="112">
        <v>5.26</v>
      </c>
      <c r="F65" s="112">
        <v>0.26525198938992045</v>
      </c>
      <c r="G65" s="139">
        <v>0.26525198938992045</v>
      </c>
      <c r="I65" s="142">
        <v>2.5305039787798398</v>
      </c>
      <c r="K65" s="112" t="s">
        <v>505</v>
      </c>
      <c r="L65" s="112" t="s">
        <v>506</v>
      </c>
    </row>
    <row r="66" spans="1:12">
      <c r="A66" s="112">
        <v>62</v>
      </c>
      <c r="B66" s="112" t="s">
        <v>416</v>
      </c>
      <c r="C66" s="112">
        <v>1.25</v>
      </c>
      <c r="D66" s="112">
        <v>5.32</v>
      </c>
      <c r="E66" s="137">
        <v>4.2</v>
      </c>
      <c r="F66" s="112">
        <v>0.37966101694915255</v>
      </c>
      <c r="G66" s="139">
        <v>0.37966101694915255</v>
      </c>
      <c r="I66" s="142">
        <v>2.75932203389831</v>
      </c>
      <c r="K66" s="112" t="s">
        <v>505</v>
      </c>
      <c r="L66" s="112" t="s">
        <v>506</v>
      </c>
    </row>
    <row r="67" spans="1:12">
      <c r="A67" s="112">
        <v>63</v>
      </c>
      <c r="B67" s="112" t="s">
        <v>417</v>
      </c>
      <c r="C67" s="112">
        <v>1.28</v>
      </c>
      <c r="D67" s="112">
        <v>8.82</v>
      </c>
      <c r="E67" s="112">
        <v>6.87</v>
      </c>
      <c r="F67" s="112">
        <v>0.34883720930232565</v>
      </c>
      <c r="G67" s="139">
        <v>0.34883720930232565</v>
      </c>
      <c r="I67" s="142">
        <v>2.6976744186046502</v>
      </c>
      <c r="K67" s="112" t="s">
        <v>505</v>
      </c>
      <c r="L67" s="112" t="s">
        <v>506</v>
      </c>
    </row>
    <row r="68" spans="1:12">
      <c r="A68" s="112">
        <v>64</v>
      </c>
      <c r="B68" s="112" t="s">
        <v>418</v>
      </c>
      <c r="C68" s="112">
        <v>2.23</v>
      </c>
      <c r="D68" s="112">
        <v>7.42</v>
      </c>
      <c r="E68" s="112">
        <v>6.47</v>
      </c>
      <c r="F68" s="112">
        <v>0.22405660377358494</v>
      </c>
      <c r="G68" s="139">
        <v>0.22405660377358494</v>
      </c>
      <c r="I68" s="142">
        <v>2.4481132075471699</v>
      </c>
      <c r="K68" s="112" t="s">
        <v>505</v>
      </c>
      <c r="L68" s="112" t="s">
        <v>506</v>
      </c>
    </row>
    <row r="69" spans="1:12">
      <c r="A69" s="112">
        <v>65</v>
      </c>
      <c r="B69" s="135" t="s">
        <v>419</v>
      </c>
      <c r="C69" s="112">
        <v>2.23</v>
      </c>
      <c r="D69" s="112">
        <v>6.95</v>
      </c>
      <c r="E69" s="112">
        <v>6.07</v>
      </c>
      <c r="F69" s="112">
        <v>0.22916666666666663</v>
      </c>
      <c r="G69" s="139">
        <v>0.22916666666666663</v>
      </c>
      <c r="I69" s="142">
        <v>2.4583333333333299</v>
      </c>
      <c r="K69" s="112" t="s">
        <v>505</v>
      </c>
      <c r="L69" s="112" t="s">
        <v>506</v>
      </c>
    </row>
    <row r="70" spans="1:12">
      <c r="A70" s="112">
        <v>66</v>
      </c>
      <c r="B70" s="135" t="s">
        <v>420</v>
      </c>
      <c r="C70" s="112">
        <v>1.29</v>
      </c>
      <c r="D70" s="112">
        <v>9.65</v>
      </c>
      <c r="E70" s="112">
        <v>8.07</v>
      </c>
      <c r="F70" s="112">
        <v>0.23303834808259588</v>
      </c>
      <c r="G70" s="139">
        <v>0.23303834808259588</v>
      </c>
      <c r="I70" s="142">
        <v>3.4583333333333299</v>
      </c>
      <c r="K70" s="112" t="s">
        <v>505</v>
      </c>
      <c r="L70" s="112" t="s">
        <v>506</v>
      </c>
    </row>
    <row r="71" spans="1:12">
      <c r="A71" s="112">
        <v>67</v>
      </c>
      <c r="B71" s="135" t="s">
        <v>421</v>
      </c>
      <c r="C71" s="112">
        <v>2.2599999999999998</v>
      </c>
      <c r="D71" s="112">
        <v>6.77</v>
      </c>
      <c r="E71" s="112">
        <v>5.96</v>
      </c>
      <c r="F71" s="112">
        <v>0.21891891891891879</v>
      </c>
      <c r="G71" s="139">
        <v>0.21891891891891879</v>
      </c>
      <c r="I71" s="142">
        <v>2.43783783783784</v>
      </c>
      <c r="K71" s="112" t="s">
        <v>505</v>
      </c>
      <c r="L71" s="112" t="s">
        <v>506</v>
      </c>
    </row>
    <row r="72" spans="1:12">
      <c r="A72" s="112">
        <v>68</v>
      </c>
      <c r="B72" s="135" t="s">
        <v>422</v>
      </c>
      <c r="C72" s="112">
        <v>2.2400000000000002</v>
      </c>
      <c r="D72" s="112">
        <v>6.4</v>
      </c>
      <c r="E72" s="112">
        <v>5.45</v>
      </c>
      <c r="F72" s="112">
        <v>0.29595015576323991</v>
      </c>
      <c r="G72" s="139">
        <v>0.29595015576323991</v>
      </c>
      <c r="I72" s="142">
        <v>2.59190031152648</v>
      </c>
      <c r="K72" s="112" t="s">
        <v>505</v>
      </c>
      <c r="L72" s="112" t="s">
        <v>506</v>
      </c>
    </row>
    <row r="73" spans="1:12">
      <c r="A73" s="112">
        <v>69</v>
      </c>
      <c r="B73" s="135" t="s">
        <v>423</v>
      </c>
      <c r="C73" s="112">
        <v>1.48</v>
      </c>
      <c r="D73" s="137">
        <v>6.9</v>
      </c>
      <c r="E73" s="112">
        <v>5.83</v>
      </c>
      <c r="F73" s="112">
        <v>0.24597701149425297</v>
      </c>
      <c r="G73" s="139">
        <v>0.24597701149425297</v>
      </c>
      <c r="I73" s="142">
        <v>2.49195402298851</v>
      </c>
      <c r="K73" s="112" t="s">
        <v>505</v>
      </c>
      <c r="L73" s="112" t="s">
        <v>506</v>
      </c>
    </row>
    <row r="74" spans="1:12">
      <c r="A74" s="112">
        <v>70</v>
      </c>
      <c r="B74" s="135" t="s">
        <v>424</v>
      </c>
      <c r="C74" s="112">
        <v>1.45</v>
      </c>
      <c r="D74" s="112">
        <v>8.7100000000000009</v>
      </c>
      <c r="E74" s="137">
        <v>6.9</v>
      </c>
      <c r="F74" s="112">
        <v>0.33211009174311934</v>
      </c>
      <c r="G74" s="139">
        <v>0.33211009174311934</v>
      </c>
      <c r="I74" s="142">
        <v>2.6642201834862398</v>
      </c>
      <c r="K74" s="112" t="s">
        <v>505</v>
      </c>
      <c r="L74" s="112" t="s">
        <v>506</v>
      </c>
    </row>
    <row r="75" spans="1:12">
      <c r="A75" s="112">
        <v>71</v>
      </c>
      <c r="B75" s="135" t="s">
        <v>425</v>
      </c>
      <c r="C75" s="112">
        <v>1.29</v>
      </c>
      <c r="D75" s="112">
        <v>4.3499999999999996</v>
      </c>
      <c r="E75" s="112">
        <v>3.01</v>
      </c>
      <c r="F75" s="112">
        <v>0.77906976744186052</v>
      </c>
      <c r="G75" s="139">
        <v>0.77906976744186052</v>
      </c>
      <c r="I75" s="142">
        <v>3.5581395348837201</v>
      </c>
      <c r="K75" s="112" t="s">
        <v>505</v>
      </c>
      <c r="L75" s="112" t="s">
        <v>506</v>
      </c>
    </row>
    <row r="76" spans="1:12">
      <c r="A76" s="112">
        <v>72</v>
      </c>
      <c r="B76" s="135" t="s">
        <v>426</v>
      </c>
      <c r="G76" s="139"/>
      <c r="I76" s="113">
        <v>3.11</v>
      </c>
      <c r="K76" s="112" t="s">
        <v>505</v>
      </c>
      <c r="L76" s="112" t="s">
        <v>506</v>
      </c>
    </row>
    <row r="77" spans="1:12">
      <c r="A77" s="112">
        <v>73</v>
      </c>
      <c r="B77" s="135" t="s">
        <v>427</v>
      </c>
      <c r="C77" s="112">
        <v>2.25</v>
      </c>
      <c r="D77" s="112">
        <v>7.08</v>
      </c>
      <c r="E77" s="112">
        <v>6.19</v>
      </c>
      <c r="F77" s="112">
        <v>0.22588832487309635</v>
      </c>
      <c r="G77" s="139">
        <v>0.22588832487309635</v>
      </c>
      <c r="I77" s="142">
        <v>2.4517766497461899</v>
      </c>
      <c r="K77" s="112" t="s">
        <v>505</v>
      </c>
      <c r="L77" s="112" t="s">
        <v>506</v>
      </c>
    </row>
    <row r="78" spans="1:12">
      <c r="A78" s="112">
        <v>74</v>
      </c>
      <c r="B78" s="135" t="s">
        <v>428</v>
      </c>
      <c r="C78" s="112">
        <v>2.2799999999999998</v>
      </c>
      <c r="D78" s="112">
        <v>4.4800000000000004</v>
      </c>
      <c r="E78" s="112">
        <v>3.91</v>
      </c>
      <c r="F78" s="112">
        <v>0.34969325153374242</v>
      </c>
      <c r="G78" s="139">
        <v>0.34969325153374242</v>
      </c>
      <c r="I78" s="142">
        <v>2.6993865030674802</v>
      </c>
      <c r="K78" s="112" t="s">
        <v>505</v>
      </c>
      <c r="L78" s="112" t="s">
        <v>506</v>
      </c>
    </row>
    <row r="79" spans="1:12">
      <c r="B79" s="112">
        <v>26</v>
      </c>
      <c r="G79" s="139"/>
      <c r="K79" s="112" t="s">
        <v>505</v>
      </c>
      <c r="L79" s="112" t="s">
        <v>506</v>
      </c>
    </row>
    <row r="80" spans="1:12">
      <c r="A80" s="112">
        <v>75</v>
      </c>
      <c r="B80" s="112" t="s">
        <v>429</v>
      </c>
      <c r="C80" s="112">
        <v>1.29</v>
      </c>
      <c r="D80" s="112">
        <v>5.85</v>
      </c>
      <c r="E80" s="112">
        <v>4.76</v>
      </c>
      <c r="F80" s="112">
        <v>0.3141210374639769</v>
      </c>
      <c r="G80" s="139">
        <v>0.3141210374639769</v>
      </c>
      <c r="I80" s="142">
        <v>2.6282420749279538</v>
      </c>
      <c r="K80" s="112" t="s">
        <v>505</v>
      </c>
      <c r="L80" s="112" t="s">
        <v>506</v>
      </c>
    </row>
    <row r="81" spans="1:12">
      <c r="A81" s="112">
        <v>76</v>
      </c>
      <c r="B81" s="112" t="s">
        <v>430</v>
      </c>
      <c r="C81" s="112">
        <v>1.29</v>
      </c>
      <c r="D81" s="112">
        <v>7.37</v>
      </c>
      <c r="E81" s="112">
        <v>5.98</v>
      </c>
      <c r="F81" s="112">
        <v>0.29637526652452018</v>
      </c>
      <c r="G81" s="139">
        <v>0.29637526652452018</v>
      </c>
      <c r="I81" s="142">
        <v>2.5927505330490401</v>
      </c>
      <c r="K81" s="112" t="s">
        <v>505</v>
      </c>
      <c r="L81" s="112" t="s">
        <v>506</v>
      </c>
    </row>
    <row r="82" spans="1:12">
      <c r="A82" s="112">
        <v>77</v>
      </c>
      <c r="B82" s="112" t="s">
        <v>431</v>
      </c>
      <c r="C82" s="112">
        <v>1.29</v>
      </c>
      <c r="D82" s="112">
        <v>6.02</v>
      </c>
      <c r="E82" s="112">
        <v>4.67</v>
      </c>
      <c r="F82" s="112">
        <v>0.39940828402366857</v>
      </c>
      <c r="G82" s="139">
        <v>0.39940828402366857</v>
      </c>
      <c r="I82" s="142">
        <v>2.7988165680473371</v>
      </c>
      <c r="K82" s="112" t="s">
        <v>505</v>
      </c>
      <c r="L82" s="112" t="s">
        <v>506</v>
      </c>
    </row>
    <row r="83" spans="1:12">
      <c r="A83" s="112">
        <v>78</v>
      </c>
      <c r="B83" s="112" t="s">
        <v>432</v>
      </c>
      <c r="C83" s="112">
        <v>1.26</v>
      </c>
      <c r="D83" s="137">
        <v>7.6</v>
      </c>
      <c r="E83" s="112">
        <v>6.25</v>
      </c>
      <c r="F83" s="112">
        <v>0.27054108216432859</v>
      </c>
      <c r="G83" s="139">
        <v>0.27054108216432859</v>
      </c>
      <c r="I83" s="142">
        <v>2.5410821643286572</v>
      </c>
      <c r="K83" s="112" t="s">
        <v>505</v>
      </c>
      <c r="L83" s="112" t="s">
        <v>506</v>
      </c>
    </row>
    <row r="84" spans="1:12">
      <c r="A84" s="112">
        <v>79</v>
      </c>
      <c r="B84" s="112" t="s">
        <v>433</v>
      </c>
      <c r="C84" s="112">
        <v>1.28</v>
      </c>
      <c r="D84" s="112">
        <v>7.18</v>
      </c>
      <c r="E84" s="112">
        <v>5.87</v>
      </c>
      <c r="F84" s="112">
        <v>0.28540305010893241</v>
      </c>
      <c r="G84" s="139">
        <v>0.28540305010893241</v>
      </c>
      <c r="I84" s="142">
        <v>2.5708061002178648</v>
      </c>
      <c r="K84" s="112" t="s">
        <v>505</v>
      </c>
      <c r="L84" s="112" t="s">
        <v>506</v>
      </c>
    </row>
    <row r="85" spans="1:12">
      <c r="A85" s="112">
        <v>80</v>
      </c>
      <c r="B85" s="112" t="s">
        <v>434</v>
      </c>
      <c r="C85" s="112">
        <v>1.29</v>
      </c>
      <c r="D85" s="112">
        <v>8.09</v>
      </c>
      <c r="E85" s="112">
        <v>5.61</v>
      </c>
      <c r="F85" s="112">
        <v>0.57407407407407396</v>
      </c>
      <c r="G85" s="139">
        <v>0.57407407407407396</v>
      </c>
      <c r="I85" s="142">
        <v>3.1481481481481479</v>
      </c>
      <c r="K85" s="112" t="s">
        <v>505</v>
      </c>
      <c r="L85" s="112" t="s">
        <v>506</v>
      </c>
    </row>
    <row r="86" spans="1:12">
      <c r="A86" s="112">
        <v>81</v>
      </c>
      <c r="B86" s="112" t="s">
        <v>435</v>
      </c>
      <c r="C86" s="112">
        <v>1.29</v>
      </c>
      <c r="D86" s="112">
        <v>6.02</v>
      </c>
      <c r="E86" s="112">
        <v>4.96</v>
      </c>
      <c r="F86" s="112">
        <v>0.28882833787465928</v>
      </c>
      <c r="G86" s="139">
        <v>0.28882833787465928</v>
      </c>
      <c r="I86" s="142">
        <v>2.5776566757493184</v>
      </c>
      <c r="K86" s="112" t="s">
        <v>505</v>
      </c>
      <c r="L86" s="112" t="s">
        <v>506</v>
      </c>
    </row>
    <row r="87" spans="1:12">
      <c r="A87" s="112">
        <v>82</v>
      </c>
      <c r="B87" s="112" t="s">
        <v>436</v>
      </c>
      <c r="C87" s="112">
        <v>1.29</v>
      </c>
      <c r="D87" s="112">
        <v>6.41</v>
      </c>
      <c r="E87" s="112">
        <v>5.05</v>
      </c>
      <c r="F87" s="112">
        <v>0.36170212765957455</v>
      </c>
      <c r="G87" s="139">
        <v>0.36170212765957455</v>
      </c>
      <c r="I87" s="142">
        <v>2.7234042553191493</v>
      </c>
      <c r="K87" s="112" t="s">
        <v>505</v>
      </c>
      <c r="L87" s="112" t="s">
        <v>506</v>
      </c>
    </row>
    <row r="88" spans="1:12">
      <c r="A88" s="112">
        <v>83</v>
      </c>
      <c r="B88" s="112" t="s">
        <v>437</v>
      </c>
      <c r="C88" s="112">
        <v>1.29</v>
      </c>
      <c r="D88" s="112">
        <v>8.49</v>
      </c>
      <c r="E88" s="112">
        <v>6.88</v>
      </c>
      <c r="F88" s="112">
        <v>0.28801431127012528</v>
      </c>
      <c r="G88" s="139">
        <v>0.28801431127012528</v>
      </c>
      <c r="I88" s="142">
        <v>2.5760286225402504</v>
      </c>
      <c r="K88" s="112" t="s">
        <v>505</v>
      </c>
      <c r="L88" s="112" t="s">
        <v>506</v>
      </c>
    </row>
    <row r="89" spans="1:12">
      <c r="A89" s="112">
        <v>84</v>
      </c>
      <c r="B89" s="112" t="s">
        <v>438</v>
      </c>
      <c r="C89" s="112">
        <v>1.28</v>
      </c>
      <c r="D89" s="112">
        <v>6.03</v>
      </c>
      <c r="E89" s="112">
        <v>4.68</v>
      </c>
      <c r="F89" s="112">
        <v>0.39705882352941196</v>
      </c>
      <c r="G89" s="139">
        <v>0.39705882352941196</v>
      </c>
      <c r="I89" s="142">
        <v>2.7941176470588238</v>
      </c>
      <c r="K89" s="112" t="s">
        <v>505</v>
      </c>
      <c r="L89" s="112" t="s">
        <v>506</v>
      </c>
    </row>
    <row r="90" spans="1:12">
      <c r="A90" s="112">
        <v>85</v>
      </c>
      <c r="B90" s="112" t="s">
        <v>439</v>
      </c>
      <c r="C90" s="112">
        <v>1.27</v>
      </c>
      <c r="D90" s="112">
        <v>6.17</v>
      </c>
      <c r="E90" s="112">
        <v>5.0199999999999996</v>
      </c>
      <c r="F90" s="112">
        <v>0.30666666666666681</v>
      </c>
      <c r="G90" s="139">
        <v>0.30666666666666681</v>
      </c>
      <c r="I90" s="142">
        <v>2.6133333333333337</v>
      </c>
      <c r="K90" s="112" t="s">
        <v>505</v>
      </c>
      <c r="L90" s="112" t="s">
        <v>506</v>
      </c>
    </row>
    <row r="91" spans="1:12">
      <c r="A91" s="112">
        <v>86</v>
      </c>
      <c r="B91" s="112" t="s">
        <v>440</v>
      </c>
      <c r="C91" s="112">
        <v>1.29</v>
      </c>
      <c r="D91" s="112">
        <v>6.79</v>
      </c>
      <c r="E91" s="112">
        <v>5.01</v>
      </c>
      <c r="F91" s="112">
        <v>0.47849462365591405</v>
      </c>
      <c r="G91" s="139">
        <v>0.47849462365591405</v>
      </c>
      <c r="I91" s="142">
        <v>2.956989247311828</v>
      </c>
      <c r="K91" s="112" t="s">
        <v>505</v>
      </c>
      <c r="L91" s="112" t="s">
        <v>506</v>
      </c>
    </row>
    <row r="92" spans="1:12">
      <c r="A92" s="112">
        <v>87</v>
      </c>
      <c r="B92" s="112" t="s">
        <v>441</v>
      </c>
      <c r="C92" s="112">
        <v>1.28</v>
      </c>
      <c r="D92" s="112">
        <v>6.28</v>
      </c>
      <c r="E92" s="112">
        <v>5.08</v>
      </c>
      <c r="F92" s="112">
        <v>0.31578947368421056</v>
      </c>
      <c r="G92" s="139">
        <v>0.31578947368421056</v>
      </c>
      <c r="I92" s="142">
        <v>2.6315789473684212</v>
      </c>
      <c r="K92" s="112" t="s">
        <v>505</v>
      </c>
      <c r="L92" s="112" t="s">
        <v>506</v>
      </c>
    </row>
    <row r="93" spans="1:12">
      <c r="A93" s="112">
        <v>88</v>
      </c>
      <c r="B93" s="112" t="s">
        <v>442</v>
      </c>
      <c r="C93" s="112">
        <v>1.28</v>
      </c>
      <c r="D93" s="112">
        <v>8.1300000000000008</v>
      </c>
      <c r="E93" s="112">
        <v>6.34</v>
      </c>
      <c r="F93" s="112">
        <v>0.35375494071146268</v>
      </c>
      <c r="G93" s="139">
        <v>0.35375494071146268</v>
      </c>
      <c r="I93" s="142">
        <v>2.7075098814229253</v>
      </c>
      <c r="K93" s="112" t="s">
        <v>505</v>
      </c>
      <c r="L93" s="112" t="s">
        <v>506</v>
      </c>
    </row>
    <row r="94" spans="1:12">
      <c r="A94" s="112">
        <v>89</v>
      </c>
      <c r="B94" s="112" t="s">
        <v>443</v>
      </c>
      <c r="C94" s="112">
        <v>1.29</v>
      </c>
      <c r="D94" s="112">
        <v>6.42</v>
      </c>
      <c r="E94" s="112">
        <v>5.21</v>
      </c>
      <c r="F94" s="112">
        <v>0.30867346938775508</v>
      </c>
      <c r="G94" s="139">
        <v>0.30867346938775508</v>
      </c>
      <c r="I94" s="142">
        <v>2.6173469387755102</v>
      </c>
      <c r="K94" s="112" t="s">
        <v>505</v>
      </c>
      <c r="L94" s="112" t="s">
        <v>506</v>
      </c>
    </row>
    <row r="95" spans="1:12">
      <c r="A95" s="112">
        <v>90</v>
      </c>
      <c r="B95" s="112" t="s">
        <v>444</v>
      </c>
      <c r="C95" s="112">
        <v>1.27</v>
      </c>
      <c r="D95" s="112">
        <v>8.08</v>
      </c>
      <c r="E95" s="112">
        <v>6.15</v>
      </c>
      <c r="F95" s="112">
        <v>0.39549180327868838</v>
      </c>
      <c r="G95" s="139">
        <v>0.39549180327868838</v>
      </c>
      <c r="I95" s="142">
        <v>2.7909836065573765</v>
      </c>
      <c r="K95" s="112" t="s">
        <v>505</v>
      </c>
      <c r="L95" s="112" t="s">
        <v>506</v>
      </c>
    </row>
    <row r="96" spans="1:12">
      <c r="A96" s="112">
        <v>91</v>
      </c>
      <c r="B96" s="112" t="s">
        <v>445</v>
      </c>
      <c r="C96" s="112">
        <v>1.27</v>
      </c>
      <c r="D96" s="112">
        <v>6.79</v>
      </c>
      <c r="E96" s="112">
        <v>5.51</v>
      </c>
      <c r="F96" s="112">
        <v>0.30188679245283023</v>
      </c>
      <c r="G96" s="139">
        <v>0.30188679245283023</v>
      </c>
      <c r="I96" s="142">
        <v>2.6037735849056602</v>
      </c>
      <c r="K96" s="112" t="s">
        <v>505</v>
      </c>
      <c r="L96" s="112" t="s">
        <v>506</v>
      </c>
    </row>
    <row r="97" spans="1:12">
      <c r="A97" s="112">
        <v>92</v>
      </c>
      <c r="B97" s="112" t="s">
        <v>446</v>
      </c>
      <c r="C97" s="112">
        <v>1.28</v>
      </c>
      <c r="D97" s="112">
        <v>7.32</v>
      </c>
      <c r="E97" s="112">
        <v>5.86</v>
      </c>
      <c r="F97" s="112">
        <v>0.31877729257641918</v>
      </c>
      <c r="G97" s="139">
        <v>0.31877729257641918</v>
      </c>
      <c r="I97" s="142">
        <v>2.6375545851528384</v>
      </c>
      <c r="K97" s="112" t="s">
        <v>505</v>
      </c>
      <c r="L97" s="112" t="s">
        <v>506</v>
      </c>
    </row>
    <row r="98" spans="1:12">
      <c r="A98" s="112">
        <v>93</v>
      </c>
      <c r="B98" s="112" t="s">
        <v>447</v>
      </c>
      <c r="C98" s="112">
        <v>1.27</v>
      </c>
      <c r="D98" s="112">
        <v>6.28</v>
      </c>
      <c r="E98" s="112">
        <v>5.14</v>
      </c>
      <c r="F98" s="112">
        <v>0.2945736434108529</v>
      </c>
      <c r="G98" s="139">
        <v>0.2945736434108529</v>
      </c>
      <c r="I98" s="142">
        <v>2.5891472868217056</v>
      </c>
      <c r="K98" s="112" t="s">
        <v>505</v>
      </c>
      <c r="L98" s="112" t="s">
        <v>506</v>
      </c>
    </row>
    <row r="99" spans="1:12">
      <c r="A99" s="112">
        <v>94</v>
      </c>
      <c r="B99" s="112" t="s">
        <v>448</v>
      </c>
      <c r="C99" s="112">
        <v>1.31</v>
      </c>
      <c r="D99" s="112">
        <v>7.58</v>
      </c>
      <c r="E99" s="112">
        <v>6.09</v>
      </c>
      <c r="F99" s="112">
        <v>0.31171548117154818</v>
      </c>
      <c r="G99" s="139">
        <v>0.31171548117154818</v>
      </c>
      <c r="I99" s="142">
        <v>2.6234309623430963</v>
      </c>
      <c r="K99" s="112" t="s">
        <v>505</v>
      </c>
      <c r="L99" s="112" t="s">
        <v>506</v>
      </c>
    </row>
    <row r="100" spans="1:12">
      <c r="A100" s="112">
        <v>95</v>
      </c>
      <c r="B100" s="112" t="s">
        <v>449</v>
      </c>
      <c r="C100" s="112">
        <v>1.28</v>
      </c>
      <c r="D100" s="112">
        <v>7.22</v>
      </c>
      <c r="E100" s="112">
        <v>5.78</v>
      </c>
      <c r="F100" s="112">
        <v>0.3199999999999999</v>
      </c>
      <c r="G100" s="139">
        <v>0.3199999999999999</v>
      </c>
      <c r="I100" s="142">
        <v>2.6399999999999997</v>
      </c>
      <c r="K100" s="112" t="s">
        <v>505</v>
      </c>
      <c r="L100" s="112" t="s">
        <v>506</v>
      </c>
    </row>
    <row r="101" spans="1:12">
      <c r="A101" s="112">
        <v>96</v>
      </c>
      <c r="B101" s="112" t="s">
        <v>450</v>
      </c>
      <c r="C101" s="112">
        <v>1.28</v>
      </c>
      <c r="D101" s="112">
        <v>6.66</v>
      </c>
      <c r="E101" s="112">
        <v>5.26</v>
      </c>
      <c r="F101" s="112">
        <v>0.35175879396984938</v>
      </c>
      <c r="G101" s="139">
        <v>0.35175879396984938</v>
      </c>
      <c r="I101" s="142">
        <v>2.7035175879396989</v>
      </c>
      <c r="K101" s="112" t="s">
        <v>505</v>
      </c>
      <c r="L101" s="112" t="s">
        <v>506</v>
      </c>
    </row>
    <row r="102" spans="1:12">
      <c r="A102" s="112">
        <v>97</v>
      </c>
      <c r="B102" s="112" t="s">
        <v>451</v>
      </c>
      <c r="C102" s="112">
        <v>1.28</v>
      </c>
      <c r="D102" s="112">
        <v>8.35</v>
      </c>
      <c r="E102" s="112">
        <v>6.59</v>
      </c>
      <c r="F102" s="112">
        <v>0.33145009416195853</v>
      </c>
      <c r="G102" s="139">
        <v>0.33145009416195853</v>
      </c>
      <c r="I102" s="142">
        <v>2.662900188323917</v>
      </c>
      <c r="K102" s="112" t="s">
        <v>505</v>
      </c>
      <c r="L102" s="112" t="s">
        <v>506</v>
      </c>
    </row>
    <row r="103" spans="1:12">
      <c r="A103" s="112">
        <v>98</v>
      </c>
      <c r="B103" s="112" t="s">
        <v>452</v>
      </c>
      <c r="C103" s="112">
        <v>1.27</v>
      </c>
      <c r="D103" s="137">
        <v>6.1</v>
      </c>
      <c r="E103" s="112">
        <v>4.9400000000000004</v>
      </c>
      <c r="F103" s="112">
        <v>0.31607629427792894</v>
      </c>
      <c r="G103" s="139">
        <v>0.31607629427792894</v>
      </c>
      <c r="I103" s="142">
        <v>2.6321525885558579</v>
      </c>
      <c r="K103" s="112" t="s">
        <v>505</v>
      </c>
      <c r="L103" s="112" t="s">
        <v>506</v>
      </c>
    </row>
    <row r="104" spans="1:12">
      <c r="B104" s="112">
        <v>24</v>
      </c>
      <c r="G104" s="139"/>
      <c r="K104" s="112" t="s">
        <v>505</v>
      </c>
      <c r="L104" s="112" t="s">
        <v>506</v>
      </c>
    </row>
    <row r="105" spans="1:12">
      <c r="A105" s="112">
        <v>99</v>
      </c>
      <c r="B105" s="135" t="s">
        <v>453</v>
      </c>
      <c r="C105" s="112">
        <v>1.45</v>
      </c>
      <c r="D105" s="112">
        <v>9.76</v>
      </c>
      <c r="E105" s="112">
        <v>5.48</v>
      </c>
      <c r="F105" s="112">
        <v>1.0620347394540941</v>
      </c>
      <c r="G105" s="139">
        <v>1.0620347394540941</v>
      </c>
      <c r="I105" s="142">
        <v>4.1240694789081882</v>
      </c>
      <c r="K105" s="112" t="s">
        <v>505</v>
      </c>
      <c r="L105" s="112" t="s">
        <v>506</v>
      </c>
    </row>
    <row r="106" spans="1:12">
      <c r="A106" s="112">
        <v>100</v>
      </c>
      <c r="B106" s="135" t="s">
        <v>454</v>
      </c>
      <c r="C106" s="112">
        <v>1.42</v>
      </c>
      <c r="D106" s="112">
        <v>8.93</v>
      </c>
      <c r="E106" s="112">
        <v>8.49</v>
      </c>
      <c r="F106" s="112">
        <v>6.2234794908062163E-2</v>
      </c>
      <c r="G106" s="139">
        <v>6.2234794908062163E-2</v>
      </c>
      <c r="I106" s="142">
        <v>2.1244695898161243</v>
      </c>
      <c r="K106" s="112" t="s">
        <v>505</v>
      </c>
      <c r="L106" s="112" t="s">
        <v>506</v>
      </c>
    </row>
    <row r="107" spans="1:12">
      <c r="A107" s="112">
        <v>101</v>
      </c>
      <c r="B107" s="135" t="s">
        <v>455</v>
      </c>
      <c r="C107" s="112">
        <v>1.46</v>
      </c>
      <c r="D107" s="112">
        <v>9.6300000000000008</v>
      </c>
      <c r="E107" s="112">
        <v>6.49</v>
      </c>
      <c r="F107" s="112">
        <v>0.62425447316103388</v>
      </c>
      <c r="G107" s="139">
        <v>0.62425447316103388</v>
      </c>
      <c r="I107" s="142">
        <v>3.248508946322068</v>
      </c>
      <c r="K107" s="112" t="s">
        <v>505</v>
      </c>
      <c r="L107" s="112" t="s">
        <v>506</v>
      </c>
    </row>
    <row r="108" spans="1:12">
      <c r="G108" s="139"/>
      <c r="I108" s="142"/>
      <c r="K108" s="112" t="s">
        <v>505</v>
      </c>
      <c r="L108" s="112" t="s">
        <v>506</v>
      </c>
    </row>
    <row r="109" spans="1:12">
      <c r="G109" s="139"/>
      <c r="I109" s="142"/>
      <c r="K109" s="112" t="s">
        <v>505</v>
      </c>
      <c r="L109" s="112" t="s">
        <v>506</v>
      </c>
    </row>
    <row r="110" spans="1:12">
      <c r="A110" s="112">
        <v>102</v>
      </c>
      <c r="B110" s="136" t="s">
        <v>456</v>
      </c>
      <c r="C110" s="112">
        <v>1.29</v>
      </c>
      <c r="D110" s="112">
        <v>12.93</v>
      </c>
      <c r="E110" s="112">
        <v>10.72</v>
      </c>
      <c r="F110" s="112">
        <v>0.23435843054082706</v>
      </c>
      <c r="G110" s="139">
        <v>0.23435843054082706</v>
      </c>
      <c r="I110" s="142">
        <v>2.4687168610816541</v>
      </c>
      <c r="K110" s="112" t="s">
        <v>505</v>
      </c>
      <c r="L110" s="112" t="s">
        <v>506</v>
      </c>
    </row>
    <row r="111" spans="1:12">
      <c r="A111" s="112">
        <v>103</v>
      </c>
      <c r="B111" s="136" t="s">
        <v>457</v>
      </c>
      <c r="C111" s="112">
        <v>1.46</v>
      </c>
      <c r="D111" s="112">
        <v>11.95</v>
      </c>
      <c r="E111" s="112">
        <v>9.64</v>
      </c>
      <c r="F111" s="112">
        <v>0.28239608801955973</v>
      </c>
      <c r="G111" s="139">
        <v>0.28239608801955973</v>
      </c>
      <c r="I111" s="142">
        <v>2.5647921760391195</v>
      </c>
      <c r="K111" s="112" t="s">
        <v>505</v>
      </c>
      <c r="L111" s="112" t="s">
        <v>506</v>
      </c>
    </row>
    <row r="112" spans="1:12">
      <c r="A112" s="112">
        <v>104</v>
      </c>
      <c r="B112" s="136" t="s">
        <v>458</v>
      </c>
      <c r="C112" s="112">
        <v>1.25</v>
      </c>
      <c r="D112" s="112">
        <v>9.61</v>
      </c>
      <c r="E112" s="112">
        <v>7.8</v>
      </c>
      <c r="F112" s="112">
        <v>0.27633587786259539</v>
      </c>
      <c r="G112" s="139">
        <v>0.27633587786259539</v>
      </c>
      <c r="I112" s="142">
        <v>2.552671755725191</v>
      </c>
      <c r="K112" s="112" t="s">
        <v>505</v>
      </c>
      <c r="L112" s="112" t="s">
        <v>506</v>
      </c>
    </row>
    <row r="113" spans="1:12">
      <c r="A113" s="112">
        <v>105</v>
      </c>
      <c r="B113" s="136" t="s">
        <v>459</v>
      </c>
      <c r="C113" s="112">
        <v>1.25</v>
      </c>
      <c r="D113" s="112">
        <v>15.66</v>
      </c>
      <c r="E113" s="112">
        <v>12.46</v>
      </c>
      <c r="F113" s="112">
        <v>0.28545941123996421</v>
      </c>
      <c r="G113" s="139">
        <v>0.28545941123996421</v>
      </c>
      <c r="I113" s="142">
        <v>2.5709188224799284</v>
      </c>
      <c r="K113" s="112" t="s">
        <v>505</v>
      </c>
      <c r="L113" s="112" t="s">
        <v>506</v>
      </c>
    </row>
    <row r="114" spans="1:12">
      <c r="A114" s="112">
        <v>106</v>
      </c>
      <c r="B114" s="136" t="s">
        <v>460</v>
      </c>
      <c r="C114" s="112">
        <v>1.47</v>
      </c>
      <c r="D114" s="112">
        <v>13.04</v>
      </c>
      <c r="E114" s="112">
        <v>10.4</v>
      </c>
      <c r="F114" s="112">
        <v>0.29563269876819698</v>
      </c>
      <c r="G114" s="139">
        <v>0.29563269876819698</v>
      </c>
      <c r="I114" s="142">
        <v>2.591265397536394</v>
      </c>
      <c r="K114" s="112" t="s">
        <v>505</v>
      </c>
      <c r="L114" s="112" t="s">
        <v>506</v>
      </c>
    </row>
    <row r="115" spans="1:12">
      <c r="A115" s="112">
        <v>107</v>
      </c>
      <c r="B115" s="136" t="s">
        <v>461</v>
      </c>
      <c r="C115" s="112">
        <v>1.28</v>
      </c>
      <c r="D115" s="112">
        <v>13.45</v>
      </c>
      <c r="E115" s="112">
        <v>10.59</v>
      </c>
      <c r="F115" s="112">
        <v>0.30719656283566049</v>
      </c>
      <c r="G115" s="139">
        <v>0.30719656283566049</v>
      </c>
      <c r="I115" s="142">
        <v>2.6143931256713211</v>
      </c>
      <c r="K115" s="112" t="s">
        <v>505</v>
      </c>
      <c r="L115" s="112" t="s">
        <v>506</v>
      </c>
    </row>
    <row r="116" spans="1:12">
      <c r="A116" s="112">
        <v>108</v>
      </c>
      <c r="B116" s="136" t="s">
        <v>462</v>
      </c>
      <c r="C116" s="112">
        <v>1.29</v>
      </c>
      <c r="D116" s="112">
        <v>11.02</v>
      </c>
      <c r="E116" s="112">
        <v>9.06</v>
      </c>
      <c r="F116" s="112">
        <v>0.25225225225225212</v>
      </c>
      <c r="G116" s="139">
        <v>0.25225225225225212</v>
      </c>
      <c r="I116" s="142">
        <v>2.5045045045045042</v>
      </c>
      <c r="K116" s="112" t="s">
        <v>505</v>
      </c>
      <c r="L116" s="112" t="s">
        <v>506</v>
      </c>
    </row>
    <row r="117" spans="1:12">
      <c r="A117" s="112">
        <v>109</v>
      </c>
      <c r="B117" s="136" t="s">
        <v>463</v>
      </c>
      <c r="C117" s="112">
        <v>1.29</v>
      </c>
      <c r="D117" s="112">
        <v>14.65</v>
      </c>
      <c r="E117" s="112">
        <v>11.95</v>
      </c>
      <c r="F117" s="112">
        <v>0.25328330206378996</v>
      </c>
      <c r="G117" s="139">
        <v>0.25328330206378996</v>
      </c>
      <c r="I117" s="142">
        <v>2.5065666041275798</v>
      </c>
      <c r="K117" s="112" t="s">
        <v>505</v>
      </c>
      <c r="L117" s="112" t="s">
        <v>506</v>
      </c>
    </row>
    <row r="118" spans="1:12">
      <c r="A118" s="112">
        <v>110</v>
      </c>
      <c r="B118" s="136" t="s">
        <v>464</v>
      </c>
      <c r="C118" s="112">
        <v>1.27</v>
      </c>
      <c r="D118" s="112">
        <v>12.69</v>
      </c>
      <c r="E118" s="112">
        <v>10.73</v>
      </c>
      <c r="F118" s="112">
        <v>0.20718816067653265</v>
      </c>
      <c r="G118" s="139">
        <v>0.20718816067653265</v>
      </c>
      <c r="I118" s="142">
        <v>2.4143763213530653</v>
      </c>
      <c r="K118" s="112" t="s">
        <v>505</v>
      </c>
      <c r="L118" s="112" t="s">
        <v>506</v>
      </c>
    </row>
    <row r="119" spans="1:12">
      <c r="A119" s="112">
        <v>111</v>
      </c>
      <c r="B119" s="136" t="s">
        <v>465</v>
      </c>
      <c r="C119" s="112">
        <v>1.28</v>
      </c>
      <c r="D119" s="112">
        <v>14.33</v>
      </c>
      <c r="E119" s="112">
        <v>11.98</v>
      </c>
      <c r="F119" s="112">
        <v>0.21962616822429901</v>
      </c>
      <c r="G119" s="139">
        <v>0.21962616822429901</v>
      </c>
      <c r="I119" s="142">
        <v>2.4392523364485981</v>
      </c>
      <c r="K119" s="112" t="s">
        <v>505</v>
      </c>
      <c r="L119" s="112" t="s">
        <v>506</v>
      </c>
    </row>
    <row r="120" spans="1:12">
      <c r="A120" s="112">
        <v>112</v>
      </c>
      <c r="B120" s="136" t="s">
        <v>466</v>
      </c>
      <c r="C120" s="112">
        <v>1.29</v>
      </c>
      <c r="D120" s="112">
        <v>11.65</v>
      </c>
      <c r="E120" s="112">
        <v>9.31</v>
      </c>
      <c r="F120" s="112">
        <v>0.29177057356608477</v>
      </c>
      <c r="G120" s="139">
        <v>0.29177057356608477</v>
      </c>
      <c r="I120" s="142">
        <v>2.5835411471321694</v>
      </c>
      <c r="K120" s="112" t="s">
        <v>505</v>
      </c>
      <c r="L120" s="112" t="s">
        <v>506</v>
      </c>
    </row>
    <row r="121" spans="1:12">
      <c r="A121" s="112">
        <v>113</v>
      </c>
      <c r="B121" s="136" t="s">
        <v>467</v>
      </c>
      <c r="C121" s="112">
        <v>1.29</v>
      </c>
      <c r="D121" s="112">
        <v>9.9700000000000006</v>
      </c>
      <c r="E121" s="112">
        <v>8.2200000000000006</v>
      </c>
      <c r="F121" s="112">
        <v>0.25252525252525249</v>
      </c>
      <c r="G121" s="139">
        <v>0.25252525252525249</v>
      </c>
      <c r="I121" s="142">
        <v>2.5050505050505052</v>
      </c>
      <c r="K121" s="112" t="s">
        <v>505</v>
      </c>
      <c r="L121" s="112" t="s">
        <v>506</v>
      </c>
    </row>
    <row r="122" spans="1:12">
      <c r="A122" s="112">
        <v>114</v>
      </c>
      <c r="B122" s="136" t="s">
        <v>468</v>
      </c>
      <c r="C122" s="112">
        <v>1.27</v>
      </c>
      <c r="D122" s="112">
        <v>13.21</v>
      </c>
      <c r="E122" s="112">
        <v>10.58</v>
      </c>
      <c r="F122" s="112">
        <v>0.28249194414607953</v>
      </c>
      <c r="G122" s="139">
        <v>0.28249194414607953</v>
      </c>
      <c r="I122" s="142">
        <v>2.5649838882921592</v>
      </c>
      <c r="K122" s="112" t="s">
        <v>505</v>
      </c>
      <c r="L122" s="112" t="s">
        <v>506</v>
      </c>
    </row>
    <row r="123" spans="1:12">
      <c r="A123" s="112">
        <v>115</v>
      </c>
      <c r="B123" s="136" t="s">
        <v>469</v>
      </c>
      <c r="C123" s="112">
        <v>1.29</v>
      </c>
      <c r="D123" s="112">
        <v>11.87</v>
      </c>
      <c r="E123" s="112">
        <v>9.2899999999999991</v>
      </c>
      <c r="F123" s="112">
        <v>0.32250000000000006</v>
      </c>
      <c r="G123" s="139">
        <v>0.32250000000000006</v>
      </c>
      <c r="I123" s="142">
        <v>2.645</v>
      </c>
      <c r="K123" s="112" t="s">
        <v>505</v>
      </c>
      <c r="L123" s="112" t="s">
        <v>506</v>
      </c>
    </row>
    <row r="124" spans="1:12">
      <c r="A124" s="112">
        <v>116</v>
      </c>
      <c r="B124" s="136" t="s">
        <v>470</v>
      </c>
      <c r="C124" s="112">
        <v>1.29</v>
      </c>
      <c r="D124" s="112">
        <v>13.99</v>
      </c>
      <c r="E124" s="112">
        <v>11.24</v>
      </c>
      <c r="F124" s="112">
        <v>0.27638190954773872</v>
      </c>
      <c r="G124" s="139">
        <v>0.27638190954773872</v>
      </c>
      <c r="I124" s="142">
        <v>2.5527638190954773</v>
      </c>
      <c r="K124" s="112" t="s">
        <v>505</v>
      </c>
      <c r="L124" s="112" t="s">
        <v>506</v>
      </c>
    </row>
    <row r="125" spans="1:12">
      <c r="A125" s="112">
        <v>117</v>
      </c>
      <c r="B125" s="136" t="s">
        <v>471</v>
      </c>
      <c r="C125" s="112">
        <v>1.31</v>
      </c>
      <c r="D125" s="137">
        <v>13</v>
      </c>
      <c r="E125" s="112">
        <v>10.33</v>
      </c>
      <c r="F125" s="112">
        <v>0.2960088691796009</v>
      </c>
      <c r="G125" s="139">
        <v>0.2960088691796009</v>
      </c>
      <c r="I125" s="142">
        <v>2.5920177383592016</v>
      </c>
      <c r="K125" s="112" t="s">
        <v>505</v>
      </c>
      <c r="L125" s="112" t="s">
        <v>506</v>
      </c>
    </row>
    <row r="126" spans="1:12">
      <c r="B126" s="136"/>
      <c r="G126" s="139"/>
      <c r="I126" s="142"/>
    </row>
    <row r="127" spans="1:12">
      <c r="A127" s="112">
        <v>119</v>
      </c>
      <c r="B127" s="136" t="s">
        <v>472</v>
      </c>
      <c r="C127" s="112">
        <v>1.26</v>
      </c>
      <c r="D127" s="112">
        <v>17.829999999999998</v>
      </c>
      <c r="E127" s="112">
        <v>13.3</v>
      </c>
      <c r="F127" s="112">
        <v>0.37624584717607951</v>
      </c>
      <c r="G127" s="139">
        <v>0.37624584717607951</v>
      </c>
      <c r="I127" s="142">
        <v>2.7524916943521589</v>
      </c>
      <c r="K127" s="112" t="s">
        <v>505</v>
      </c>
      <c r="L127" s="112" t="s">
        <v>506</v>
      </c>
    </row>
    <row r="128" spans="1:12">
      <c r="A128" s="112">
        <v>120</v>
      </c>
      <c r="B128" s="136" t="s">
        <v>473</v>
      </c>
      <c r="C128" s="112">
        <v>1.27</v>
      </c>
      <c r="D128" s="112">
        <v>9.2100000000000009</v>
      </c>
      <c r="E128" s="112">
        <v>7.18</v>
      </c>
      <c r="F128" s="112">
        <v>0.3434856175972929</v>
      </c>
      <c r="G128" s="139">
        <v>0.3434856175972929</v>
      </c>
      <c r="I128" s="142">
        <v>2.6869712351945858</v>
      </c>
      <c r="K128" s="112" t="s">
        <v>505</v>
      </c>
      <c r="L128" s="112" t="s">
        <v>506</v>
      </c>
    </row>
    <row r="129" spans="1:12">
      <c r="A129" s="112">
        <v>121</v>
      </c>
      <c r="B129" s="136" t="s">
        <v>474</v>
      </c>
      <c r="C129" s="112">
        <v>1.3</v>
      </c>
      <c r="D129" s="112">
        <v>12.78</v>
      </c>
      <c r="E129" s="112">
        <v>10.029999999999999</v>
      </c>
      <c r="F129" s="112">
        <v>0.31500572737686144</v>
      </c>
      <c r="G129" s="139">
        <v>0.31500572737686144</v>
      </c>
      <c r="I129" s="142">
        <v>2.6300114547537228</v>
      </c>
      <c r="K129" s="112" t="s">
        <v>505</v>
      </c>
      <c r="L129" s="112" t="s">
        <v>506</v>
      </c>
    </row>
    <row r="130" spans="1:12">
      <c r="G130" s="139"/>
      <c r="I130" s="142"/>
      <c r="K130" s="112" t="s">
        <v>505</v>
      </c>
      <c r="L130" s="112" t="s">
        <v>506</v>
      </c>
    </row>
    <row r="131" spans="1:12">
      <c r="A131" s="112">
        <v>122</v>
      </c>
      <c r="B131" s="136" t="s">
        <v>475</v>
      </c>
      <c r="C131" s="138">
        <v>1.45</v>
      </c>
      <c r="D131" s="138">
        <v>9.27</v>
      </c>
      <c r="E131" s="112">
        <v>7.4</v>
      </c>
      <c r="F131" s="112">
        <v>0.31428571428571417</v>
      </c>
      <c r="G131" s="139">
        <v>0.31428571428571417</v>
      </c>
      <c r="I131" s="142">
        <v>2.6285714285714281</v>
      </c>
      <c r="K131" s="112" t="s">
        <v>505</v>
      </c>
      <c r="L131" s="112" t="s">
        <v>506</v>
      </c>
    </row>
    <row r="132" spans="1:12">
      <c r="A132" s="112">
        <v>123</v>
      </c>
      <c r="B132" s="136" t="s">
        <v>476</v>
      </c>
      <c r="C132" s="112">
        <v>1.45</v>
      </c>
      <c r="D132" s="112">
        <v>9.61</v>
      </c>
      <c r="E132" s="112">
        <v>7.77</v>
      </c>
      <c r="F132" s="112">
        <v>0.29113924050632911</v>
      </c>
      <c r="G132" s="139">
        <v>0.29113924050632911</v>
      </c>
      <c r="I132" s="142">
        <v>2.5822784810126582</v>
      </c>
      <c r="K132" s="112" t="s">
        <v>505</v>
      </c>
      <c r="L132" s="112" t="s">
        <v>506</v>
      </c>
    </row>
    <row r="133" spans="1:12">
      <c r="A133" s="112">
        <v>124</v>
      </c>
      <c r="B133" s="136" t="s">
        <v>477</v>
      </c>
      <c r="C133" s="112">
        <v>1.45</v>
      </c>
      <c r="D133" s="112">
        <v>13.67</v>
      </c>
      <c r="E133" s="112">
        <v>10.88</v>
      </c>
      <c r="F133" s="112">
        <v>0.29586426299045587</v>
      </c>
      <c r="G133" s="139">
        <v>0.29586426299045587</v>
      </c>
      <c r="I133" s="142">
        <v>2.591728525980912</v>
      </c>
      <c r="K133" s="112" t="s">
        <v>505</v>
      </c>
      <c r="L133" s="112" t="s">
        <v>506</v>
      </c>
    </row>
    <row r="134" spans="1:12">
      <c r="A134" s="112">
        <v>125</v>
      </c>
      <c r="B134" s="136" t="s">
        <v>478</v>
      </c>
      <c r="C134" s="112">
        <v>1.47</v>
      </c>
      <c r="D134" s="112">
        <v>9.1</v>
      </c>
      <c r="E134" s="112">
        <v>7.34</v>
      </c>
      <c r="F134" s="112">
        <v>0.29982964224872227</v>
      </c>
      <c r="G134" s="139">
        <v>0.29982964224872227</v>
      </c>
      <c r="I134" s="142">
        <v>2.5996592844974447</v>
      </c>
      <c r="K134" s="112" t="s">
        <v>505</v>
      </c>
      <c r="L134" s="112" t="s">
        <v>506</v>
      </c>
    </row>
    <row r="135" spans="1:12">
      <c r="A135" s="112">
        <v>126</v>
      </c>
      <c r="B135" s="136" t="s">
        <v>479</v>
      </c>
      <c r="C135" s="138">
        <v>1.44</v>
      </c>
      <c r="D135" s="138">
        <v>7.69</v>
      </c>
      <c r="E135" s="112">
        <v>6.25</v>
      </c>
      <c r="F135" s="112">
        <v>0.29937629937629945</v>
      </c>
      <c r="G135" s="139">
        <v>0.29937629937629945</v>
      </c>
      <c r="I135" s="142">
        <v>2.5987525987525988</v>
      </c>
      <c r="K135" s="112" t="s">
        <v>505</v>
      </c>
      <c r="L135" s="112" t="s">
        <v>506</v>
      </c>
    </row>
    <row r="136" spans="1:12">
      <c r="A136" s="112">
        <v>127</v>
      </c>
      <c r="B136" s="136" t="s">
        <v>480</v>
      </c>
      <c r="C136" s="112">
        <v>1.47</v>
      </c>
      <c r="D136" s="112">
        <v>9.41</v>
      </c>
      <c r="E136" s="137">
        <v>7.7</v>
      </c>
      <c r="F136" s="112">
        <v>0.2744783306581059</v>
      </c>
      <c r="G136" s="139">
        <v>0.2744783306581059</v>
      </c>
      <c r="I136" s="142">
        <v>2.548956661316212</v>
      </c>
      <c r="K136" s="112" t="s">
        <v>505</v>
      </c>
      <c r="L136" s="112" t="s">
        <v>506</v>
      </c>
    </row>
    <row r="137" spans="1:12">
      <c r="A137" s="112">
        <v>128</v>
      </c>
      <c r="B137" s="136" t="s">
        <v>481</v>
      </c>
      <c r="C137" s="112">
        <v>1.45</v>
      </c>
      <c r="D137" s="112">
        <v>6.91</v>
      </c>
      <c r="E137" s="112">
        <v>5.55</v>
      </c>
      <c r="F137" s="112">
        <v>0.33170731707317086</v>
      </c>
      <c r="G137" s="139">
        <v>0.33170731707317086</v>
      </c>
      <c r="I137" s="142">
        <v>2.6634146341463416</v>
      </c>
      <c r="K137" s="112" t="s">
        <v>505</v>
      </c>
      <c r="L137" s="112" t="s">
        <v>506</v>
      </c>
    </row>
    <row r="138" spans="1:12">
      <c r="A138" s="112">
        <v>129</v>
      </c>
      <c r="B138" s="136" t="s">
        <v>482</v>
      </c>
      <c r="C138" s="112">
        <v>1.46</v>
      </c>
      <c r="D138" s="112">
        <v>7.43</v>
      </c>
      <c r="E138" s="112">
        <v>6.06</v>
      </c>
      <c r="F138" s="112">
        <v>0.2978260869565218</v>
      </c>
      <c r="G138" s="139">
        <v>0.2978260869565218</v>
      </c>
      <c r="I138" s="142">
        <v>2.5956521739130434</v>
      </c>
      <c r="K138" s="112" t="s">
        <v>505</v>
      </c>
      <c r="L138" s="112" t="s">
        <v>506</v>
      </c>
    </row>
    <row r="139" spans="1:12">
      <c r="A139" s="112">
        <v>130</v>
      </c>
      <c r="B139" s="135" t="s">
        <v>483</v>
      </c>
      <c r="C139" s="112">
        <v>1.5</v>
      </c>
      <c r="D139" s="112">
        <v>10.87</v>
      </c>
      <c r="E139" s="137">
        <v>8.6999999999999993</v>
      </c>
      <c r="F139" s="112">
        <v>0.30138888888888893</v>
      </c>
      <c r="G139" s="139">
        <v>0.30138888888888893</v>
      </c>
      <c r="I139" s="142">
        <v>2.6027777777777779</v>
      </c>
      <c r="K139" s="112" t="s">
        <v>505</v>
      </c>
      <c r="L139" s="112" t="s">
        <v>506</v>
      </c>
    </row>
    <row r="140" spans="1:12">
      <c r="A140" s="112">
        <v>131</v>
      </c>
      <c r="B140" s="136" t="s">
        <v>484</v>
      </c>
      <c r="C140" s="138">
        <v>1.48</v>
      </c>
      <c r="D140" s="138">
        <v>14.57</v>
      </c>
      <c r="E140" s="112">
        <v>11.65</v>
      </c>
      <c r="F140" s="112">
        <v>0.28711897738446412</v>
      </c>
      <c r="G140" s="139">
        <v>0.28711897738446412</v>
      </c>
      <c r="I140" s="142">
        <v>2.574237954768928</v>
      </c>
      <c r="K140" s="112" t="s">
        <v>505</v>
      </c>
      <c r="L140" s="112" t="s">
        <v>506</v>
      </c>
    </row>
    <row r="141" spans="1:12">
      <c r="A141" s="112">
        <v>132</v>
      </c>
      <c r="B141" s="136" t="s">
        <v>485</v>
      </c>
      <c r="C141" s="138">
        <v>1.44</v>
      </c>
      <c r="D141" s="138">
        <v>9.65</v>
      </c>
      <c r="E141" s="112">
        <v>7.45</v>
      </c>
      <c r="F141" s="112">
        <v>0.36605657237936778</v>
      </c>
      <c r="G141" s="139">
        <v>0.36605657237936778</v>
      </c>
      <c r="I141" s="142">
        <v>2.7321131447587357</v>
      </c>
      <c r="K141" s="112" t="s">
        <v>505</v>
      </c>
      <c r="L141" s="112" t="s">
        <v>506</v>
      </c>
    </row>
    <row r="142" spans="1:12">
      <c r="A142" s="112">
        <v>133</v>
      </c>
      <c r="B142" s="136" t="s">
        <v>486</v>
      </c>
      <c r="C142" s="138">
        <v>1.47</v>
      </c>
      <c r="D142" s="138">
        <v>7.7</v>
      </c>
      <c r="E142" s="112">
        <v>6.51</v>
      </c>
      <c r="F142" s="112">
        <v>0.23611111111111119</v>
      </c>
      <c r="G142" s="139">
        <v>0.23611111111111119</v>
      </c>
      <c r="I142" s="142">
        <v>2.4722222222222223</v>
      </c>
      <c r="K142" s="112" t="s">
        <v>505</v>
      </c>
      <c r="L142" s="112" t="s">
        <v>506</v>
      </c>
    </row>
    <row r="143" spans="1:12">
      <c r="G143" s="139"/>
      <c r="I143" s="142"/>
      <c r="K143" s="112" t="s">
        <v>505</v>
      </c>
      <c r="L143" s="112" t="s">
        <v>506</v>
      </c>
    </row>
    <row r="144" spans="1:12">
      <c r="A144" s="112">
        <v>134</v>
      </c>
      <c r="B144" s="136" t="s">
        <v>487</v>
      </c>
      <c r="C144" s="112">
        <v>1.29</v>
      </c>
      <c r="D144" s="112">
        <v>13.18</v>
      </c>
      <c r="E144" s="112">
        <v>11.47</v>
      </c>
      <c r="F144" s="112">
        <v>0.16797642436149304</v>
      </c>
      <c r="G144" s="139">
        <v>0.16797642436149304</v>
      </c>
      <c r="I144" s="142">
        <v>2.3359528487229859</v>
      </c>
      <c r="K144" s="112" t="s">
        <v>505</v>
      </c>
      <c r="L144" s="112" t="s">
        <v>506</v>
      </c>
    </row>
    <row r="145" spans="1:12">
      <c r="A145" s="112">
        <v>135</v>
      </c>
      <c r="B145" s="136" t="s">
        <v>488</v>
      </c>
      <c r="C145" s="112">
        <v>1.28</v>
      </c>
      <c r="D145" s="112">
        <v>12.44</v>
      </c>
      <c r="E145" s="112">
        <v>10.75</v>
      </c>
      <c r="F145" s="112">
        <v>0.17845828933474123</v>
      </c>
      <c r="G145" s="139">
        <v>0.17845828933474123</v>
      </c>
      <c r="I145" s="142">
        <v>2.3569165786694826</v>
      </c>
      <c r="K145" s="112" t="s">
        <v>505</v>
      </c>
      <c r="L145" s="112" t="s">
        <v>506</v>
      </c>
    </row>
    <row r="146" spans="1:12">
      <c r="A146" s="112">
        <v>136</v>
      </c>
      <c r="B146" s="136" t="s">
        <v>489</v>
      </c>
      <c r="C146" s="112">
        <v>1.29</v>
      </c>
      <c r="D146" s="112">
        <v>10.71</v>
      </c>
      <c r="E146" s="112">
        <v>9.32</v>
      </c>
      <c r="F146" s="112">
        <v>0.17310087173100877</v>
      </c>
      <c r="G146" s="139">
        <v>0.17310087173100877</v>
      </c>
      <c r="I146" s="142">
        <v>2.3462017434620175</v>
      </c>
      <c r="K146" s="112" t="s">
        <v>505</v>
      </c>
      <c r="L146" s="112" t="s">
        <v>506</v>
      </c>
    </row>
    <row r="147" spans="1:12">
      <c r="A147" s="112">
        <v>137</v>
      </c>
      <c r="B147" s="136" t="s">
        <v>490</v>
      </c>
      <c r="C147" s="112">
        <v>1.47</v>
      </c>
      <c r="D147" s="112">
        <v>5.49</v>
      </c>
      <c r="E147" s="112">
        <v>5.12</v>
      </c>
      <c r="F147" s="112">
        <v>0.10136986301369864</v>
      </c>
      <c r="G147" s="139">
        <v>0.10136986301369864</v>
      </c>
      <c r="I147" s="142">
        <v>2.2027397260273971</v>
      </c>
      <c r="K147" s="112" t="s">
        <v>505</v>
      </c>
      <c r="L147" s="112" t="s">
        <v>506</v>
      </c>
    </row>
    <row r="148" spans="1:12">
      <c r="A148" s="112">
        <v>138</v>
      </c>
      <c r="B148" s="136" t="s">
        <v>491</v>
      </c>
      <c r="C148" s="112">
        <v>1.27</v>
      </c>
      <c r="D148" s="112">
        <v>11.28</v>
      </c>
      <c r="E148" s="112">
        <v>9.8699999999999992</v>
      </c>
      <c r="F148" s="112">
        <v>0.16395348837209306</v>
      </c>
      <c r="G148" s="139">
        <v>0.16395348837209306</v>
      </c>
      <c r="I148" s="142">
        <v>2.327906976744186</v>
      </c>
      <c r="K148" s="112" t="s">
        <v>505</v>
      </c>
      <c r="L148" s="112" t="s">
        <v>506</v>
      </c>
    </row>
    <row r="149" spans="1:12">
      <c r="A149" s="112">
        <v>139</v>
      </c>
      <c r="B149" s="136" t="s">
        <v>492</v>
      </c>
      <c r="C149" s="112">
        <v>1.28</v>
      </c>
      <c r="D149" s="112">
        <v>12.48</v>
      </c>
      <c r="E149" s="112">
        <v>10.66</v>
      </c>
      <c r="F149" s="112">
        <v>0.19402985074626866</v>
      </c>
      <c r="G149" s="139">
        <v>0.19402985074626866</v>
      </c>
      <c r="I149" s="142">
        <v>2.3880597014925371</v>
      </c>
      <c r="K149" s="112" t="s">
        <v>505</v>
      </c>
      <c r="L149" s="112" t="s">
        <v>506</v>
      </c>
    </row>
    <row r="150" spans="1:12">
      <c r="A150" s="112">
        <v>140</v>
      </c>
      <c r="B150" s="136" t="s">
        <v>493</v>
      </c>
      <c r="C150" s="112">
        <v>1.28</v>
      </c>
      <c r="D150" s="112">
        <v>10.65</v>
      </c>
      <c r="E150" s="112">
        <v>9.2799999999999994</v>
      </c>
      <c r="F150" s="112">
        <v>0.17125000000000015</v>
      </c>
      <c r="G150" s="139">
        <v>0.17125000000000015</v>
      </c>
      <c r="I150" s="142">
        <v>2.3425000000000002</v>
      </c>
      <c r="K150" s="112" t="s">
        <v>505</v>
      </c>
      <c r="L150" s="112" t="s">
        <v>506</v>
      </c>
    </row>
    <row r="151" spans="1:12">
      <c r="A151" s="112">
        <v>141</v>
      </c>
      <c r="B151" s="136" t="s">
        <v>494</v>
      </c>
      <c r="C151" s="112">
        <v>1.46</v>
      </c>
      <c r="D151" s="137">
        <v>9.9</v>
      </c>
      <c r="E151" s="112">
        <v>8.41</v>
      </c>
      <c r="F151" s="112">
        <v>0.21438848920863313</v>
      </c>
      <c r="G151" s="139">
        <v>0.21438848920863313</v>
      </c>
      <c r="I151" s="142">
        <v>2.4287769784172664</v>
      </c>
      <c r="K151" s="112" t="s">
        <v>505</v>
      </c>
      <c r="L151" s="112" t="s">
        <v>506</v>
      </c>
    </row>
    <row r="152" spans="1:12">
      <c r="A152" s="112">
        <v>142</v>
      </c>
      <c r="B152" s="136" t="s">
        <v>495</v>
      </c>
      <c r="C152" s="112">
        <v>1.29</v>
      </c>
      <c r="D152" s="112">
        <v>9.65</v>
      </c>
      <c r="E152" s="112">
        <v>8.4600000000000009</v>
      </c>
      <c r="F152" s="112">
        <v>0.16596931659693157</v>
      </c>
      <c r="G152" s="139">
        <v>0.16596931659693157</v>
      </c>
      <c r="I152" s="142">
        <v>2.3319386331938632</v>
      </c>
      <c r="K152" s="112" t="s">
        <v>505</v>
      </c>
      <c r="L152" s="112" t="s">
        <v>506</v>
      </c>
    </row>
    <row r="153" spans="1:12">
      <c r="A153" s="112">
        <v>143</v>
      </c>
      <c r="B153" s="136" t="s">
        <v>496</v>
      </c>
      <c r="C153" s="112">
        <v>1.29</v>
      </c>
      <c r="D153" s="112">
        <v>10.82</v>
      </c>
      <c r="E153" s="112">
        <v>9.41</v>
      </c>
      <c r="F153" s="112">
        <v>0.17364532019704434</v>
      </c>
      <c r="G153" s="139">
        <v>0.17364532019704434</v>
      </c>
      <c r="I153" s="142">
        <v>2.3472906403940885</v>
      </c>
      <c r="K153" s="112" t="s">
        <v>505</v>
      </c>
      <c r="L153" s="112" t="s">
        <v>506</v>
      </c>
    </row>
    <row r="154" spans="1:12">
      <c r="A154" s="112">
        <v>144</v>
      </c>
      <c r="B154" s="136" t="s">
        <v>497</v>
      </c>
      <c r="C154" s="137">
        <v>1.3</v>
      </c>
      <c r="D154" s="112">
        <v>11.02</v>
      </c>
      <c r="E154" s="112">
        <v>9.61</v>
      </c>
      <c r="F154" s="112">
        <v>0.16967509025270763</v>
      </c>
      <c r="G154" s="139">
        <v>0.16967509025270763</v>
      </c>
      <c r="I154" s="142">
        <v>2.3393501805054151</v>
      </c>
      <c r="K154" s="112" t="s">
        <v>505</v>
      </c>
      <c r="L154" s="112" t="s">
        <v>506</v>
      </c>
    </row>
    <row r="155" spans="1:12">
      <c r="A155" s="112">
        <v>145</v>
      </c>
      <c r="B155" s="136" t="s">
        <v>498</v>
      </c>
      <c r="C155" s="112">
        <v>1.28</v>
      </c>
      <c r="D155" s="112">
        <v>12.73</v>
      </c>
      <c r="E155" s="112">
        <v>10.25</v>
      </c>
      <c r="F155" s="112">
        <v>0.27647714604236345</v>
      </c>
      <c r="G155" s="139">
        <v>0.27647714604236345</v>
      </c>
      <c r="I155" s="142">
        <v>2.5529542920847268</v>
      </c>
      <c r="K155" s="112" t="s">
        <v>505</v>
      </c>
      <c r="L155" s="112" t="s">
        <v>506</v>
      </c>
    </row>
    <row r="156" spans="1:12">
      <c r="A156" s="112">
        <v>146</v>
      </c>
      <c r="B156" s="136" t="s">
        <v>499</v>
      </c>
      <c r="C156" s="112">
        <v>1.47</v>
      </c>
      <c r="D156" s="112">
        <v>9.93</v>
      </c>
      <c r="E156" s="112">
        <v>8.2799999999999994</v>
      </c>
      <c r="F156" s="112">
        <v>0.24229074889867849</v>
      </c>
      <c r="G156" s="139">
        <v>0.24229074889867849</v>
      </c>
      <c r="I156" s="142">
        <v>2.484581497797357</v>
      </c>
      <c r="K156" s="112" t="s">
        <v>505</v>
      </c>
      <c r="L156" s="112" t="s">
        <v>506</v>
      </c>
    </row>
    <row r="157" spans="1:12">
      <c r="A157" s="112">
        <v>147</v>
      </c>
      <c r="B157" s="136" t="s">
        <v>500</v>
      </c>
      <c r="C157" s="112">
        <v>1.45</v>
      </c>
      <c r="D157" s="112">
        <v>10.79</v>
      </c>
      <c r="E157" s="137">
        <v>9.1</v>
      </c>
      <c r="F157" s="112">
        <v>0.2209150326797385</v>
      </c>
      <c r="G157" s="139">
        <v>0.2209150326797385</v>
      </c>
      <c r="I157" s="142">
        <v>2.4418300653594769</v>
      </c>
      <c r="K157" s="112" t="s">
        <v>505</v>
      </c>
      <c r="L157" s="112" t="s">
        <v>506</v>
      </c>
    </row>
    <row r="158" spans="1:12">
      <c r="A158" s="112">
        <v>148</v>
      </c>
      <c r="B158" s="136" t="s">
        <v>501</v>
      </c>
      <c r="C158" s="112">
        <v>1.46</v>
      </c>
      <c r="D158" s="112">
        <v>8.1300000000000008</v>
      </c>
      <c r="E158" s="112">
        <v>6.91</v>
      </c>
      <c r="F158" s="112">
        <v>0.22385321100917444</v>
      </c>
      <c r="G158" s="139">
        <v>0.22385321100917444</v>
      </c>
      <c r="I158" s="142">
        <v>2.4477064220183489</v>
      </c>
      <c r="K158" s="112" t="s">
        <v>505</v>
      </c>
      <c r="L158" s="112" t="s">
        <v>506</v>
      </c>
    </row>
    <row r="159" spans="1:12">
      <c r="A159" s="112">
        <v>149</v>
      </c>
      <c r="B159" s="136" t="s">
        <v>502</v>
      </c>
      <c r="C159" s="112">
        <v>1.46</v>
      </c>
      <c r="D159" s="112">
        <v>15.73</v>
      </c>
      <c r="E159" s="112">
        <v>13.06</v>
      </c>
      <c r="F159" s="112">
        <v>0.23017241379310341</v>
      </c>
      <c r="G159" s="139">
        <v>0.23017241379310341</v>
      </c>
      <c r="I159" s="142">
        <v>2.4603448275862068</v>
      </c>
      <c r="K159" s="112" t="s">
        <v>505</v>
      </c>
      <c r="L159" s="112" t="s">
        <v>506</v>
      </c>
    </row>
    <row r="160" spans="1:12">
      <c r="A160" s="112">
        <v>150</v>
      </c>
      <c r="B160" s="136" t="s">
        <v>503</v>
      </c>
      <c r="C160" s="112">
        <v>1.47</v>
      </c>
      <c r="D160" s="112">
        <v>9.7799999999999994</v>
      </c>
      <c r="E160" s="112">
        <v>8.4499999999999993</v>
      </c>
      <c r="F160" s="112">
        <v>0.19054441260744989</v>
      </c>
      <c r="G160" s="139">
        <v>0.19054441260744989</v>
      </c>
      <c r="I160" s="142">
        <v>2.3810888252148996</v>
      </c>
      <c r="K160" s="112" t="s">
        <v>505</v>
      </c>
      <c r="L160" s="112" t="s">
        <v>506</v>
      </c>
    </row>
    <row r="161" spans="1:12">
      <c r="A161" s="112">
        <v>151</v>
      </c>
      <c r="B161" s="136" t="s">
        <v>504</v>
      </c>
      <c r="C161" s="112">
        <v>1.45</v>
      </c>
      <c r="D161" s="112">
        <v>9.8699999999999992</v>
      </c>
      <c r="E161" s="112">
        <v>8.3800000000000008</v>
      </c>
      <c r="F161" s="112">
        <v>0.21500721500721476</v>
      </c>
      <c r="G161" s="139">
        <v>0.21500721500721476</v>
      </c>
      <c r="I161" s="142">
        <v>2.4300144300144293</v>
      </c>
      <c r="K161" s="112" t="s">
        <v>505</v>
      </c>
      <c r="L161" s="112" t="s">
        <v>506</v>
      </c>
    </row>
    <row r="162" spans="1:12">
      <c r="G162" s="139"/>
      <c r="K162" s="112" t="s">
        <v>505</v>
      </c>
    </row>
    <row r="163" spans="1:12">
      <c r="A163" s="112" t="s">
        <v>354</v>
      </c>
      <c r="B163" s="112" t="s">
        <v>398</v>
      </c>
      <c r="C163" s="112">
        <v>1.29</v>
      </c>
      <c r="D163" s="112">
        <v>10.71</v>
      </c>
      <c r="E163" s="112">
        <v>9.32</v>
      </c>
      <c r="F163" s="112">
        <v>0.17310087173100877</v>
      </c>
      <c r="G163" s="139">
        <v>0.17310087173100877</v>
      </c>
      <c r="I163" s="142">
        <v>2.3462017434620175</v>
      </c>
      <c r="K163" s="112" t="s">
        <v>505</v>
      </c>
    </row>
    <row r="164" spans="1:12">
      <c r="B164" s="112" t="s">
        <v>400</v>
      </c>
      <c r="C164" s="112">
        <v>1.47</v>
      </c>
      <c r="D164" s="112">
        <v>5.49</v>
      </c>
      <c r="E164" s="112">
        <v>5.12</v>
      </c>
      <c r="F164" s="112">
        <v>0.10136986301369864</v>
      </c>
      <c r="G164" s="139">
        <v>0.10136986301369864</v>
      </c>
      <c r="I164" s="142">
        <v>2.2027397260273971</v>
      </c>
      <c r="K164" s="112" t="s">
        <v>505</v>
      </c>
    </row>
    <row r="165" spans="1:12">
      <c r="B165" s="112" t="s">
        <v>426</v>
      </c>
      <c r="C165" s="112">
        <v>1.46</v>
      </c>
      <c r="D165" s="112">
        <v>9.06</v>
      </c>
      <c r="E165" s="112">
        <v>7.43</v>
      </c>
      <c r="F165" s="112">
        <v>0.27303182579564506</v>
      </c>
      <c r="G165" s="139">
        <v>0.27303182579564506</v>
      </c>
      <c r="I165" s="142">
        <v>2.54606365159129</v>
      </c>
      <c r="K165" s="112" t="s">
        <v>505</v>
      </c>
    </row>
    <row r="166" spans="1:12">
      <c r="B166" s="112" t="s">
        <v>425</v>
      </c>
      <c r="C166" s="112">
        <v>1.47</v>
      </c>
      <c r="D166" s="112">
        <v>6.38</v>
      </c>
      <c r="E166" s="112">
        <v>4.63</v>
      </c>
      <c r="F166" s="112">
        <v>0.55379746835443033</v>
      </c>
      <c r="G166" s="139">
        <v>0.55379746835443033</v>
      </c>
      <c r="I166" s="142">
        <v>3.1075949367088604</v>
      </c>
      <c r="K166" s="112" t="s">
        <v>505</v>
      </c>
    </row>
    <row r="167" spans="1:12">
      <c r="B167" s="112" t="s">
        <v>421</v>
      </c>
      <c r="C167" s="137">
        <v>1.3</v>
      </c>
      <c r="D167" s="112">
        <v>8.9</v>
      </c>
      <c r="E167" s="112">
        <v>6.65</v>
      </c>
      <c r="F167" s="112">
        <v>0.42056074766355134</v>
      </c>
      <c r="G167" s="139">
        <v>0.42056074766355134</v>
      </c>
      <c r="I167" s="142">
        <v>2.8411214953271027</v>
      </c>
      <c r="K167" s="112" t="s">
        <v>505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09CF-E9A5-40A9-853B-F0B43E8E3505}">
  <dimension ref="A1:T171"/>
  <sheetViews>
    <sheetView topLeftCell="A7" workbookViewId="0">
      <selection activeCell="F161" sqref="F161:G161"/>
    </sheetView>
  </sheetViews>
  <sheetFormatPr defaultColWidth="8.85546875" defaultRowHeight="15.75"/>
  <cols>
    <col min="1" max="1" width="16.140625" style="126" customWidth="1"/>
    <col min="2" max="10" width="9.140625" style="126"/>
    <col min="12" max="19" width="9.140625" style="126"/>
  </cols>
  <sheetData>
    <row r="1" spans="1:20" ht="47.25">
      <c r="A1" s="120" t="s">
        <v>349</v>
      </c>
      <c r="B1" s="119"/>
      <c r="C1" s="119"/>
      <c r="D1" s="120"/>
      <c r="E1" s="120"/>
      <c r="F1" s="120"/>
      <c r="G1" s="120"/>
      <c r="H1" s="120"/>
      <c r="I1" s="120"/>
      <c r="J1" s="120"/>
      <c r="K1" s="120"/>
      <c r="L1" s="120" t="s">
        <v>169</v>
      </c>
      <c r="M1" s="120" t="s">
        <v>170</v>
      </c>
      <c r="N1" s="120" t="s">
        <v>171</v>
      </c>
      <c r="O1" s="120" t="s">
        <v>172</v>
      </c>
      <c r="P1" s="120" t="s">
        <v>173</v>
      </c>
      <c r="Q1" s="120" t="s">
        <v>174</v>
      </c>
      <c r="R1" s="120" t="s">
        <v>175</v>
      </c>
      <c r="S1" s="120" t="s">
        <v>176</v>
      </c>
      <c r="T1" s="114"/>
    </row>
    <row r="2" spans="1:20" ht="31.5">
      <c r="A2" s="120" t="s">
        <v>177</v>
      </c>
      <c r="B2" s="119" t="s">
        <v>178</v>
      </c>
      <c r="C2" s="119" t="s">
        <v>179</v>
      </c>
      <c r="D2" s="120" t="s">
        <v>180</v>
      </c>
      <c r="E2" s="120" t="s">
        <v>181</v>
      </c>
      <c r="F2" s="120" t="s">
        <v>182</v>
      </c>
      <c r="G2" s="120" t="s">
        <v>183</v>
      </c>
      <c r="H2" s="120" t="s">
        <v>184</v>
      </c>
      <c r="I2" s="120" t="s">
        <v>185</v>
      </c>
      <c r="J2" s="120" t="s">
        <v>186</v>
      </c>
      <c r="K2" s="120" t="s">
        <v>187</v>
      </c>
      <c r="L2" s="120" t="s">
        <v>188</v>
      </c>
      <c r="M2" s="120" t="s">
        <v>189</v>
      </c>
      <c r="N2" s="120" t="s">
        <v>190</v>
      </c>
      <c r="O2" s="120" t="s">
        <v>191</v>
      </c>
      <c r="P2" s="120" t="s">
        <v>192</v>
      </c>
      <c r="Q2" s="120" t="s">
        <v>193</v>
      </c>
      <c r="R2" s="120" t="s">
        <v>194</v>
      </c>
      <c r="S2" s="120" t="s">
        <v>195</v>
      </c>
      <c r="T2" s="115"/>
    </row>
    <row r="3" spans="1:20">
      <c r="A3" s="131" t="s">
        <v>350</v>
      </c>
      <c r="B3" s="119"/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5"/>
    </row>
    <row r="4" spans="1:20">
      <c r="A4" s="130" t="s">
        <v>196</v>
      </c>
      <c r="B4" s="124">
        <v>7.1</v>
      </c>
      <c r="C4" s="127">
        <v>0.104</v>
      </c>
      <c r="D4" s="124">
        <v>243</v>
      </c>
      <c r="E4" s="124">
        <v>203</v>
      </c>
      <c r="F4" s="124">
        <v>4706</v>
      </c>
      <c r="G4" s="124">
        <v>249</v>
      </c>
      <c r="H4" s="124">
        <v>11.8</v>
      </c>
      <c r="I4" s="124">
        <v>36</v>
      </c>
      <c r="J4" s="124">
        <v>13.07</v>
      </c>
      <c r="K4" s="121">
        <v>1.7733199999999998</v>
      </c>
      <c r="L4" s="124">
        <v>1.04</v>
      </c>
      <c r="M4" s="124">
        <v>0.26</v>
      </c>
      <c r="N4" s="124">
        <v>11.77</v>
      </c>
      <c r="O4" s="124">
        <v>0</v>
      </c>
      <c r="P4" s="124">
        <v>7.96</v>
      </c>
      <c r="Q4" s="124">
        <v>0</v>
      </c>
      <c r="R4" s="124">
        <v>90.05</v>
      </c>
      <c r="S4" s="124">
        <v>1.99</v>
      </c>
      <c r="T4" s="116"/>
    </row>
    <row r="5" spans="1:20">
      <c r="A5" s="130" t="s">
        <v>197</v>
      </c>
      <c r="B5" s="124">
        <v>6.8</v>
      </c>
      <c r="C5" s="127">
        <v>0.10100000000000001</v>
      </c>
      <c r="D5" s="124">
        <v>190</v>
      </c>
      <c r="E5" s="124">
        <v>168</v>
      </c>
      <c r="F5" s="124">
        <v>4078</v>
      </c>
      <c r="G5" s="124">
        <v>238</v>
      </c>
      <c r="H5" s="124">
        <v>10.6</v>
      </c>
      <c r="I5" s="124">
        <v>48</v>
      </c>
      <c r="J5" s="124">
        <v>12.11</v>
      </c>
      <c r="K5" s="121">
        <v>1.7251599999999998</v>
      </c>
      <c r="L5" s="124">
        <v>0.99</v>
      </c>
      <c r="M5" s="124">
        <v>0.22</v>
      </c>
      <c r="N5" s="124">
        <v>10.199999999999999</v>
      </c>
      <c r="O5" s="124">
        <v>0.7</v>
      </c>
      <c r="P5" s="124">
        <v>8.18</v>
      </c>
      <c r="Q5" s="124">
        <v>5.78</v>
      </c>
      <c r="R5" s="124">
        <v>84.23</v>
      </c>
      <c r="S5" s="124">
        <v>1.82</v>
      </c>
      <c r="T5" s="117"/>
    </row>
    <row r="6" spans="1:20">
      <c r="A6" s="130" t="s">
        <v>198</v>
      </c>
      <c r="B6" s="124">
        <v>6.8</v>
      </c>
      <c r="C6" s="127">
        <v>9.2999999999999999E-2</v>
      </c>
      <c r="D6" s="129">
        <v>184</v>
      </c>
      <c r="E6" s="129">
        <v>196</v>
      </c>
      <c r="F6" s="129">
        <v>4517</v>
      </c>
      <c r="G6" s="129">
        <v>284</v>
      </c>
      <c r="H6" s="129">
        <v>9.5</v>
      </c>
      <c r="I6" s="129">
        <v>54</v>
      </c>
      <c r="J6" s="129">
        <v>13.12</v>
      </c>
      <c r="K6" s="122">
        <v>1.5514399999999999</v>
      </c>
      <c r="L6" s="129">
        <v>1.18</v>
      </c>
      <c r="M6" s="129">
        <v>0.25</v>
      </c>
      <c r="N6" s="129">
        <v>11.29</v>
      </c>
      <c r="O6" s="129">
        <v>0.4</v>
      </c>
      <c r="P6" s="129">
        <v>8.99</v>
      </c>
      <c r="Q6" s="129">
        <v>3.05</v>
      </c>
      <c r="R6" s="129">
        <v>86.05</v>
      </c>
      <c r="S6" s="129">
        <v>1.91</v>
      </c>
      <c r="T6" s="118"/>
    </row>
    <row r="7" spans="1:20">
      <c r="A7" s="130" t="s">
        <v>199</v>
      </c>
      <c r="B7" s="124">
        <v>6.8</v>
      </c>
      <c r="C7" s="127">
        <v>0.13200000000000001</v>
      </c>
      <c r="D7" s="124">
        <v>267</v>
      </c>
      <c r="E7" s="124">
        <v>228</v>
      </c>
      <c r="F7" s="124">
        <v>5157</v>
      </c>
      <c r="G7" s="124">
        <v>315</v>
      </c>
      <c r="H7" s="124">
        <v>16.899999999999999</v>
      </c>
      <c r="I7" s="124">
        <v>38</v>
      </c>
      <c r="J7" s="124">
        <v>15.19</v>
      </c>
      <c r="K7" s="121">
        <v>2.7812399999999999</v>
      </c>
      <c r="L7" s="124">
        <v>1.31</v>
      </c>
      <c r="M7" s="124">
        <v>0.28999999999999998</v>
      </c>
      <c r="N7" s="124">
        <v>12.89</v>
      </c>
      <c r="O7" s="124">
        <v>0.7</v>
      </c>
      <c r="P7" s="124">
        <v>8.6199999999999992</v>
      </c>
      <c r="Q7" s="124">
        <v>4.6100000000000003</v>
      </c>
      <c r="R7" s="124">
        <v>84.86</v>
      </c>
      <c r="S7" s="124">
        <v>1.91</v>
      </c>
      <c r="T7" s="116"/>
    </row>
    <row r="8" spans="1:20">
      <c r="A8" s="130" t="s">
        <v>200</v>
      </c>
      <c r="B8" s="124">
        <v>6.6</v>
      </c>
      <c r="C8" s="127">
        <v>0.13100000000000001</v>
      </c>
      <c r="D8" s="124">
        <v>175</v>
      </c>
      <c r="E8" s="124">
        <v>186</v>
      </c>
      <c r="F8" s="124">
        <v>4396</v>
      </c>
      <c r="G8" s="124">
        <v>311</v>
      </c>
      <c r="H8" s="124">
        <v>14.5</v>
      </c>
      <c r="I8" s="124">
        <v>43</v>
      </c>
      <c r="J8" s="124">
        <v>13.73</v>
      </c>
      <c r="K8" s="121">
        <v>2.4716399999999998</v>
      </c>
      <c r="L8" s="124">
        <v>1.3</v>
      </c>
      <c r="M8" s="124">
        <v>0.24</v>
      </c>
      <c r="N8" s="124">
        <v>10.99</v>
      </c>
      <c r="O8" s="124">
        <v>1.2</v>
      </c>
      <c r="P8" s="124">
        <v>9.4700000000000006</v>
      </c>
      <c r="Q8" s="124">
        <v>8.74</v>
      </c>
      <c r="R8" s="124">
        <v>80.040000000000006</v>
      </c>
      <c r="S8" s="124">
        <v>1.75</v>
      </c>
      <c r="T8" s="116"/>
    </row>
    <row r="9" spans="1:20">
      <c r="A9" s="130" t="s">
        <v>201</v>
      </c>
      <c r="B9" s="124">
        <v>6.4</v>
      </c>
      <c r="C9" s="127">
        <v>0.14099999999999999</v>
      </c>
      <c r="D9" s="124">
        <v>217</v>
      </c>
      <c r="E9" s="124">
        <v>114</v>
      </c>
      <c r="F9" s="124">
        <v>4662</v>
      </c>
      <c r="G9" s="124">
        <v>320</v>
      </c>
      <c r="H9" s="124">
        <v>16.399999999999999</v>
      </c>
      <c r="I9" s="124">
        <v>48</v>
      </c>
      <c r="J9" s="124">
        <v>14.44</v>
      </c>
      <c r="K9" s="121">
        <v>2.2910400000000002</v>
      </c>
      <c r="L9" s="124">
        <v>1.33</v>
      </c>
      <c r="M9" s="124">
        <v>0.15</v>
      </c>
      <c r="N9" s="124">
        <v>11.66</v>
      </c>
      <c r="O9" s="124">
        <v>1.3</v>
      </c>
      <c r="P9" s="124">
        <v>9.2100000000000009</v>
      </c>
      <c r="Q9" s="124">
        <v>9</v>
      </c>
      <c r="R9" s="124">
        <v>80.75</v>
      </c>
      <c r="S9" s="124">
        <v>1.04</v>
      </c>
      <c r="T9" s="117"/>
    </row>
    <row r="10" spans="1:20">
      <c r="A10" s="130" t="s">
        <v>202</v>
      </c>
      <c r="B10" s="124">
        <v>6.7</v>
      </c>
      <c r="C10" s="127">
        <v>0.107</v>
      </c>
      <c r="D10" s="124">
        <v>213</v>
      </c>
      <c r="E10" s="124">
        <v>295</v>
      </c>
      <c r="F10" s="124">
        <v>4463</v>
      </c>
      <c r="G10" s="124">
        <v>294</v>
      </c>
      <c r="H10" s="124">
        <v>9.9</v>
      </c>
      <c r="I10" s="124">
        <v>39</v>
      </c>
      <c r="J10" s="124">
        <v>13.57</v>
      </c>
      <c r="K10" s="121">
        <v>2.0141200000000001</v>
      </c>
      <c r="L10" s="124">
        <v>1.23</v>
      </c>
      <c r="M10" s="124">
        <v>0.38</v>
      </c>
      <c r="N10" s="124">
        <v>11.16</v>
      </c>
      <c r="O10" s="124">
        <v>0.8</v>
      </c>
      <c r="P10" s="124">
        <v>9.06</v>
      </c>
      <c r="Q10" s="124">
        <v>5.9</v>
      </c>
      <c r="R10" s="124">
        <v>82.24</v>
      </c>
      <c r="S10" s="124">
        <v>2.8</v>
      </c>
      <c r="T10" s="116"/>
    </row>
    <row r="11" spans="1:20">
      <c r="A11" s="130" t="s">
        <v>203</v>
      </c>
      <c r="B11" s="124">
        <v>6.7</v>
      </c>
      <c r="C11" s="127">
        <v>8.5000000000000006E-2</v>
      </c>
      <c r="D11" s="124">
        <v>135</v>
      </c>
      <c r="E11" s="124">
        <v>270</v>
      </c>
      <c r="F11" s="124">
        <v>4406</v>
      </c>
      <c r="G11" s="124">
        <v>285</v>
      </c>
      <c r="H11" s="124">
        <v>7.5</v>
      </c>
      <c r="I11" s="124">
        <v>44</v>
      </c>
      <c r="J11" s="124">
        <v>13.36</v>
      </c>
      <c r="K11" s="121">
        <v>1.4568399999999999</v>
      </c>
      <c r="L11" s="124">
        <v>1.19</v>
      </c>
      <c r="M11" s="124">
        <v>0.35</v>
      </c>
      <c r="N11" s="124">
        <v>11.02</v>
      </c>
      <c r="O11" s="124">
        <v>0.8</v>
      </c>
      <c r="P11" s="124">
        <v>8.91</v>
      </c>
      <c r="Q11" s="124">
        <v>5.99</v>
      </c>
      <c r="R11" s="124">
        <v>82.49</v>
      </c>
      <c r="S11" s="124">
        <v>2.62</v>
      </c>
      <c r="T11" s="116"/>
    </row>
    <row r="12" spans="1:20">
      <c r="A12" s="130" t="s">
        <v>204</v>
      </c>
      <c r="B12" s="124">
        <v>6.6</v>
      </c>
      <c r="C12" s="127">
        <v>0.09</v>
      </c>
      <c r="D12" s="129">
        <v>127</v>
      </c>
      <c r="E12" s="129">
        <v>189</v>
      </c>
      <c r="F12" s="129">
        <v>4388</v>
      </c>
      <c r="G12" s="129">
        <v>276</v>
      </c>
      <c r="H12" s="129">
        <v>6.3</v>
      </c>
      <c r="I12" s="129">
        <v>43</v>
      </c>
      <c r="J12" s="129">
        <v>13.06</v>
      </c>
      <c r="K12" s="122">
        <v>1.4878</v>
      </c>
      <c r="L12" s="129">
        <v>1.1499999999999999</v>
      </c>
      <c r="M12" s="129">
        <v>0.24</v>
      </c>
      <c r="N12" s="129">
        <v>10.97</v>
      </c>
      <c r="O12" s="129">
        <v>0.7</v>
      </c>
      <c r="P12" s="129">
        <v>8.81</v>
      </c>
      <c r="Q12" s="129">
        <v>5.36</v>
      </c>
      <c r="R12" s="129">
        <v>84</v>
      </c>
      <c r="S12" s="129">
        <v>1.84</v>
      </c>
      <c r="T12" s="118"/>
    </row>
    <row r="13" spans="1:20">
      <c r="A13" s="130" t="s">
        <v>205</v>
      </c>
      <c r="B13" s="124">
        <v>6.6</v>
      </c>
      <c r="C13" s="127">
        <v>0.114</v>
      </c>
      <c r="D13" s="124">
        <v>189</v>
      </c>
      <c r="E13" s="124">
        <v>222</v>
      </c>
      <c r="F13" s="124">
        <v>4642</v>
      </c>
      <c r="G13" s="124">
        <v>315</v>
      </c>
      <c r="H13" s="124">
        <v>11</v>
      </c>
      <c r="I13" s="124">
        <v>46</v>
      </c>
      <c r="J13" s="124">
        <v>14.1</v>
      </c>
      <c r="K13" s="121">
        <v>2.2635200000000002</v>
      </c>
      <c r="L13" s="124">
        <v>1.31</v>
      </c>
      <c r="M13" s="124">
        <v>0.28000000000000003</v>
      </c>
      <c r="N13" s="124">
        <v>11.61</v>
      </c>
      <c r="O13" s="124">
        <v>0.9</v>
      </c>
      <c r="P13" s="124">
        <v>9.2899999999999991</v>
      </c>
      <c r="Q13" s="124">
        <v>6.38</v>
      </c>
      <c r="R13" s="124">
        <v>82.34</v>
      </c>
      <c r="S13" s="124">
        <v>1.99</v>
      </c>
      <c r="T13" s="116"/>
    </row>
    <row r="14" spans="1:20">
      <c r="A14" s="130" t="s">
        <v>206</v>
      </c>
      <c r="B14" s="124">
        <v>6.6</v>
      </c>
      <c r="C14" s="127">
        <v>0.106</v>
      </c>
      <c r="D14" s="124">
        <v>149</v>
      </c>
      <c r="E14" s="124">
        <v>191</v>
      </c>
      <c r="F14" s="124">
        <v>4553</v>
      </c>
      <c r="G14" s="124">
        <v>318</v>
      </c>
      <c r="H14" s="124">
        <v>11.2</v>
      </c>
      <c r="I14" s="124">
        <v>52</v>
      </c>
      <c r="J14" s="124">
        <v>13.55</v>
      </c>
      <c r="K14" s="121">
        <v>1.7887999999999999</v>
      </c>
      <c r="L14" s="124">
        <v>1.33</v>
      </c>
      <c r="M14" s="124">
        <v>0.24</v>
      </c>
      <c r="N14" s="124">
        <v>11.38</v>
      </c>
      <c r="O14" s="124">
        <v>0.6</v>
      </c>
      <c r="P14" s="124">
        <v>9.82</v>
      </c>
      <c r="Q14" s="124">
        <v>4.43</v>
      </c>
      <c r="R14" s="124">
        <v>83.99</v>
      </c>
      <c r="S14" s="124">
        <v>1.77</v>
      </c>
      <c r="T14" s="116"/>
    </row>
    <row r="15" spans="1:20">
      <c r="A15" s="130" t="s">
        <v>207</v>
      </c>
      <c r="B15" s="124">
        <v>6.8</v>
      </c>
      <c r="C15" s="127">
        <v>0.11799999999999999</v>
      </c>
      <c r="D15" s="124">
        <v>175</v>
      </c>
      <c r="E15" s="124">
        <v>165</v>
      </c>
      <c r="F15" s="124">
        <v>4440</v>
      </c>
      <c r="G15" s="124">
        <v>313</v>
      </c>
      <c r="H15" s="124">
        <v>12.7</v>
      </c>
      <c r="I15" s="124">
        <v>69</v>
      </c>
      <c r="J15" s="124">
        <v>13.31</v>
      </c>
      <c r="K15" s="121">
        <v>2.0192799999999997</v>
      </c>
      <c r="L15" s="124">
        <v>1.3</v>
      </c>
      <c r="M15" s="124">
        <v>0.21</v>
      </c>
      <c r="N15" s="124">
        <v>11.1</v>
      </c>
      <c r="O15" s="124">
        <v>0.7</v>
      </c>
      <c r="P15" s="124">
        <v>9.77</v>
      </c>
      <c r="Q15" s="124">
        <v>5.26</v>
      </c>
      <c r="R15" s="124">
        <v>83.4</v>
      </c>
      <c r="S15" s="124">
        <v>1.58</v>
      </c>
      <c r="T15" s="117"/>
    </row>
    <row r="16" spans="1:20">
      <c r="A16" s="130" t="s">
        <v>208</v>
      </c>
      <c r="B16" s="124">
        <v>6.3</v>
      </c>
      <c r="C16" s="127">
        <v>0.113</v>
      </c>
      <c r="D16" s="124">
        <v>397</v>
      </c>
      <c r="E16" s="124">
        <v>359</v>
      </c>
      <c r="F16" s="124">
        <v>4572</v>
      </c>
      <c r="G16" s="124">
        <v>248</v>
      </c>
      <c r="H16" s="124">
        <v>9</v>
      </c>
      <c r="I16" s="124">
        <v>40</v>
      </c>
      <c r="J16" s="124">
        <v>14.02</v>
      </c>
      <c r="K16" s="121">
        <v>2.2858799999999997</v>
      </c>
      <c r="L16" s="124">
        <v>1.03</v>
      </c>
      <c r="M16" s="124">
        <v>0.46</v>
      </c>
      <c r="N16" s="124">
        <v>11.43</v>
      </c>
      <c r="O16" s="124">
        <v>1.1000000000000001</v>
      </c>
      <c r="P16" s="124">
        <v>7.35</v>
      </c>
      <c r="Q16" s="124">
        <v>7.85</v>
      </c>
      <c r="R16" s="124">
        <v>81.53</v>
      </c>
      <c r="S16" s="124">
        <v>3.28</v>
      </c>
      <c r="T16" s="116"/>
    </row>
    <row r="17" spans="1:20">
      <c r="A17" s="130" t="s">
        <v>209</v>
      </c>
      <c r="B17" s="124">
        <v>6.3</v>
      </c>
      <c r="C17" s="127">
        <v>9.9000000000000005E-2</v>
      </c>
      <c r="D17" s="124">
        <v>138</v>
      </c>
      <c r="E17" s="124">
        <v>298</v>
      </c>
      <c r="F17" s="124">
        <v>4043</v>
      </c>
      <c r="G17" s="124">
        <v>252</v>
      </c>
      <c r="H17" s="124">
        <v>6.4</v>
      </c>
      <c r="I17" s="124">
        <v>39</v>
      </c>
      <c r="J17" s="124">
        <v>13.04</v>
      </c>
      <c r="K17" s="121">
        <v>1.6666799999999999</v>
      </c>
      <c r="L17" s="124">
        <v>1.05</v>
      </c>
      <c r="M17" s="124">
        <v>0.38</v>
      </c>
      <c r="N17" s="124">
        <v>10.11</v>
      </c>
      <c r="O17" s="124">
        <v>1.5</v>
      </c>
      <c r="P17" s="124">
        <v>8.0500000000000007</v>
      </c>
      <c r="Q17" s="124">
        <v>11.5</v>
      </c>
      <c r="R17" s="124">
        <v>77.53</v>
      </c>
      <c r="S17" s="124">
        <v>2.91</v>
      </c>
      <c r="T17" s="116"/>
    </row>
    <row r="18" spans="1:20">
      <c r="A18" s="130" t="s">
        <v>210</v>
      </c>
      <c r="B18" s="124">
        <v>6.3</v>
      </c>
      <c r="C18" s="127">
        <v>0.10199999999999999</v>
      </c>
      <c r="D18" s="124">
        <v>125</v>
      </c>
      <c r="E18" s="124">
        <v>163</v>
      </c>
      <c r="F18" s="124">
        <v>3846</v>
      </c>
      <c r="G18" s="124">
        <v>233</v>
      </c>
      <c r="H18" s="124">
        <v>6.1</v>
      </c>
      <c r="I18" s="124">
        <v>47</v>
      </c>
      <c r="J18" s="124">
        <v>11.8</v>
      </c>
      <c r="K18" s="121">
        <v>1.7595599999999998</v>
      </c>
      <c r="L18" s="124">
        <v>0.97</v>
      </c>
      <c r="M18" s="124">
        <v>0.21</v>
      </c>
      <c r="N18" s="124">
        <v>9.6199999999999992</v>
      </c>
      <c r="O18" s="124">
        <v>1</v>
      </c>
      <c r="P18" s="124">
        <v>8.2200000000000006</v>
      </c>
      <c r="Q18" s="124">
        <v>8.4700000000000006</v>
      </c>
      <c r="R18" s="124">
        <v>81.53</v>
      </c>
      <c r="S18" s="124">
        <v>1.78</v>
      </c>
      <c r="T18" s="116"/>
    </row>
    <row r="19" spans="1:20">
      <c r="A19" s="130" t="s">
        <v>211</v>
      </c>
      <c r="B19" s="124">
        <v>6.6</v>
      </c>
      <c r="C19" s="127">
        <v>0.126</v>
      </c>
      <c r="D19" s="129">
        <v>283</v>
      </c>
      <c r="E19" s="129">
        <v>320</v>
      </c>
      <c r="F19" s="129">
        <v>4817</v>
      </c>
      <c r="G19" s="129">
        <v>296</v>
      </c>
      <c r="H19" s="129">
        <v>10.1</v>
      </c>
      <c r="I19" s="129">
        <v>36</v>
      </c>
      <c r="J19" s="129">
        <v>14.28</v>
      </c>
      <c r="K19" s="122">
        <v>2.5129200000000003</v>
      </c>
      <c r="L19" s="129">
        <v>1.23</v>
      </c>
      <c r="M19" s="129">
        <v>0.41</v>
      </c>
      <c r="N19" s="129">
        <v>12.04</v>
      </c>
      <c r="O19" s="129">
        <v>0.6</v>
      </c>
      <c r="P19" s="129">
        <v>8.61</v>
      </c>
      <c r="Q19" s="129">
        <v>4.2</v>
      </c>
      <c r="R19" s="129">
        <v>84.31</v>
      </c>
      <c r="S19" s="129">
        <v>2.87</v>
      </c>
      <c r="T19" s="118"/>
    </row>
    <row r="20" spans="1:20">
      <c r="A20" s="130" t="s">
        <v>212</v>
      </c>
      <c r="B20" s="124">
        <v>6.7</v>
      </c>
      <c r="C20" s="127">
        <v>0.11799999999999999</v>
      </c>
      <c r="D20" s="124">
        <v>160</v>
      </c>
      <c r="E20" s="124">
        <v>239</v>
      </c>
      <c r="F20" s="124">
        <v>4349</v>
      </c>
      <c r="G20" s="124">
        <v>290</v>
      </c>
      <c r="H20" s="124">
        <v>11.2</v>
      </c>
      <c r="I20" s="124">
        <v>50</v>
      </c>
      <c r="J20" s="124">
        <v>13.09</v>
      </c>
      <c r="K20" s="121">
        <v>1.9779999999999998</v>
      </c>
      <c r="L20" s="124">
        <v>1.21</v>
      </c>
      <c r="M20" s="124">
        <v>0.31</v>
      </c>
      <c r="N20" s="124">
        <v>10.87</v>
      </c>
      <c r="O20" s="124">
        <v>0.7</v>
      </c>
      <c r="P20" s="124">
        <v>9.24</v>
      </c>
      <c r="Q20" s="124">
        <v>5.35</v>
      </c>
      <c r="R20" s="124">
        <v>83.04</v>
      </c>
      <c r="S20" s="124">
        <v>2.37</v>
      </c>
      <c r="T20" s="116"/>
    </row>
    <row r="21" spans="1:20">
      <c r="A21" s="130" t="s">
        <v>213</v>
      </c>
      <c r="B21" s="124">
        <v>6.6</v>
      </c>
      <c r="C21" s="127">
        <v>0.128</v>
      </c>
      <c r="D21" s="124">
        <v>153</v>
      </c>
      <c r="E21" s="124">
        <v>196</v>
      </c>
      <c r="F21" s="124">
        <v>4324</v>
      </c>
      <c r="G21" s="124">
        <v>293</v>
      </c>
      <c r="H21" s="124">
        <v>11.7</v>
      </c>
      <c r="I21" s="124">
        <v>58</v>
      </c>
      <c r="J21" s="124">
        <v>13.08</v>
      </c>
      <c r="K21" s="121">
        <v>2.1947200000000002</v>
      </c>
      <c r="L21" s="124">
        <v>1.22</v>
      </c>
      <c r="M21" s="124">
        <v>0.25</v>
      </c>
      <c r="N21" s="124">
        <v>10.81</v>
      </c>
      <c r="O21" s="124">
        <v>0.8</v>
      </c>
      <c r="P21" s="124">
        <v>9.33</v>
      </c>
      <c r="Q21" s="124">
        <v>6.12</v>
      </c>
      <c r="R21" s="124">
        <v>82.65</v>
      </c>
      <c r="S21" s="124">
        <v>1.91</v>
      </c>
      <c r="T21" s="116"/>
    </row>
    <row r="22" spans="1:20">
      <c r="A22" s="130" t="s">
        <v>214</v>
      </c>
      <c r="B22" s="124">
        <v>6.2</v>
      </c>
      <c r="C22" s="127">
        <v>0.12</v>
      </c>
      <c r="D22" s="124">
        <v>342</v>
      </c>
      <c r="E22" s="124">
        <v>404</v>
      </c>
      <c r="F22" s="124">
        <v>4371</v>
      </c>
      <c r="G22" s="124">
        <v>256</v>
      </c>
      <c r="H22" s="124">
        <v>6.9</v>
      </c>
      <c r="I22" s="124">
        <v>52</v>
      </c>
      <c r="J22" s="124">
        <v>13.92</v>
      </c>
      <c r="K22" s="121">
        <v>2.2119200000000001</v>
      </c>
      <c r="L22" s="124">
        <v>1.07</v>
      </c>
      <c r="M22" s="124">
        <v>0.52</v>
      </c>
      <c r="N22" s="124">
        <v>10.93</v>
      </c>
      <c r="O22" s="124">
        <v>1.4</v>
      </c>
      <c r="P22" s="124">
        <v>7.69</v>
      </c>
      <c r="Q22" s="124">
        <v>10.06</v>
      </c>
      <c r="R22" s="124">
        <v>78.52</v>
      </c>
      <c r="S22" s="124">
        <v>3.74</v>
      </c>
      <c r="T22" s="117"/>
    </row>
    <row r="23" spans="1:20">
      <c r="A23" s="130" t="s">
        <v>215</v>
      </c>
      <c r="B23" s="124">
        <v>6.1</v>
      </c>
      <c r="C23" s="127">
        <v>8.8999999999999996E-2</v>
      </c>
      <c r="D23" s="124">
        <v>76</v>
      </c>
      <c r="E23" s="124">
        <v>264</v>
      </c>
      <c r="F23" s="124">
        <v>4171</v>
      </c>
      <c r="G23" s="124">
        <v>232</v>
      </c>
      <c r="H23" s="124">
        <v>4</v>
      </c>
      <c r="I23" s="124">
        <v>58</v>
      </c>
      <c r="J23" s="124">
        <v>14.14</v>
      </c>
      <c r="K23" s="121">
        <v>1.5462800000000001</v>
      </c>
      <c r="L23" s="124">
        <v>0.97</v>
      </c>
      <c r="M23" s="124">
        <v>0.34</v>
      </c>
      <c r="N23" s="124">
        <v>10.43</v>
      </c>
      <c r="O23" s="124">
        <v>2.4</v>
      </c>
      <c r="P23" s="124">
        <v>6.86</v>
      </c>
      <c r="Q23" s="124">
        <v>16.97</v>
      </c>
      <c r="R23" s="124">
        <v>73.760000000000005</v>
      </c>
      <c r="S23" s="124">
        <v>2.4</v>
      </c>
      <c r="T23" s="116"/>
    </row>
    <row r="24" spans="1:20">
      <c r="A24" s="130" t="s">
        <v>216</v>
      </c>
      <c r="B24" s="124">
        <v>6.4</v>
      </c>
      <c r="C24" s="127">
        <v>0.09</v>
      </c>
      <c r="D24" s="124">
        <v>51</v>
      </c>
      <c r="E24" s="124">
        <v>162</v>
      </c>
      <c r="F24" s="124">
        <v>4377</v>
      </c>
      <c r="G24" s="124">
        <v>238</v>
      </c>
      <c r="H24" s="124">
        <v>3.9</v>
      </c>
      <c r="I24" s="124">
        <v>81</v>
      </c>
      <c r="J24" s="124">
        <v>13.14</v>
      </c>
      <c r="K24" s="121">
        <v>1.53596</v>
      </c>
      <c r="L24" s="124">
        <v>0.99</v>
      </c>
      <c r="M24" s="124">
        <v>0.21</v>
      </c>
      <c r="N24" s="124">
        <v>10.94</v>
      </c>
      <c r="O24" s="124">
        <v>1</v>
      </c>
      <c r="P24" s="124">
        <v>7.53</v>
      </c>
      <c r="Q24" s="124">
        <v>7.61</v>
      </c>
      <c r="R24" s="124">
        <v>83.26</v>
      </c>
      <c r="S24" s="124">
        <v>1.6</v>
      </c>
      <c r="T24" s="116"/>
    </row>
    <row r="25" spans="1:20">
      <c r="A25" s="130" t="s">
        <v>217</v>
      </c>
      <c r="B25" s="124">
        <v>6.4</v>
      </c>
      <c r="C25" s="127">
        <v>0.11799999999999999</v>
      </c>
      <c r="D25" s="124">
        <v>198</v>
      </c>
      <c r="E25" s="124">
        <v>276</v>
      </c>
      <c r="F25" s="124">
        <v>5063</v>
      </c>
      <c r="G25" s="124">
        <v>307</v>
      </c>
      <c r="H25" s="124">
        <v>7.8</v>
      </c>
      <c r="I25" s="124">
        <v>50</v>
      </c>
      <c r="J25" s="124">
        <v>15.39</v>
      </c>
      <c r="K25" s="121">
        <v>2.35812</v>
      </c>
      <c r="L25" s="124">
        <v>1.28</v>
      </c>
      <c r="M25" s="124">
        <v>0.35</v>
      </c>
      <c r="N25" s="124">
        <v>12.66</v>
      </c>
      <c r="O25" s="124">
        <v>1.1000000000000001</v>
      </c>
      <c r="P25" s="124">
        <v>8.32</v>
      </c>
      <c r="Q25" s="124">
        <v>7.15</v>
      </c>
      <c r="R25" s="124">
        <v>82.26</v>
      </c>
      <c r="S25" s="124">
        <v>2.27</v>
      </c>
      <c r="T25" s="116"/>
    </row>
    <row r="26" spans="1:20">
      <c r="A26" s="130" t="s">
        <v>218</v>
      </c>
      <c r="B26" s="124">
        <v>6.5</v>
      </c>
      <c r="C26" s="127">
        <v>0.113</v>
      </c>
      <c r="D26" s="124">
        <v>82</v>
      </c>
      <c r="E26" s="124">
        <v>256</v>
      </c>
      <c r="F26" s="124">
        <v>4928</v>
      </c>
      <c r="G26" s="124">
        <v>279</v>
      </c>
      <c r="H26" s="124">
        <v>8.3000000000000007</v>
      </c>
      <c r="I26" s="124">
        <v>68</v>
      </c>
      <c r="J26" s="124">
        <v>14.91</v>
      </c>
      <c r="K26" s="121">
        <v>1.9126400000000001</v>
      </c>
      <c r="L26" s="124">
        <v>1.1599999999999999</v>
      </c>
      <c r="M26" s="124">
        <v>0.33</v>
      </c>
      <c r="N26" s="124">
        <v>12.32</v>
      </c>
      <c r="O26" s="124">
        <v>1.1000000000000001</v>
      </c>
      <c r="P26" s="124">
        <v>7.78</v>
      </c>
      <c r="Q26" s="124">
        <v>7.38</v>
      </c>
      <c r="R26" s="124">
        <v>82.63</v>
      </c>
      <c r="S26" s="124">
        <v>2.21</v>
      </c>
      <c r="T26" s="116"/>
    </row>
    <row r="27" spans="1:20">
      <c r="A27" s="130" t="s">
        <v>219</v>
      </c>
      <c r="B27" s="124">
        <v>6.5</v>
      </c>
      <c r="C27" s="127">
        <v>9.6000000000000002E-2</v>
      </c>
      <c r="D27" s="124">
        <v>52</v>
      </c>
      <c r="E27" s="124">
        <v>125</v>
      </c>
      <c r="F27" s="124">
        <v>4017</v>
      </c>
      <c r="G27" s="124">
        <v>205</v>
      </c>
      <c r="H27" s="124">
        <v>5.7</v>
      </c>
      <c r="I27" s="124">
        <v>91</v>
      </c>
      <c r="J27" s="124">
        <v>12.25</v>
      </c>
      <c r="K27" s="121">
        <v>1.5858400000000001</v>
      </c>
      <c r="L27" s="124">
        <v>0.85</v>
      </c>
      <c r="M27" s="124">
        <v>0.16</v>
      </c>
      <c r="N27" s="124">
        <v>10.039999999999999</v>
      </c>
      <c r="O27" s="124">
        <v>1.2</v>
      </c>
      <c r="P27" s="124">
        <v>6.94</v>
      </c>
      <c r="Q27" s="124">
        <v>9.8000000000000007</v>
      </c>
      <c r="R27" s="124">
        <v>81.96</v>
      </c>
      <c r="S27" s="124">
        <v>1.31</v>
      </c>
      <c r="T27" s="116"/>
    </row>
    <row r="28" spans="1:20">
      <c r="A28" s="130" t="s">
        <v>220</v>
      </c>
      <c r="B28" s="124">
        <v>6.3</v>
      </c>
      <c r="C28" s="127">
        <v>9.8000000000000004E-2</v>
      </c>
      <c r="D28" s="124">
        <v>213</v>
      </c>
      <c r="E28" s="124">
        <v>433</v>
      </c>
      <c r="F28" s="124">
        <v>4319</v>
      </c>
      <c r="G28" s="124">
        <v>238</v>
      </c>
      <c r="H28" s="124">
        <v>5.2</v>
      </c>
      <c r="I28" s="124">
        <v>43</v>
      </c>
      <c r="J28" s="124">
        <v>13.45</v>
      </c>
      <c r="K28" s="121">
        <v>1.8988800000000001</v>
      </c>
      <c r="L28" s="124">
        <v>0.99</v>
      </c>
      <c r="M28" s="124">
        <v>0.56000000000000005</v>
      </c>
      <c r="N28" s="124">
        <v>10.8</v>
      </c>
      <c r="O28" s="124">
        <v>1.1000000000000001</v>
      </c>
      <c r="P28" s="124">
        <v>7.36</v>
      </c>
      <c r="Q28" s="124">
        <v>8.18</v>
      </c>
      <c r="R28" s="124">
        <v>80.3</v>
      </c>
      <c r="S28" s="124">
        <v>4.16</v>
      </c>
      <c r="T28" s="117"/>
    </row>
    <row r="29" spans="1:20">
      <c r="A29" s="130" t="s">
        <v>221</v>
      </c>
      <c r="B29" s="124">
        <v>6.7</v>
      </c>
      <c r="C29" s="127">
        <v>8.6999999999999994E-2</v>
      </c>
      <c r="D29" s="124">
        <v>116</v>
      </c>
      <c r="E29" s="124">
        <v>393</v>
      </c>
      <c r="F29" s="124">
        <v>4605</v>
      </c>
      <c r="G29" s="124">
        <v>232</v>
      </c>
      <c r="H29" s="124">
        <v>5.0999999999999996</v>
      </c>
      <c r="I29" s="124">
        <v>50</v>
      </c>
      <c r="J29" s="124">
        <v>14.18</v>
      </c>
      <c r="K29" s="121">
        <v>1.52908</v>
      </c>
      <c r="L29" s="124">
        <v>0.97</v>
      </c>
      <c r="M29" s="124">
        <v>0.5</v>
      </c>
      <c r="N29" s="124">
        <v>11.51</v>
      </c>
      <c r="O29" s="124">
        <v>1.2</v>
      </c>
      <c r="P29" s="124">
        <v>6.84</v>
      </c>
      <c r="Q29" s="124">
        <v>8.4600000000000009</v>
      </c>
      <c r="R29" s="124">
        <v>81.17</v>
      </c>
      <c r="S29" s="124">
        <v>3.53</v>
      </c>
      <c r="T29" s="116"/>
    </row>
    <row r="30" spans="1:20">
      <c r="A30" s="130" t="s">
        <v>222</v>
      </c>
      <c r="B30" s="124">
        <v>6.9</v>
      </c>
      <c r="C30" s="127">
        <v>7.5999999999999998E-2</v>
      </c>
      <c r="D30" s="129">
        <v>72</v>
      </c>
      <c r="E30" s="129">
        <v>259</v>
      </c>
      <c r="F30" s="129">
        <v>3569</v>
      </c>
      <c r="G30" s="129">
        <v>164</v>
      </c>
      <c r="H30" s="129">
        <v>3.7</v>
      </c>
      <c r="I30" s="129">
        <v>41</v>
      </c>
      <c r="J30" s="129">
        <v>9.93</v>
      </c>
      <c r="K30" s="122">
        <v>1.3071999999999999</v>
      </c>
      <c r="L30" s="129">
        <v>0.68</v>
      </c>
      <c r="M30" s="129">
        <v>0.33</v>
      </c>
      <c r="N30" s="129">
        <v>8.92</v>
      </c>
      <c r="O30" s="129">
        <v>0</v>
      </c>
      <c r="P30" s="129">
        <v>6.85</v>
      </c>
      <c r="Q30" s="129">
        <v>0</v>
      </c>
      <c r="R30" s="129">
        <v>89.83</v>
      </c>
      <c r="S30" s="129">
        <v>3.32</v>
      </c>
      <c r="T30" s="118"/>
    </row>
    <row r="31" spans="1:20">
      <c r="A31" s="130" t="s">
        <v>223</v>
      </c>
      <c r="B31" s="124">
        <v>6.7</v>
      </c>
      <c r="C31" s="127">
        <v>9.5000000000000001E-2</v>
      </c>
      <c r="D31" s="124">
        <v>140</v>
      </c>
      <c r="E31" s="124">
        <v>426</v>
      </c>
      <c r="F31" s="124">
        <v>5511</v>
      </c>
      <c r="G31" s="124">
        <v>258</v>
      </c>
      <c r="H31" s="124">
        <v>5.3</v>
      </c>
      <c r="I31" s="124">
        <v>42</v>
      </c>
      <c r="J31" s="124">
        <v>16.11</v>
      </c>
      <c r="K31" s="121">
        <v>1.89716</v>
      </c>
      <c r="L31" s="124">
        <v>1.08</v>
      </c>
      <c r="M31" s="124">
        <v>0.55000000000000004</v>
      </c>
      <c r="N31" s="124">
        <v>13.78</v>
      </c>
      <c r="O31" s="124">
        <v>0.7</v>
      </c>
      <c r="P31" s="124">
        <v>6.7</v>
      </c>
      <c r="Q31" s="124">
        <v>4.3499999999999996</v>
      </c>
      <c r="R31" s="124">
        <v>85.54</v>
      </c>
      <c r="S31" s="124">
        <v>3.41</v>
      </c>
      <c r="T31" s="116"/>
    </row>
    <row r="32" spans="1:20">
      <c r="A32" s="130" t="s">
        <v>224</v>
      </c>
      <c r="B32" s="124">
        <v>7</v>
      </c>
      <c r="C32" s="127">
        <v>8.1000000000000003E-2</v>
      </c>
      <c r="D32" s="124">
        <v>58</v>
      </c>
      <c r="E32" s="124">
        <v>223</v>
      </c>
      <c r="F32" s="124">
        <v>5293</v>
      </c>
      <c r="G32" s="124">
        <v>217</v>
      </c>
      <c r="H32" s="124">
        <v>4.5</v>
      </c>
      <c r="I32" s="124">
        <v>55</v>
      </c>
      <c r="J32" s="124">
        <v>14.42</v>
      </c>
      <c r="K32" s="121">
        <v>1.3983599999999998</v>
      </c>
      <c r="L32" s="124">
        <v>0.9</v>
      </c>
      <c r="M32" s="124">
        <v>0.28999999999999998</v>
      </c>
      <c r="N32" s="124">
        <v>13.23</v>
      </c>
      <c r="O32" s="124">
        <v>0</v>
      </c>
      <c r="P32" s="124">
        <v>6.24</v>
      </c>
      <c r="Q32" s="124">
        <v>0</v>
      </c>
      <c r="R32" s="124">
        <v>91.75</v>
      </c>
      <c r="S32" s="124">
        <v>2.0099999999999998</v>
      </c>
      <c r="T32" s="116"/>
    </row>
    <row r="33" spans="1:20">
      <c r="A33" s="130" t="s">
        <v>225</v>
      </c>
      <c r="B33" s="124">
        <v>6.7</v>
      </c>
      <c r="C33" s="127">
        <v>5.6000000000000001E-2</v>
      </c>
      <c r="D33" s="129">
        <v>21</v>
      </c>
      <c r="E33" s="129">
        <v>89</v>
      </c>
      <c r="F33" s="129">
        <v>3999</v>
      </c>
      <c r="G33" s="129">
        <v>131</v>
      </c>
      <c r="H33" s="129">
        <v>3.1</v>
      </c>
      <c r="I33" s="129">
        <v>64</v>
      </c>
      <c r="J33" s="129">
        <v>11.26</v>
      </c>
      <c r="K33" s="122">
        <v>0.91848000000000007</v>
      </c>
      <c r="L33" s="129">
        <v>0.55000000000000004</v>
      </c>
      <c r="M33" s="129">
        <v>0.11</v>
      </c>
      <c r="N33" s="129">
        <v>10</v>
      </c>
      <c r="O33" s="129">
        <v>0.6</v>
      </c>
      <c r="P33" s="129">
        <v>4.88</v>
      </c>
      <c r="Q33" s="129">
        <v>5.33</v>
      </c>
      <c r="R33" s="129">
        <v>88.81</v>
      </c>
      <c r="S33" s="129">
        <v>0.98</v>
      </c>
      <c r="T33" s="118"/>
    </row>
    <row r="34" spans="1:20">
      <c r="A34" s="130" t="s">
        <v>226</v>
      </c>
      <c r="B34" s="124">
        <v>6.7</v>
      </c>
      <c r="C34" s="127">
        <v>8.2000000000000003E-2</v>
      </c>
      <c r="D34" s="129">
        <v>110</v>
      </c>
      <c r="E34" s="129">
        <v>301</v>
      </c>
      <c r="F34" s="129">
        <v>5105</v>
      </c>
      <c r="G34" s="129">
        <v>250</v>
      </c>
      <c r="H34" s="129">
        <v>4.9000000000000004</v>
      </c>
      <c r="I34" s="129">
        <v>40</v>
      </c>
      <c r="J34" s="129">
        <v>14.89</v>
      </c>
      <c r="K34" s="122">
        <v>1.48952</v>
      </c>
      <c r="L34" s="129">
        <v>1.04</v>
      </c>
      <c r="M34" s="129">
        <v>0.39</v>
      </c>
      <c r="N34" s="129">
        <v>12.76</v>
      </c>
      <c r="O34" s="129">
        <v>0.7</v>
      </c>
      <c r="P34" s="129">
        <v>6.98</v>
      </c>
      <c r="Q34" s="129">
        <v>4.7</v>
      </c>
      <c r="R34" s="129">
        <v>85.7</v>
      </c>
      <c r="S34" s="129">
        <v>2.62</v>
      </c>
      <c r="T34" s="118"/>
    </row>
    <row r="35" spans="1:20">
      <c r="A35" s="130" t="s">
        <v>227</v>
      </c>
      <c r="B35" s="124">
        <v>7.5</v>
      </c>
      <c r="C35" s="127">
        <v>0.10100000000000001</v>
      </c>
      <c r="D35" s="124">
        <v>153</v>
      </c>
      <c r="E35" s="124">
        <v>220</v>
      </c>
      <c r="F35" s="124">
        <v>5816</v>
      </c>
      <c r="G35" s="124">
        <v>245</v>
      </c>
      <c r="H35" s="124">
        <v>8.6</v>
      </c>
      <c r="I35" s="124">
        <v>43</v>
      </c>
      <c r="J35" s="124">
        <v>15.84</v>
      </c>
      <c r="K35" s="121">
        <v>1.94876</v>
      </c>
      <c r="L35" s="124">
        <v>1.02</v>
      </c>
      <c r="M35" s="124">
        <v>0.28000000000000003</v>
      </c>
      <c r="N35" s="124">
        <v>14.54</v>
      </c>
      <c r="O35" s="124">
        <v>0</v>
      </c>
      <c r="P35" s="124">
        <v>6.44</v>
      </c>
      <c r="Q35" s="124">
        <v>0</v>
      </c>
      <c r="R35" s="124">
        <v>91.79</v>
      </c>
      <c r="S35" s="124">
        <v>1.77</v>
      </c>
      <c r="T35" s="116"/>
    </row>
    <row r="36" spans="1:20">
      <c r="A36" s="130" t="s">
        <v>228</v>
      </c>
      <c r="B36" s="124">
        <v>7.9</v>
      </c>
      <c r="C36" s="127">
        <v>0.11899999999999999</v>
      </c>
      <c r="D36" s="124">
        <v>198</v>
      </c>
      <c r="E36" s="124">
        <v>231</v>
      </c>
      <c r="F36" s="124">
        <v>8945</v>
      </c>
      <c r="G36" s="124">
        <v>304</v>
      </c>
      <c r="H36" s="124">
        <v>12</v>
      </c>
      <c r="I36" s="124">
        <v>56</v>
      </c>
      <c r="J36" s="124">
        <v>23.93</v>
      </c>
      <c r="K36" s="121">
        <v>2.3959600000000001</v>
      </c>
      <c r="L36" s="124">
        <v>1.27</v>
      </c>
      <c r="M36" s="124">
        <v>0.3</v>
      </c>
      <c r="N36" s="124">
        <v>22.36</v>
      </c>
      <c r="O36" s="124">
        <v>0</v>
      </c>
      <c r="P36" s="124">
        <v>5.31</v>
      </c>
      <c r="Q36" s="124">
        <v>0</v>
      </c>
      <c r="R36" s="124">
        <v>93.44</v>
      </c>
      <c r="S36" s="124">
        <v>1.25</v>
      </c>
      <c r="T36" s="117"/>
    </row>
    <row r="37" spans="1:20">
      <c r="A37" s="130" t="s">
        <v>229</v>
      </c>
      <c r="B37" s="124">
        <v>6.2</v>
      </c>
      <c r="C37" s="127">
        <v>0.10299999999999999</v>
      </c>
      <c r="D37" s="129">
        <v>269</v>
      </c>
      <c r="E37" s="129">
        <v>392</v>
      </c>
      <c r="F37" s="129">
        <v>5063</v>
      </c>
      <c r="G37" s="129">
        <v>274</v>
      </c>
      <c r="H37" s="129">
        <v>5.9</v>
      </c>
      <c r="I37" s="129">
        <v>43</v>
      </c>
      <c r="J37" s="129">
        <v>15.5</v>
      </c>
      <c r="K37" s="122">
        <v>2.0708799999999998</v>
      </c>
      <c r="L37" s="129">
        <v>1.1399999999999999</v>
      </c>
      <c r="M37" s="129">
        <v>0.5</v>
      </c>
      <c r="N37" s="129">
        <v>12.66</v>
      </c>
      <c r="O37" s="129">
        <v>1.2</v>
      </c>
      <c r="P37" s="129">
        <v>7.35</v>
      </c>
      <c r="Q37" s="129">
        <v>7.74</v>
      </c>
      <c r="R37" s="129">
        <v>81.680000000000007</v>
      </c>
      <c r="S37" s="129">
        <v>3.23</v>
      </c>
      <c r="T37" s="118"/>
    </row>
    <row r="38" spans="1:20">
      <c r="A38" s="130" t="s">
        <v>230</v>
      </c>
      <c r="B38" s="124">
        <v>6.5</v>
      </c>
      <c r="C38" s="127">
        <v>7.8E-2</v>
      </c>
      <c r="D38" s="124">
        <v>62</v>
      </c>
      <c r="E38" s="124">
        <v>271</v>
      </c>
      <c r="F38" s="124">
        <v>5411</v>
      </c>
      <c r="G38" s="124">
        <v>252</v>
      </c>
      <c r="H38" s="124">
        <v>4.7</v>
      </c>
      <c r="I38" s="124">
        <v>69</v>
      </c>
      <c r="J38" s="124">
        <v>16.13</v>
      </c>
      <c r="K38" s="121">
        <v>1.40696</v>
      </c>
      <c r="L38" s="124">
        <v>1.05</v>
      </c>
      <c r="M38" s="124">
        <v>0.35</v>
      </c>
      <c r="N38" s="124">
        <v>13.53</v>
      </c>
      <c r="O38" s="124">
        <v>1.2</v>
      </c>
      <c r="P38" s="124">
        <v>6.51</v>
      </c>
      <c r="Q38" s="124">
        <v>7.44</v>
      </c>
      <c r="R38" s="124">
        <v>83.88</v>
      </c>
      <c r="S38" s="124">
        <v>2.17</v>
      </c>
      <c r="T38" s="117"/>
    </row>
    <row r="39" spans="1:20">
      <c r="A39" s="130" t="s">
        <v>231</v>
      </c>
      <c r="B39" s="124">
        <v>6.9</v>
      </c>
      <c r="C39" s="127">
        <v>6.6000000000000003E-2</v>
      </c>
      <c r="D39" s="124">
        <v>26</v>
      </c>
      <c r="E39" s="124">
        <v>152</v>
      </c>
      <c r="F39" s="124">
        <v>5701</v>
      </c>
      <c r="G39" s="124">
        <v>226</v>
      </c>
      <c r="H39" s="124">
        <v>2.6</v>
      </c>
      <c r="I39" s="124">
        <v>119</v>
      </c>
      <c r="J39" s="124">
        <v>15.78</v>
      </c>
      <c r="K39" s="121">
        <v>1.10768</v>
      </c>
      <c r="L39" s="124">
        <v>0.94</v>
      </c>
      <c r="M39" s="124">
        <v>0.19</v>
      </c>
      <c r="N39" s="124">
        <v>14.25</v>
      </c>
      <c r="O39" s="124">
        <v>0.4</v>
      </c>
      <c r="P39" s="124">
        <v>5.96</v>
      </c>
      <c r="Q39" s="124">
        <v>2.5299999999999998</v>
      </c>
      <c r="R39" s="124">
        <v>90.3</v>
      </c>
      <c r="S39" s="124">
        <v>1.2</v>
      </c>
      <c r="T39" s="116"/>
    </row>
    <row r="40" spans="1:20">
      <c r="A40" s="130" t="s">
        <v>232</v>
      </c>
      <c r="B40" s="124">
        <v>8</v>
      </c>
      <c r="C40" s="127">
        <v>0.122</v>
      </c>
      <c r="D40" s="124">
        <v>204</v>
      </c>
      <c r="E40" s="124">
        <v>488</v>
      </c>
      <c r="F40" s="124">
        <v>5013</v>
      </c>
      <c r="G40" s="124">
        <v>299</v>
      </c>
      <c r="H40" s="124">
        <v>8.1</v>
      </c>
      <c r="I40" s="124">
        <v>42</v>
      </c>
      <c r="J40" s="124">
        <v>14.41</v>
      </c>
      <c r="K40" s="121">
        <v>2.1981600000000001</v>
      </c>
      <c r="L40" s="124">
        <v>1.25</v>
      </c>
      <c r="M40" s="124">
        <v>0.63</v>
      </c>
      <c r="N40" s="124">
        <v>12.53</v>
      </c>
      <c r="O40" s="124">
        <v>0</v>
      </c>
      <c r="P40" s="124">
        <v>8.67</v>
      </c>
      <c r="Q40" s="124">
        <v>0</v>
      </c>
      <c r="R40" s="124">
        <v>86.95</v>
      </c>
      <c r="S40" s="124">
        <v>4.37</v>
      </c>
      <c r="T40" s="116"/>
    </row>
    <row r="41" spans="1:20">
      <c r="A41" s="130" t="s">
        <v>233</v>
      </c>
      <c r="B41" s="124">
        <v>8</v>
      </c>
      <c r="C41" s="127">
        <v>0.108</v>
      </c>
      <c r="D41" s="124">
        <v>174</v>
      </c>
      <c r="E41" s="124">
        <v>385</v>
      </c>
      <c r="F41" s="124">
        <v>8458</v>
      </c>
      <c r="G41" s="124">
        <v>295</v>
      </c>
      <c r="H41" s="124">
        <v>7</v>
      </c>
      <c r="I41" s="124">
        <v>44</v>
      </c>
      <c r="J41" s="124">
        <v>22.87</v>
      </c>
      <c r="K41" s="121">
        <v>2.0038</v>
      </c>
      <c r="L41" s="124">
        <v>1.23</v>
      </c>
      <c r="M41" s="124">
        <v>0.49</v>
      </c>
      <c r="N41" s="124">
        <v>21.15</v>
      </c>
      <c r="O41" s="124">
        <v>0</v>
      </c>
      <c r="P41" s="124">
        <v>5.38</v>
      </c>
      <c r="Q41" s="124">
        <v>0</v>
      </c>
      <c r="R41" s="124">
        <v>92.48</v>
      </c>
      <c r="S41" s="124">
        <v>2.14</v>
      </c>
      <c r="T41" s="117"/>
    </row>
    <row r="42" spans="1:20">
      <c r="A42" s="130" t="s">
        <v>234</v>
      </c>
      <c r="B42" s="124">
        <v>7.8</v>
      </c>
      <c r="C42" s="127">
        <v>0.114</v>
      </c>
      <c r="D42" s="124">
        <v>197</v>
      </c>
      <c r="E42" s="124">
        <v>361</v>
      </c>
      <c r="F42" s="124">
        <v>8666</v>
      </c>
      <c r="G42" s="124">
        <v>297</v>
      </c>
      <c r="H42" s="124">
        <v>8.9</v>
      </c>
      <c r="I42" s="124">
        <v>55</v>
      </c>
      <c r="J42" s="124">
        <v>23.37</v>
      </c>
      <c r="K42" s="121">
        <v>2.38564</v>
      </c>
      <c r="L42" s="124">
        <v>1.24</v>
      </c>
      <c r="M42" s="124">
        <v>0.46</v>
      </c>
      <c r="N42" s="124">
        <v>21.67</v>
      </c>
      <c r="O42" s="124">
        <v>0</v>
      </c>
      <c r="P42" s="124">
        <v>5.31</v>
      </c>
      <c r="Q42" s="124">
        <v>0</v>
      </c>
      <c r="R42" s="124">
        <v>92.73</v>
      </c>
      <c r="S42" s="124">
        <v>1.97</v>
      </c>
      <c r="T42" s="116"/>
    </row>
    <row r="43" spans="1:20">
      <c r="A43" s="130" t="s">
        <v>235</v>
      </c>
      <c r="B43" s="124">
        <v>8.1</v>
      </c>
      <c r="C43" s="127">
        <v>0.28999999999999998</v>
      </c>
      <c r="D43" s="124">
        <v>477</v>
      </c>
      <c r="E43" s="124">
        <v>672</v>
      </c>
      <c r="F43" s="124">
        <v>6372</v>
      </c>
      <c r="G43" s="124">
        <v>647</v>
      </c>
      <c r="H43" s="124">
        <v>6.7</v>
      </c>
      <c r="I43" s="124">
        <v>45</v>
      </c>
      <c r="J43" s="124">
        <v>19.489999999999998</v>
      </c>
      <c r="K43" s="121">
        <v>6.2212399999999999</v>
      </c>
      <c r="L43" s="124">
        <v>2.7</v>
      </c>
      <c r="M43" s="124">
        <v>0.86</v>
      </c>
      <c r="N43" s="124">
        <v>15.93</v>
      </c>
      <c r="O43" s="124">
        <v>0</v>
      </c>
      <c r="P43" s="124">
        <v>13.85</v>
      </c>
      <c r="Q43" s="124">
        <v>0</v>
      </c>
      <c r="R43" s="124">
        <v>81.73</v>
      </c>
      <c r="S43" s="124">
        <v>4.41</v>
      </c>
      <c r="T43" s="116"/>
    </row>
    <row r="44" spans="1:20">
      <c r="A44" s="130" t="s">
        <v>236</v>
      </c>
      <c r="B44" s="124">
        <v>8.1</v>
      </c>
      <c r="C44" s="127">
        <v>0.246</v>
      </c>
      <c r="D44" s="124">
        <v>370</v>
      </c>
      <c r="E44" s="124">
        <v>633</v>
      </c>
      <c r="F44" s="124">
        <v>6197</v>
      </c>
      <c r="G44" s="124">
        <v>577</v>
      </c>
      <c r="H44" s="124">
        <v>5.2</v>
      </c>
      <c r="I44" s="124">
        <v>45</v>
      </c>
      <c r="J44" s="124">
        <v>18.7</v>
      </c>
      <c r="K44" s="121">
        <v>4.8142800000000001</v>
      </c>
      <c r="L44" s="124">
        <v>2.4</v>
      </c>
      <c r="M44" s="124">
        <v>0.81</v>
      </c>
      <c r="N44" s="124">
        <v>15.49</v>
      </c>
      <c r="O44" s="124">
        <v>0</v>
      </c>
      <c r="P44" s="124">
        <v>12.83</v>
      </c>
      <c r="Q44" s="124">
        <v>0</v>
      </c>
      <c r="R44" s="124">
        <v>82.83</v>
      </c>
      <c r="S44" s="124">
        <v>4.33</v>
      </c>
      <c r="T44" s="116"/>
    </row>
    <row r="45" spans="1:20">
      <c r="A45" s="130" t="s">
        <v>237</v>
      </c>
      <c r="B45" s="124">
        <v>8.1</v>
      </c>
      <c r="C45" s="127">
        <v>0.156</v>
      </c>
      <c r="D45" s="124">
        <v>223</v>
      </c>
      <c r="E45" s="124">
        <v>550</v>
      </c>
      <c r="F45" s="124">
        <v>5618</v>
      </c>
      <c r="G45" s="124">
        <v>429</v>
      </c>
      <c r="H45" s="124">
        <v>4.2</v>
      </c>
      <c r="I45" s="124">
        <v>48</v>
      </c>
      <c r="J45" s="124">
        <v>16.55</v>
      </c>
      <c r="K45" s="121">
        <v>3.0977199999999998</v>
      </c>
      <c r="L45" s="124">
        <v>1.79</v>
      </c>
      <c r="M45" s="124">
        <v>0.71</v>
      </c>
      <c r="N45" s="124">
        <v>14.05</v>
      </c>
      <c r="O45" s="124">
        <v>0</v>
      </c>
      <c r="P45" s="124">
        <v>10.82</v>
      </c>
      <c r="Q45" s="124">
        <v>0</v>
      </c>
      <c r="R45" s="124">
        <v>84.89</v>
      </c>
      <c r="S45" s="124">
        <v>4.29</v>
      </c>
      <c r="T45" s="116"/>
    </row>
    <row r="46" spans="1:20">
      <c r="A46" s="130" t="s">
        <v>238</v>
      </c>
      <c r="B46" s="124">
        <v>7.9</v>
      </c>
      <c r="C46" s="127">
        <v>0.159</v>
      </c>
      <c r="D46" s="124">
        <v>234</v>
      </c>
      <c r="E46" s="124">
        <v>579</v>
      </c>
      <c r="F46" s="124">
        <v>4885</v>
      </c>
      <c r="G46" s="124">
        <v>366</v>
      </c>
      <c r="H46" s="124">
        <v>7.3</v>
      </c>
      <c r="I46" s="124">
        <v>39</v>
      </c>
      <c r="J46" s="124">
        <v>14.48</v>
      </c>
      <c r="K46" s="121">
        <v>2.7141600000000001</v>
      </c>
      <c r="L46" s="124">
        <v>1.53</v>
      </c>
      <c r="M46" s="124">
        <v>0.74</v>
      </c>
      <c r="N46" s="124">
        <v>12.21</v>
      </c>
      <c r="O46" s="124">
        <v>0</v>
      </c>
      <c r="P46" s="124">
        <v>10.57</v>
      </c>
      <c r="Q46" s="124">
        <v>0</v>
      </c>
      <c r="R46" s="124">
        <v>84.32</v>
      </c>
      <c r="S46" s="124">
        <v>5.1100000000000003</v>
      </c>
      <c r="T46" s="116"/>
    </row>
    <row r="47" spans="1:20">
      <c r="A47" s="130" t="s">
        <v>239</v>
      </c>
      <c r="B47" s="124">
        <v>7.8</v>
      </c>
      <c r="C47" s="127">
        <v>0.14799999999999999</v>
      </c>
      <c r="D47" s="124">
        <v>196</v>
      </c>
      <c r="E47" s="124">
        <v>551</v>
      </c>
      <c r="F47" s="124">
        <v>8114</v>
      </c>
      <c r="G47" s="124">
        <v>338</v>
      </c>
      <c r="H47" s="124">
        <v>4.2</v>
      </c>
      <c r="I47" s="124">
        <v>38</v>
      </c>
      <c r="J47" s="124">
        <v>22.41</v>
      </c>
      <c r="K47" s="121">
        <v>2.5026000000000002</v>
      </c>
      <c r="L47" s="124">
        <v>1.41</v>
      </c>
      <c r="M47" s="124">
        <v>0.71</v>
      </c>
      <c r="N47" s="124">
        <v>20.29</v>
      </c>
      <c r="O47" s="124">
        <v>0</v>
      </c>
      <c r="P47" s="124">
        <v>6.29</v>
      </c>
      <c r="Q47" s="124">
        <v>0</v>
      </c>
      <c r="R47" s="124">
        <v>90.54</v>
      </c>
      <c r="S47" s="124">
        <v>3.17</v>
      </c>
      <c r="T47" s="116"/>
    </row>
    <row r="48" spans="1:20">
      <c r="A48" s="130" t="s">
        <v>240</v>
      </c>
      <c r="B48" s="124">
        <v>7.7</v>
      </c>
      <c r="C48" s="127">
        <v>0.10100000000000001</v>
      </c>
      <c r="D48" s="124">
        <v>88</v>
      </c>
      <c r="E48" s="124">
        <v>419</v>
      </c>
      <c r="F48" s="124">
        <v>8350</v>
      </c>
      <c r="G48" s="124">
        <v>287</v>
      </c>
      <c r="H48" s="124">
        <v>1.9</v>
      </c>
      <c r="I48" s="124">
        <v>54</v>
      </c>
      <c r="J48" s="124">
        <v>22.62</v>
      </c>
      <c r="K48" s="121">
        <v>1.7096799999999999</v>
      </c>
      <c r="L48" s="124">
        <v>1.2</v>
      </c>
      <c r="M48" s="124">
        <v>0.54</v>
      </c>
      <c r="N48" s="124">
        <v>20.88</v>
      </c>
      <c r="O48" s="124">
        <v>0</v>
      </c>
      <c r="P48" s="124">
        <v>5.31</v>
      </c>
      <c r="Q48" s="124">
        <v>0</v>
      </c>
      <c r="R48" s="124">
        <v>92.31</v>
      </c>
      <c r="S48" s="124">
        <v>2.39</v>
      </c>
      <c r="T48" s="117"/>
    </row>
    <row r="49" spans="1:20">
      <c r="A49" s="130" t="s">
        <v>241</v>
      </c>
      <c r="B49" s="124">
        <v>7.9</v>
      </c>
      <c r="C49" s="127">
        <v>0.22</v>
      </c>
      <c r="D49" s="124">
        <v>435</v>
      </c>
      <c r="E49" s="124">
        <v>723</v>
      </c>
      <c r="F49" s="124">
        <v>5121</v>
      </c>
      <c r="G49" s="124">
        <v>566</v>
      </c>
      <c r="H49" s="124">
        <v>9.3000000000000007</v>
      </c>
      <c r="I49" s="124">
        <v>47</v>
      </c>
      <c r="J49" s="124">
        <v>16.09</v>
      </c>
      <c r="K49" s="121">
        <v>4.1933600000000002</v>
      </c>
      <c r="L49" s="124">
        <v>2.36</v>
      </c>
      <c r="M49" s="124">
        <v>0.93</v>
      </c>
      <c r="N49" s="124">
        <v>12.8</v>
      </c>
      <c r="O49" s="124">
        <v>0</v>
      </c>
      <c r="P49" s="124">
        <v>14.67</v>
      </c>
      <c r="Q49" s="124">
        <v>0</v>
      </c>
      <c r="R49" s="124">
        <v>79.55</v>
      </c>
      <c r="S49" s="124">
        <v>5.78</v>
      </c>
      <c r="T49" s="116"/>
    </row>
    <row r="50" spans="1:20">
      <c r="A50" s="130" t="s">
        <v>242</v>
      </c>
      <c r="B50" s="124">
        <v>8</v>
      </c>
      <c r="C50" s="127">
        <v>0.161</v>
      </c>
      <c r="D50" s="124">
        <v>362</v>
      </c>
      <c r="E50" s="124">
        <v>672</v>
      </c>
      <c r="F50" s="124">
        <v>5230</v>
      </c>
      <c r="G50" s="124">
        <v>480</v>
      </c>
      <c r="H50" s="124">
        <v>8.4</v>
      </c>
      <c r="I50" s="124">
        <v>41</v>
      </c>
      <c r="J50" s="124">
        <v>15.94</v>
      </c>
      <c r="K50" s="121">
        <v>2.7881200000000002</v>
      </c>
      <c r="L50" s="124">
        <v>2</v>
      </c>
      <c r="M50" s="124">
        <v>0.86</v>
      </c>
      <c r="N50" s="124">
        <v>13.08</v>
      </c>
      <c r="O50" s="124">
        <v>0</v>
      </c>
      <c r="P50" s="124">
        <v>12.55</v>
      </c>
      <c r="Q50" s="124">
        <v>0</v>
      </c>
      <c r="R50" s="124">
        <v>82.06</v>
      </c>
      <c r="S50" s="124">
        <v>5.4</v>
      </c>
      <c r="T50" s="117"/>
    </row>
    <row r="51" spans="1:20">
      <c r="A51" s="130" t="s">
        <v>243</v>
      </c>
      <c r="B51" s="124">
        <v>7.9</v>
      </c>
      <c r="C51" s="127">
        <v>0.122</v>
      </c>
      <c r="D51" s="129">
        <v>133</v>
      </c>
      <c r="E51" s="129">
        <v>516</v>
      </c>
      <c r="F51" s="129">
        <v>7719</v>
      </c>
      <c r="G51" s="129">
        <v>324</v>
      </c>
      <c r="H51" s="129">
        <v>3</v>
      </c>
      <c r="I51" s="129">
        <v>37</v>
      </c>
      <c r="J51" s="129">
        <v>21.31</v>
      </c>
      <c r="K51" s="122">
        <v>1.96252</v>
      </c>
      <c r="L51" s="129">
        <v>1.35</v>
      </c>
      <c r="M51" s="129">
        <v>0.66</v>
      </c>
      <c r="N51" s="129">
        <v>19.3</v>
      </c>
      <c r="O51" s="129">
        <v>0</v>
      </c>
      <c r="P51" s="129">
        <v>6.34</v>
      </c>
      <c r="Q51" s="129">
        <v>0</v>
      </c>
      <c r="R51" s="129">
        <v>90.57</v>
      </c>
      <c r="S51" s="129">
        <v>3.1</v>
      </c>
      <c r="T51" s="118"/>
    </row>
    <row r="52" spans="1:20">
      <c r="A52" s="130" t="s">
        <v>244</v>
      </c>
      <c r="B52" s="124">
        <v>7.9</v>
      </c>
      <c r="C52" s="127">
        <v>0.36</v>
      </c>
      <c r="D52" s="124">
        <v>907</v>
      </c>
      <c r="E52" s="124">
        <v>518</v>
      </c>
      <c r="F52" s="124">
        <v>5840</v>
      </c>
      <c r="G52" s="124">
        <v>896</v>
      </c>
      <c r="H52" s="124">
        <v>24.9</v>
      </c>
      <c r="I52" s="124">
        <v>45</v>
      </c>
      <c r="J52" s="124">
        <v>18.989999999999998</v>
      </c>
      <c r="K52" s="121">
        <v>6.5858800000000004</v>
      </c>
      <c r="L52" s="124">
        <v>3.73</v>
      </c>
      <c r="M52" s="124">
        <v>0.66</v>
      </c>
      <c r="N52" s="124">
        <v>14.6</v>
      </c>
      <c r="O52" s="124">
        <v>0</v>
      </c>
      <c r="P52" s="124">
        <v>19.64</v>
      </c>
      <c r="Q52" s="124">
        <v>0</v>
      </c>
      <c r="R52" s="124">
        <v>76.88</v>
      </c>
      <c r="S52" s="124">
        <v>3.48</v>
      </c>
      <c r="T52" s="117"/>
    </row>
    <row r="53" spans="1:20">
      <c r="A53" s="130" t="s">
        <v>245</v>
      </c>
      <c r="B53" s="124">
        <v>7.6</v>
      </c>
      <c r="C53" s="127">
        <v>0.20499999999999999</v>
      </c>
      <c r="D53" s="124">
        <v>374</v>
      </c>
      <c r="E53" s="124">
        <v>449</v>
      </c>
      <c r="F53" s="124">
        <v>9088</v>
      </c>
      <c r="G53" s="124">
        <v>495</v>
      </c>
      <c r="H53" s="124">
        <v>11.1</v>
      </c>
      <c r="I53" s="124">
        <v>42</v>
      </c>
      <c r="J53" s="124">
        <v>25.36</v>
      </c>
      <c r="K53" s="121">
        <v>3.7100399999999998</v>
      </c>
      <c r="L53" s="124">
        <v>2.06</v>
      </c>
      <c r="M53" s="124">
        <v>0.57999999999999996</v>
      </c>
      <c r="N53" s="124">
        <v>22.72</v>
      </c>
      <c r="O53" s="124">
        <v>0</v>
      </c>
      <c r="P53" s="124">
        <v>8.1199999999999992</v>
      </c>
      <c r="Q53" s="124">
        <v>0</v>
      </c>
      <c r="R53" s="124">
        <v>89.59</v>
      </c>
      <c r="S53" s="124">
        <v>2.29</v>
      </c>
      <c r="T53" s="116"/>
    </row>
    <row r="54" spans="1:20">
      <c r="A54" s="130" t="s">
        <v>246</v>
      </c>
      <c r="B54" s="124">
        <v>7.3</v>
      </c>
      <c r="C54" s="127">
        <v>0.14399999999999999</v>
      </c>
      <c r="D54" s="124">
        <v>211</v>
      </c>
      <c r="E54" s="124">
        <v>357</v>
      </c>
      <c r="F54" s="124">
        <v>6182</v>
      </c>
      <c r="G54" s="124">
        <v>382</v>
      </c>
      <c r="H54" s="124">
        <v>7.4</v>
      </c>
      <c r="I54" s="124">
        <v>73</v>
      </c>
      <c r="J54" s="124">
        <v>17.510000000000002</v>
      </c>
      <c r="K54" s="121">
        <v>2.3959600000000001</v>
      </c>
      <c r="L54" s="124">
        <v>1.59</v>
      </c>
      <c r="M54" s="124">
        <v>0.46</v>
      </c>
      <c r="N54" s="124">
        <v>15.46</v>
      </c>
      <c r="O54" s="124">
        <v>0</v>
      </c>
      <c r="P54" s="124">
        <v>9.08</v>
      </c>
      <c r="Q54" s="124">
        <v>0</v>
      </c>
      <c r="R54" s="124">
        <v>88.29</v>
      </c>
      <c r="S54" s="124">
        <v>2.63</v>
      </c>
      <c r="T54" s="117"/>
    </row>
    <row r="55" spans="1:20">
      <c r="A55" s="130" t="s">
        <v>247</v>
      </c>
      <c r="B55" s="124">
        <v>7.7</v>
      </c>
      <c r="C55" s="127">
        <v>0.19900000000000001</v>
      </c>
      <c r="D55" s="129">
        <v>546</v>
      </c>
      <c r="E55" s="129">
        <v>478</v>
      </c>
      <c r="F55" s="129">
        <v>3533</v>
      </c>
      <c r="G55" s="129">
        <v>474</v>
      </c>
      <c r="H55" s="129">
        <v>13.9</v>
      </c>
      <c r="I55" s="129">
        <v>37</v>
      </c>
      <c r="J55" s="129">
        <v>11.42</v>
      </c>
      <c r="K55" s="122">
        <v>3.64812</v>
      </c>
      <c r="L55" s="129">
        <v>1.98</v>
      </c>
      <c r="M55" s="129">
        <v>0.61</v>
      </c>
      <c r="N55" s="129">
        <v>8.83</v>
      </c>
      <c r="O55" s="129">
        <v>0</v>
      </c>
      <c r="P55" s="129">
        <v>17.34</v>
      </c>
      <c r="Q55" s="129">
        <v>0</v>
      </c>
      <c r="R55" s="129">
        <v>77.319999999999993</v>
      </c>
      <c r="S55" s="129">
        <v>5.34</v>
      </c>
      <c r="T55" s="118"/>
    </row>
    <row r="56" spans="1:20">
      <c r="A56" s="130" t="s">
        <v>248</v>
      </c>
      <c r="B56" s="124">
        <v>7.8</v>
      </c>
      <c r="C56" s="127">
        <v>0.14099999999999999</v>
      </c>
      <c r="D56" s="124">
        <v>210</v>
      </c>
      <c r="E56" s="124">
        <v>476</v>
      </c>
      <c r="F56" s="124">
        <v>5402</v>
      </c>
      <c r="G56" s="124">
        <v>364</v>
      </c>
      <c r="H56" s="124">
        <v>5.7</v>
      </c>
      <c r="I56" s="124">
        <v>41</v>
      </c>
      <c r="J56" s="124">
        <v>15.64</v>
      </c>
      <c r="K56" s="121">
        <v>2.51464</v>
      </c>
      <c r="L56" s="124">
        <v>1.52</v>
      </c>
      <c r="M56" s="124">
        <v>0.61</v>
      </c>
      <c r="N56" s="124">
        <v>13.51</v>
      </c>
      <c r="O56" s="124">
        <v>0</v>
      </c>
      <c r="P56" s="124">
        <v>9.7200000000000006</v>
      </c>
      <c r="Q56" s="124">
        <v>0</v>
      </c>
      <c r="R56" s="124">
        <v>86.38</v>
      </c>
      <c r="S56" s="124">
        <v>3.9</v>
      </c>
      <c r="T56" s="116"/>
    </row>
    <row r="57" spans="1:20">
      <c r="A57" s="130" t="s">
        <v>249</v>
      </c>
      <c r="B57" s="124">
        <v>7.5</v>
      </c>
      <c r="C57" s="127">
        <v>9.6000000000000002E-2</v>
      </c>
      <c r="D57" s="124">
        <v>88</v>
      </c>
      <c r="E57" s="124">
        <v>363</v>
      </c>
      <c r="F57" s="124">
        <v>7514</v>
      </c>
      <c r="G57" s="124">
        <v>337</v>
      </c>
      <c r="H57" s="124">
        <v>3.3</v>
      </c>
      <c r="I57" s="124">
        <v>51</v>
      </c>
      <c r="J57" s="124">
        <v>20.66</v>
      </c>
      <c r="K57" s="121">
        <v>1.6821599999999999</v>
      </c>
      <c r="L57" s="124">
        <v>1.4</v>
      </c>
      <c r="M57" s="124">
        <v>0.47</v>
      </c>
      <c r="N57" s="124">
        <v>18.79</v>
      </c>
      <c r="O57" s="124">
        <v>0</v>
      </c>
      <c r="P57" s="124">
        <v>6.78</v>
      </c>
      <c r="Q57" s="124">
        <v>0</v>
      </c>
      <c r="R57" s="124">
        <v>90.95</v>
      </c>
      <c r="S57" s="124">
        <v>2.27</v>
      </c>
      <c r="T57" s="116"/>
    </row>
    <row r="58" spans="1:20">
      <c r="A58" s="130" t="s">
        <v>250</v>
      </c>
      <c r="B58" s="124">
        <v>7.8</v>
      </c>
      <c r="C58" s="127">
        <v>0.19500000000000001</v>
      </c>
      <c r="D58" s="124">
        <v>334</v>
      </c>
      <c r="E58" s="124">
        <v>379</v>
      </c>
      <c r="F58" s="124">
        <v>4141</v>
      </c>
      <c r="G58" s="124">
        <v>311</v>
      </c>
      <c r="H58" s="124">
        <v>14.9</v>
      </c>
      <c r="I58" s="124">
        <v>49</v>
      </c>
      <c r="J58" s="124">
        <v>12.14</v>
      </c>
      <c r="K58" s="121">
        <v>3.9181599999999999</v>
      </c>
      <c r="L58" s="124">
        <v>1.3</v>
      </c>
      <c r="M58" s="124">
        <v>0.49</v>
      </c>
      <c r="N58" s="124">
        <v>10.35</v>
      </c>
      <c r="O58" s="124">
        <v>0</v>
      </c>
      <c r="P58" s="124">
        <v>10.71</v>
      </c>
      <c r="Q58" s="124">
        <v>0</v>
      </c>
      <c r="R58" s="124">
        <v>85.26</v>
      </c>
      <c r="S58" s="124">
        <v>4.04</v>
      </c>
      <c r="T58" s="117"/>
    </row>
    <row r="59" spans="1:20">
      <c r="A59" s="130" t="s">
        <v>251</v>
      </c>
      <c r="B59" s="124">
        <v>7.6</v>
      </c>
      <c r="C59" s="127">
        <v>0.14599999999999999</v>
      </c>
      <c r="D59" s="124">
        <v>174</v>
      </c>
      <c r="E59" s="124">
        <v>291</v>
      </c>
      <c r="F59" s="124">
        <v>5893</v>
      </c>
      <c r="G59" s="124">
        <v>249</v>
      </c>
      <c r="H59" s="124">
        <v>12.4</v>
      </c>
      <c r="I59" s="124">
        <v>72</v>
      </c>
      <c r="J59" s="124">
        <v>16.14</v>
      </c>
      <c r="K59" s="121">
        <v>2.6229999999999998</v>
      </c>
      <c r="L59" s="124">
        <v>1.04</v>
      </c>
      <c r="M59" s="124">
        <v>0.37</v>
      </c>
      <c r="N59" s="124">
        <v>14.73</v>
      </c>
      <c r="O59" s="124">
        <v>0</v>
      </c>
      <c r="P59" s="124">
        <v>6.44</v>
      </c>
      <c r="Q59" s="124">
        <v>0</v>
      </c>
      <c r="R59" s="124">
        <v>91.26</v>
      </c>
      <c r="S59" s="124">
        <v>2.29</v>
      </c>
      <c r="T59" s="116"/>
    </row>
    <row r="60" spans="1:20">
      <c r="A60" s="130" t="s">
        <v>252</v>
      </c>
      <c r="B60" s="124">
        <v>6.6</v>
      </c>
      <c r="C60" s="127">
        <v>0.123</v>
      </c>
      <c r="D60" s="124">
        <v>115</v>
      </c>
      <c r="E60" s="124">
        <v>169</v>
      </c>
      <c r="F60" s="124">
        <v>2964</v>
      </c>
      <c r="G60" s="124">
        <v>188</v>
      </c>
      <c r="H60" s="124">
        <v>11.3</v>
      </c>
      <c r="I60" s="124">
        <v>87</v>
      </c>
      <c r="J60" s="124">
        <v>8.91</v>
      </c>
      <c r="K60" s="121">
        <v>2.2136399999999998</v>
      </c>
      <c r="L60" s="124">
        <v>0.78</v>
      </c>
      <c r="M60" s="124">
        <v>0.22</v>
      </c>
      <c r="N60" s="124">
        <v>7.41</v>
      </c>
      <c r="O60" s="124">
        <v>0.5</v>
      </c>
      <c r="P60" s="124">
        <v>8.75</v>
      </c>
      <c r="Q60" s="124">
        <v>5.61</v>
      </c>
      <c r="R60" s="124">
        <v>83.16</v>
      </c>
      <c r="S60" s="124">
        <v>2.4700000000000002</v>
      </c>
      <c r="T60" s="117"/>
    </row>
    <row r="61" spans="1:20">
      <c r="A61" s="130"/>
      <c r="B61" s="124"/>
      <c r="C61" s="127"/>
      <c r="D61" s="124"/>
      <c r="E61" s="124"/>
      <c r="F61" s="124"/>
      <c r="G61" s="124"/>
      <c r="H61" s="124"/>
      <c r="I61" s="124"/>
      <c r="J61" s="124"/>
      <c r="K61" s="121"/>
      <c r="L61" s="124"/>
      <c r="M61" s="124"/>
      <c r="N61" s="124"/>
      <c r="O61" s="124"/>
      <c r="P61" s="124"/>
      <c r="Q61" s="124"/>
      <c r="R61" s="124"/>
      <c r="S61" s="124"/>
      <c r="T61" s="117"/>
    </row>
    <row r="62" spans="1:20">
      <c r="A62" s="132" t="s">
        <v>351</v>
      </c>
      <c r="B62" s="124"/>
      <c r="C62" s="127"/>
      <c r="D62" s="124"/>
      <c r="E62" s="124"/>
      <c r="F62" s="124"/>
      <c r="G62" s="124"/>
      <c r="H62" s="124"/>
      <c r="I62" s="124"/>
      <c r="J62" s="124"/>
      <c r="K62" s="121"/>
      <c r="L62" s="124"/>
      <c r="M62" s="124"/>
      <c r="N62" s="124"/>
      <c r="O62" s="124"/>
      <c r="P62" s="124"/>
      <c r="Q62" s="124"/>
      <c r="R62" s="124"/>
      <c r="S62" s="124"/>
      <c r="T62" s="117"/>
    </row>
    <row r="63" spans="1:20">
      <c r="A63" s="130" t="s">
        <v>253</v>
      </c>
      <c r="B63" s="124">
        <v>7</v>
      </c>
      <c r="C63" s="127">
        <v>0.182</v>
      </c>
      <c r="D63" s="124">
        <v>325</v>
      </c>
      <c r="E63" s="124">
        <v>302</v>
      </c>
      <c r="F63" s="124">
        <v>6616</v>
      </c>
      <c r="G63" s="124">
        <v>390</v>
      </c>
      <c r="H63" s="124">
        <v>18.899999999999999</v>
      </c>
      <c r="I63" s="124">
        <v>53</v>
      </c>
      <c r="J63" s="124">
        <v>18.559999999999999</v>
      </c>
      <c r="K63" s="121">
        <v>3.6085599999999998</v>
      </c>
      <c r="L63" s="124">
        <v>1.63</v>
      </c>
      <c r="M63" s="124">
        <v>0.39</v>
      </c>
      <c r="N63" s="124">
        <v>16.54</v>
      </c>
      <c r="O63" s="124">
        <v>0</v>
      </c>
      <c r="P63" s="124">
        <v>8.7799999999999994</v>
      </c>
      <c r="Q63" s="124">
        <v>0</v>
      </c>
      <c r="R63" s="124">
        <v>89.12</v>
      </c>
      <c r="S63" s="124">
        <v>2.1</v>
      </c>
      <c r="T63" s="117"/>
    </row>
    <row r="64" spans="1:20">
      <c r="A64" s="130" t="s">
        <v>254</v>
      </c>
      <c r="B64" s="124">
        <v>7</v>
      </c>
      <c r="C64" s="127">
        <v>0.13700000000000001</v>
      </c>
      <c r="D64" s="124">
        <v>238</v>
      </c>
      <c r="E64" s="124">
        <v>138</v>
      </c>
      <c r="F64" s="124">
        <v>5061</v>
      </c>
      <c r="G64" s="124">
        <v>331</v>
      </c>
      <c r="H64" s="124">
        <v>15.9</v>
      </c>
      <c r="I64" s="124">
        <v>38</v>
      </c>
      <c r="J64" s="124">
        <v>14.21</v>
      </c>
      <c r="K64" s="121">
        <v>2.2549199999999998</v>
      </c>
      <c r="L64" s="124">
        <v>1.38</v>
      </c>
      <c r="M64" s="124">
        <v>0.18</v>
      </c>
      <c r="N64" s="124">
        <v>12.65</v>
      </c>
      <c r="O64" s="124">
        <v>0</v>
      </c>
      <c r="P64" s="124">
        <v>9.7100000000000009</v>
      </c>
      <c r="Q64" s="124">
        <v>0</v>
      </c>
      <c r="R64" s="124">
        <v>89.02</v>
      </c>
      <c r="S64" s="124">
        <v>1.27</v>
      </c>
      <c r="T64" s="117"/>
    </row>
    <row r="65" spans="1:20">
      <c r="A65" s="130" t="s">
        <v>255</v>
      </c>
      <c r="B65" s="124">
        <v>6.6</v>
      </c>
      <c r="C65" s="127">
        <v>0.123</v>
      </c>
      <c r="D65" s="129">
        <v>231</v>
      </c>
      <c r="E65" s="129">
        <v>105</v>
      </c>
      <c r="F65" s="129">
        <v>4491</v>
      </c>
      <c r="G65" s="129">
        <v>326</v>
      </c>
      <c r="H65" s="129">
        <v>14.6</v>
      </c>
      <c r="I65" s="129">
        <v>46</v>
      </c>
      <c r="J65" s="129">
        <v>13.52</v>
      </c>
      <c r="K65" s="122">
        <v>2.03132</v>
      </c>
      <c r="L65" s="129">
        <v>1.36</v>
      </c>
      <c r="M65" s="129">
        <v>0.13</v>
      </c>
      <c r="N65" s="129">
        <v>11.23</v>
      </c>
      <c r="O65" s="129">
        <v>0.8</v>
      </c>
      <c r="P65" s="129">
        <v>10.06</v>
      </c>
      <c r="Q65" s="129">
        <v>5.92</v>
      </c>
      <c r="R65" s="129">
        <v>83.06</v>
      </c>
      <c r="S65" s="129">
        <v>0.96</v>
      </c>
      <c r="T65" s="116"/>
    </row>
    <row r="66" spans="1:20">
      <c r="A66" s="130" t="s">
        <v>256</v>
      </c>
      <c r="B66" s="124">
        <v>6.6</v>
      </c>
      <c r="C66" s="127">
        <v>0.24099999999999999</v>
      </c>
      <c r="D66" s="124">
        <v>374</v>
      </c>
      <c r="E66" s="124">
        <v>279</v>
      </c>
      <c r="F66" s="124">
        <v>8737</v>
      </c>
      <c r="G66" s="124">
        <v>496</v>
      </c>
      <c r="H66" s="124">
        <v>20.9</v>
      </c>
      <c r="I66" s="124">
        <v>98</v>
      </c>
      <c r="J66" s="124">
        <v>24.47</v>
      </c>
      <c r="K66" s="121">
        <v>5.8445600000000004</v>
      </c>
      <c r="L66" s="124">
        <v>2.0699999999999998</v>
      </c>
      <c r="M66" s="124">
        <v>0.36</v>
      </c>
      <c r="N66" s="124">
        <v>21.84</v>
      </c>
      <c r="O66" s="124">
        <v>0.2</v>
      </c>
      <c r="P66" s="124">
        <v>8.4600000000000009</v>
      </c>
      <c r="Q66" s="124">
        <v>0.82</v>
      </c>
      <c r="R66" s="124">
        <v>89.25</v>
      </c>
      <c r="S66" s="124">
        <v>1.47</v>
      </c>
      <c r="T66" s="116"/>
    </row>
    <row r="67" spans="1:20">
      <c r="A67" s="130" t="s">
        <v>257</v>
      </c>
      <c r="B67" s="124">
        <v>6.8</v>
      </c>
      <c r="C67" s="127">
        <v>0.13900000000000001</v>
      </c>
      <c r="D67" s="129">
        <v>236</v>
      </c>
      <c r="E67" s="129">
        <v>128</v>
      </c>
      <c r="F67" s="129">
        <v>4434</v>
      </c>
      <c r="G67" s="129">
        <v>310</v>
      </c>
      <c r="H67" s="129">
        <v>17.399999999999999</v>
      </c>
      <c r="I67" s="129">
        <v>36</v>
      </c>
      <c r="J67" s="129">
        <v>12.94</v>
      </c>
      <c r="K67" s="122">
        <v>2.3839199999999998</v>
      </c>
      <c r="L67" s="129">
        <v>1.29</v>
      </c>
      <c r="M67" s="129">
        <v>0.16</v>
      </c>
      <c r="N67" s="129">
        <v>11.09</v>
      </c>
      <c r="O67" s="129">
        <v>0.4</v>
      </c>
      <c r="P67" s="129">
        <v>9.9700000000000006</v>
      </c>
      <c r="Q67" s="129">
        <v>3.09</v>
      </c>
      <c r="R67" s="129">
        <v>85.7</v>
      </c>
      <c r="S67" s="129">
        <v>1.24</v>
      </c>
      <c r="T67" s="118"/>
    </row>
    <row r="68" spans="1:20">
      <c r="A68" s="130" t="s">
        <v>258</v>
      </c>
      <c r="B68" s="124">
        <v>6.5</v>
      </c>
      <c r="C68" s="127">
        <v>0.151</v>
      </c>
      <c r="D68" s="124">
        <v>286</v>
      </c>
      <c r="E68" s="124">
        <v>100</v>
      </c>
      <c r="F68" s="124">
        <v>3982</v>
      </c>
      <c r="G68" s="124">
        <v>284</v>
      </c>
      <c r="H68" s="124">
        <v>23.3</v>
      </c>
      <c r="I68" s="124">
        <v>47</v>
      </c>
      <c r="J68" s="124">
        <v>12.07</v>
      </c>
      <c r="K68" s="121">
        <v>2.5352799999999998</v>
      </c>
      <c r="L68" s="124">
        <v>1.18</v>
      </c>
      <c r="M68" s="124">
        <v>0.13</v>
      </c>
      <c r="N68" s="124">
        <v>9.9600000000000009</v>
      </c>
      <c r="O68" s="124">
        <v>0.8</v>
      </c>
      <c r="P68" s="124">
        <v>9.7799999999999994</v>
      </c>
      <c r="Q68" s="124">
        <v>6.63</v>
      </c>
      <c r="R68" s="124">
        <v>82.52</v>
      </c>
      <c r="S68" s="124">
        <v>1.08</v>
      </c>
      <c r="T68" s="116"/>
    </row>
    <row r="69" spans="1:20">
      <c r="A69" s="130" t="s">
        <v>259</v>
      </c>
      <c r="B69" s="124">
        <v>5.9</v>
      </c>
      <c r="C69" s="127">
        <v>0.25700000000000001</v>
      </c>
      <c r="D69" s="124">
        <v>478</v>
      </c>
      <c r="E69" s="124">
        <v>1081</v>
      </c>
      <c r="F69" s="124">
        <v>9055</v>
      </c>
      <c r="G69" s="124">
        <v>795</v>
      </c>
      <c r="H69" s="124">
        <v>19.3</v>
      </c>
      <c r="I69" s="124">
        <v>247</v>
      </c>
      <c r="J69" s="124">
        <v>28.64</v>
      </c>
      <c r="K69" s="121">
        <v>4.8469600000000002</v>
      </c>
      <c r="L69" s="124">
        <v>3.31</v>
      </c>
      <c r="M69" s="124">
        <v>1.39</v>
      </c>
      <c r="N69" s="124">
        <v>22.64</v>
      </c>
      <c r="O69" s="124">
        <v>1.3</v>
      </c>
      <c r="P69" s="124">
        <v>11.56</v>
      </c>
      <c r="Q69" s="124">
        <v>4.54</v>
      </c>
      <c r="R69" s="124">
        <v>79.05</v>
      </c>
      <c r="S69" s="124">
        <v>4.8499999999999996</v>
      </c>
      <c r="T69" s="116"/>
    </row>
    <row r="70" spans="1:20">
      <c r="A70" s="130" t="s">
        <v>260</v>
      </c>
      <c r="B70" s="124">
        <v>6.8</v>
      </c>
      <c r="C70" s="127">
        <v>0.13400000000000001</v>
      </c>
      <c r="D70" s="129">
        <v>265</v>
      </c>
      <c r="E70" s="129">
        <v>153</v>
      </c>
      <c r="F70" s="129">
        <v>5244</v>
      </c>
      <c r="G70" s="129">
        <v>359</v>
      </c>
      <c r="H70" s="129">
        <v>16.399999999999999</v>
      </c>
      <c r="I70" s="129">
        <v>57</v>
      </c>
      <c r="J70" s="129">
        <v>15.11</v>
      </c>
      <c r="K70" s="122">
        <v>2.1310800000000003</v>
      </c>
      <c r="L70" s="129">
        <v>1.5</v>
      </c>
      <c r="M70" s="129">
        <v>0.2</v>
      </c>
      <c r="N70" s="129">
        <v>13.11</v>
      </c>
      <c r="O70" s="129">
        <v>0.3</v>
      </c>
      <c r="P70" s="129">
        <v>9.93</v>
      </c>
      <c r="Q70" s="129">
        <v>1.99</v>
      </c>
      <c r="R70" s="129">
        <v>86.76</v>
      </c>
      <c r="S70" s="129">
        <v>1.32</v>
      </c>
      <c r="T70" s="118"/>
    </row>
    <row r="71" spans="1:20">
      <c r="A71" s="130" t="s">
        <v>261</v>
      </c>
      <c r="B71" s="124">
        <v>6.6</v>
      </c>
      <c r="C71" s="127">
        <v>0.13900000000000001</v>
      </c>
      <c r="D71" s="129">
        <v>285</v>
      </c>
      <c r="E71" s="129">
        <v>121</v>
      </c>
      <c r="F71" s="129">
        <v>4912</v>
      </c>
      <c r="G71" s="129">
        <v>331</v>
      </c>
      <c r="H71" s="129">
        <v>17.3</v>
      </c>
      <c r="I71" s="129">
        <v>41</v>
      </c>
      <c r="J71" s="129">
        <v>14.52</v>
      </c>
      <c r="K71" s="122">
        <v>2.24804</v>
      </c>
      <c r="L71" s="129">
        <v>1.38</v>
      </c>
      <c r="M71" s="129">
        <v>0.16</v>
      </c>
      <c r="N71" s="129">
        <v>12.28</v>
      </c>
      <c r="O71" s="129">
        <v>0.7</v>
      </c>
      <c r="P71" s="129">
        <v>9.5</v>
      </c>
      <c r="Q71" s="129">
        <v>4.82</v>
      </c>
      <c r="R71" s="129">
        <v>84.57</v>
      </c>
      <c r="S71" s="129">
        <v>1.1000000000000001</v>
      </c>
      <c r="T71" s="118"/>
    </row>
    <row r="72" spans="1:20">
      <c r="A72" s="130" t="s">
        <v>262</v>
      </c>
      <c r="B72" s="124">
        <v>6.9</v>
      </c>
      <c r="C72" s="127">
        <v>0.187</v>
      </c>
      <c r="D72" s="129">
        <v>343</v>
      </c>
      <c r="E72" s="129">
        <v>159</v>
      </c>
      <c r="F72" s="129">
        <v>7953</v>
      </c>
      <c r="G72" s="129">
        <v>518</v>
      </c>
      <c r="H72" s="129">
        <v>23.3</v>
      </c>
      <c r="I72" s="129">
        <v>125</v>
      </c>
      <c r="J72" s="129">
        <v>22.24</v>
      </c>
      <c r="K72" s="122">
        <v>4.2965600000000004</v>
      </c>
      <c r="L72" s="129">
        <v>2.16</v>
      </c>
      <c r="M72" s="129">
        <v>0.2</v>
      </c>
      <c r="N72" s="129">
        <v>19.88</v>
      </c>
      <c r="O72" s="129">
        <v>0</v>
      </c>
      <c r="P72" s="129">
        <v>9.7100000000000009</v>
      </c>
      <c r="Q72" s="129">
        <v>0</v>
      </c>
      <c r="R72" s="129">
        <v>89.39</v>
      </c>
      <c r="S72" s="129">
        <v>0.9</v>
      </c>
      <c r="T72" s="118"/>
    </row>
    <row r="73" spans="1:20">
      <c r="A73" s="130" t="s">
        <v>263</v>
      </c>
      <c r="B73" s="124">
        <v>6.3</v>
      </c>
      <c r="C73" s="127">
        <v>0.14599999999999999</v>
      </c>
      <c r="D73" s="124">
        <v>252</v>
      </c>
      <c r="E73" s="124">
        <v>87</v>
      </c>
      <c r="F73" s="124">
        <v>4100</v>
      </c>
      <c r="G73" s="124">
        <v>288</v>
      </c>
      <c r="H73" s="124">
        <v>20</v>
      </c>
      <c r="I73" s="124">
        <v>68</v>
      </c>
      <c r="J73" s="124">
        <v>12.56</v>
      </c>
      <c r="K73" s="121">
        <v>2.4303599999999999</v>
      </c>
      <c r="L73" s="124">
        <v>1.2</v>
      </c>
      <c r="M73" s="124">
        <v>0.11</v>
      </c>
      <c r="N73" s="124">
        <v>10.25</v>
      </c>
      <c r="O73" s="124">
        <v>1</v>
      </c>
      <c r="P73" s="124">
        <v>9.5500000000000007</v>
      </c>
      <c r="Q73" s="124">
        <v>7.96</v>
      </c>
      <c r="R73" s="124">
        <v>81.61</v>
      </c>
      <c r="S73" s="124">
        <v>0.88</v>
      </c>
      <c r="T73" s="117"/>
    </row>
    <row r="74" spans="1:20">
      <c r="A74" s="130" t="s">
        <v>264</v>
      </c>
      <c r="B74" s="124">
        <v>6.5</v>
      </c>
      <c r="C74" s="127">
        <v>0.192</v>
      </c>
      <c r="D74" s="124">
        <v>273</v>
      </c>
      <c r="E74" s="124">
        <v>106</v>
      </c>
      <c r="F74" s="124">
        <v>4202</v>
      </c>
      <c r="G74" s="124">
        <v>296</v>
      </c>
      <c r="H74" s="124">
        <v>22.2</v>
      </c>
      <c r="I74" s="124">
        <v>82</v>
      </c>
      <c r="J74" s="124">
        <v>12.68</v>
      </c>
      <c r="K74" s="121">
        <v>2.4699199999999997</v>
      </c>
      <c r="L74" s="124">
        <v>1.23</v>
      </c>
      <c r="M74" s="124">
        <v>0.14000000000000001</v>
      </c>
      <c r="N74" s="124">
        <v>10.51</v>
      </c>
      <c r="O74" s="124">
        <v>0.8</v>
      </c>
      <c r="P74" s="124">
        <v>9.6999999999999993</v>
      </c>
      <c r="Q74" s="124">
        <v>6.31</v>
      </c>
      <c r="R74" s="124">
        <v>82.89</v>
      </c>
      <c r="S74" s="124">
        <v>1.1000000000000001</v>
      </c>
      <c r="T74" s="116"/>
    </row>
    <row r="75" spans="1:20">
      <c r="A75" s="130" t="s">
        <v>265</v>
      </c>
      <c r="B75" s="124">
        <v>6.5</v>
      </c>
      <c r="C75" s="127">
        <v>0.20599999999999999</v>
      </c>
      <c r="D75" s="129">
        <v>423</v>
      </c>
      <c r="E75" s="129">
        <v>207</v>
      </c>
      <c r="F75" s="129">
        <v>7534</v>
      </c>
      <c r="G75" s="129">
        <v>478</v>
      </c>
      <c r="H75" s="129">
        <v>19.899999999999999</v>
      </c>
      <c r="I75" s="129">
        <v>151</v>
      </c>
      <c r="J75" s="129">
        <v>21.9</v>
      </c>
      <c r="K75" s="122">
        <v>4.4272799999999997</v>
      </c>
      <c r="L75" s="129">
        <v>1.99</v>
      </c>
      <c r="M75" s="129">
        <v>0.27</v>
      </c>
      <c r="N75" s="129">
        <v>18.84</v>
      </c>
      <c r="O75" s="129">
        <v>0.8</v>
      </c>
      <c r="P75" s="129">
        <v>9.09</v>
      </c>
      <c r="Q75" s="129">
        <v>3.65</v>
      </c>
      <c r="R75" s="129">
        <v>86.03</v>
      </c>
      <c r="S75" s="129">
        <v>1.23</v>
      </c>
      <c r="T75" s="118"/>
    </row>
    <row r="76" spans="1:20">
      <c r="A76" s="130" t="s">
        <v>266</v>
      </c>
      <c r="B76" s="124">
        <v>6.6</v>
      </c>
      <c r="C76" s="127">
        <v>0.151</v>
      </c>
      <c r="D76" s="124">
        <v>290</v>
      </c>
      <c r="E76" s="124">
        <v>131</v>
      </c>
      <c r="F76" s="124">
        <v>5567</v>
      </c>
      <c r="G76" s="124">
        <v>343</v>
      </c>
      <c r="H76" s="124">
        <v>17.399999999999999</v>
      </c>
      <c r="I76" s="124">
        <v>38</v>
      </c>
      <c r="J76" s="124">
        <v>15.92</v>
      </c>
      <c r="K76" s="121">
        <v>2.5542000000000002</v>
      </c>
      <c r="L76" s="124">
        <v>1.43</v>
      </c>
      <c r="M76" s="124">
        <v>0.17</v>
      </c>
      <c r="N76" s="124">
        <v>13.92</v>
      </c>
      <c r="O76" s="124">
        <v>0.4</v>
      </c>
      <c r="P76" s="124">
        <v>8.98</v>
      </c>
      <c r="Q76" s="124">
        <v>2.5099999999999998</v>
      </c>
      <c r="R76" s="124">
        <v>87.44</v>
      </c>
      <c r="S76" s="124">
        <v>1.07</v>
      </c>
      <c r="T76" s="116"/>
    </row>
    <row r="77" spans="1:20">
      <c r="A77" s="130" t="s">
        <v>267</v>
      </c>
      <c r="B77" s="124">
        <v>6.9</v>
      </c>
      <c r="C77" s="127">
        <v>0.155</v>
      </c>
      <c r="D77" s="124">
        <v>346</v>
      </c>
      <c r="E77" s="124">
        <v>105</v>
      </c>
      <c r="F77" s="124">
        <v>4779</v>
      </c>
      <c r="G77" s="124">
        <v>283</v>
      </c>
      <c r="H77" s="124">
        <v>20.3</v>
      </c>
      <c r="I77" s="124">
        <v>46</v>
      </c>
      <c r="J77" s="124">
        <v>13.86</v>
      </c>
      <c r="K77" s="121">
        <v>2.6092399999999998</v>
      </c>
      <c r="L77" s="124">
        <v>1.18</v>
      </c>
      <c r="M77" s="124">
        <v>0.13</v>
      </c>
      <c r="N77" s="124">
        <v>11.95</v>
      </c>
      <c r="O77" s="124">
        <v>0.6</v>
      </c>
      <c r="P77" s="124">
        <v>8.51</v>
      </c>
      <c r="Q77" s="124">
        <v>4.33</v>
      </c>
      <c r="R77" s="124">
        <v>86.22</v>
      </c>
      <c r="S77" s="124">
        <v>0.94</v>
      </c>
      <c r="T77" s="117"/>
    </row>
    <row r="78" spans="1:20">
      <c r="A78" s="130" t="s">
        <v>268</v>
      </c>
      <c r="B78" s="124">
        <v>6.6</v>
      </c>
      <c r="C78" s="127">
        <v>0.217</v>
      </c>
      <c r="D78" s="124">
        <v>477</v>
      </c>
      <c r="E78" s="124">
        <v>445</v>
      </c>
      <c r="F78" s="124">
        <v>8638</v>
      </c>
      <c r="G78" s="124">
        <v>601</v>
      </c>
      <c r="H78" s="124">
        <v>22.2</v>
      </c>
      <c r="I78" s="124">
        <v>141</v>
      </c>
      <c r="J78" s="124">
        <v>24.97</v>
      </c>
      <c r="K78" s="121">
        <v>4.8693200000000001</v>
      </c>
      <c r="L78" s="124">
        <v>2.5</v>
      </c>
      <c r="M78" s="124">
        <v>0.56999999999999995</v>
      </c>
      <c r="N78" s="124">
        <v>21.6</v>
      </c>
      <c r="O78" s="124">
        <v>0.3</v>
      </c>
      <c r="P78" s="124">
        <v>10.01</v>
      </c>
      <c r="Q78" s="124">
        <v>1.2</v>
      </c>
      <c r="R78" s="124">
        <v>86.5</v>
      </c>
      <c r="S78" s="124">
        <v>2.2799999999999998</v>
      </c>
      <c r="T78" s="117"/>
    </row>
    <row r="79" spans="1:20">
      <c r="A79" s="130" t="s">
        <v>269</v>
      </c>
      <c r="B79" s="124">
        <v>6.4</v>
      </c>
      <c r="C79" s="127">
        <v>0.153</v>
      </c>
      <c r="D79" s="124">
        <v>261</v>
      </c>
      <c r="E79" s="124">
        <v>106</v>
      </c>
      <c r="F79" s="124">
        <v>4317</v>
      </c>
      <c r="G79" s="124">
        <v>290</v>
      </c>
      <c r="H79" s="124">
        <v>23.5</v>
      </c>
      <c r="I79" s="124">
        <v>45</v>
      </c>
      <c r="J79" s="124">
        <v>13.14</v>
      </c>
      <c r="K79" s="121">
        <v>2.4561599999999997</v>
      </c>
      <c r="L79" s="124">
        <v>1.21</v>
      </c>
      <c r="M79" s="124">
        <v>0.14000000000000001</v>
      </c>
      <c r="N79" s="124">
        <v>10.79</v>
      </c>
      <c r="O79" s="124">
        <v>1</v>
      </c>
      <c r="P79" s="124">
        <v>9.2100000000000009</v>
      </c>
      <c r="Q79" s="124">
        <v>7.61</v>
      </c>
      <c r="R79" s="124">
        <v>82.12</v>
      </c>
      <c r="S79" s="124">
        <v>1.07</v>
      </c>
      <c r="T79" s="116"/>
    </row>
    <row r="80" spans="1:20">
      <c r="A80" s="130" t="s">
        <v>270</v>
      </c>
      <c r="B80" s="124">
        <v>6.6</v>
      </c>
      <c r="C80" s="127">
        <v>0.13700000000000001</v>
      </c>
      <c r="D80" s="129">
        <v>286</v>
      </c>
      <c r="E80" s="129">
        <v>77</v>
      </c>
      <c r="F80" s="129">
        <v>3761</v>
      </c>
      <c r="G80" s="129">
        <v>262</v>
      </c>
      <c r="H80" s="129">
        <v>22.4</v>
      </c>
      <c r="I80" s="129">
        <v>43</v>
      </c>
      <c r="J80" s="129">
        <v>11.19</v>
      </c>
      <c r="K80" s="122">
        <v>2.2084800000000002</v>
      </c>
      <c r="L80" s="129">
        <v>1.0900000000000001</v>
      </c>
      <c r="M80" s="129">
        <v>0.1</v>
      </c>
      <c r="N80" s="129">
        <v>9.4</v>
      </c>
      <c r="O80" s="129">
        <v>0.6</v>
      </c>
      <c r="P80" s="129">
        <v>9.74</v>
      </c>
      <c r="Q80" s="129">
        <v>5.36</v>
      </c>
      <c r="R80" s="129">
        <v>84</v>
      </c>
      <c r="S80" s="129">
        <v>0.89</v>
      </c>
      <c r="T80" s="118"/>
    </row>
    <row r="81" spans="1:20">
      <c r="A81" s="130" t="s">
        <v>271</v>
      </c>
      <c r="B81" s="124">
        <v>6.4</v>
      </c>
      <c r="C81" s="127">
        <v>0.29699999999999999</v>
      </c>
      <c r="D81" s="124">
        <v>444</v>
      </c>
      <c r="E81" s="124">
        <v>293</v>
      </c>
      <c r="F81" s="124">
        <v>7831</v>
      </c>
      <c r="G81" s="124">
        <v>603</v>
      </c>
      <c r="H81" s="124">
        <v>23.9</v>
      </c>
      <c r="I81" s="124">
        <v>235</v>
      </c>
      <c r="J81" s="124">
        <v>22.87</v>
      </c>
      <c r="K81" s="121">
        <v>5.1341999999999999</v>
      </c>
      <c r="L81" s="124">
        <v>2.5099999999999998</v>
      </c>
      <c r="M81" s="124">
        <v>0.38</v>
      </c>
      <c r="N81" s="124">
        <v>19.579999999999998</v>
      </c>
      <c r="O81" s="124">
        <v>0.4</v>
      </c>
      <c r="P81" s="124">
        <v>10.98</v>
      </c>
      <c r="Q81" s="124">
        <v>1.75</v>
      </c>
      <c r="R81" s="124">
        <v>85.61</v>
      </c>
      <c r="S81" s="124">
        <v>1.66</v>
      </c>
      <c r="T81" s="116"/>
    </row>
    <row r="82" spans="1:20">
      <c r="A82" s="130" t="s">
        <v>272</v>
      </c>
      <c r="B82" s="124">
        <v>6.5</v>
      </c>
      <c r="C82" s="127">
        <v>0.17799999999999999</v>
      </c>
      <c r="D82" s="129">
        <v>367</v>
      </c>
      <c r="E82" s="129">
        <v>124</v>
      </c>
      <c r="F82" s="129">
        <v>4980</v>
      </c>
      <c r="G82" s="129">
        <v>324</v>
      </c>
      <c r="H82" s="129">
        <v>22.1</v>
      </c>
      <c r="I82" s="129">
        <v>55</v>
      </c>
      <c r="J82" s="129">
        <v>14.96</v>
      </c>
      <c r="K82" s="122">
        <v>3.0014000000000003</v>
      </c>
      <c r="L82" s="129">
        <v>1.35</v>
      </c>
      <c r="M82" s="129">
        <v>0.16</v>
      </c>
      <c r="N82" s="129">
        <v>12.45</v>
      </c>
      <c r="O82" s="129">
        <v>1</v>
      </c>
      <c r="P82" s="129">
        <v>9.02</v>
      </c>
      <c r="Q82" s="129">
        <v>6.68</v>
      </c>
      <c r="R82" s="129">
        <v>83.22</v>
      </c>
      <c r="S82" s="129">
        <v>1.07</v>
      </c>
      <c r="T82" s="118"/>
    </row>
    <row r="83" spans="1:20">
      <c r="A83" s="130" t="s">
        <v>273</v>
      </c>
      <c r="B83" s="124">
        <v>6.5</v>
      </c>
      <c r="C83" s="127">
        <v>0.16</v>
      </c>
      <c r="D83" s="124">
        <v>344</v>
      </c>
      <c r="E83" s="124">
        <v>117</v>
      </c>
      <c r="F83" s="124">
        <v>4652</v>
      </c>
      <c r="G83" s="124">
        <v>302</v>
      </c>
      <c r="H83" s="124">
        <v>24.6</v>
      </c>
      <c r="I83" s="124">
        <v>61</v>
      </c>
      <c r="J83" s="124">
        <v>14.24</v>
      </c>
      <c r="K83" s="121">
        <v>2.6522399999999999</v>
      </c>
      <c r="L83" s="124">
        <v>1.26</v>
      </c>
      <c r="M83" s="124">
        <v>0.15</v>
      </c>
      <c r="N83" s="124">
        <v>11.63</v>
      </c>
      <c r="O83" s="124">
        <v>1.2</v>
      </c>
      <c r="P83" s="124">
        <v>8.85</v>
      </c>
      <c r="Q83" s="124">
        <v>8.43</v>
      </c>
      <c r="R83" s="124">
        <v>81.67</v>
      </c>
      <c r="S83" s="124">
        <v>1.05</v>
      </c>
      <c r="T83" s="116"/>
    </row>
    <row r="84" spans="1:20">
      <c r="A84" s="130" t="s">
        <v>274</v>
      </c>
      <c r="B84" s="124">
        <v>6.5</v>
      </c>
      <c r="C84" s="127">
        <v>0.46500000000000002</v>
      </c>
      <c r="D84" s="124">
        <v>316</v>
      </c>
      <c r="E84" s="124">
        <v>195</v>
      </c>
      <c r="F84" s="124">
        <v>6037</v>
      </c>
      <c r="G84" s="124">
        <v>447</v>
      </c>
      <c r="H84" s="124">
        <v>24.8</v>
      </c>
      <c r="I84" s="124">
        <v>107</v>
      </c>
      <c r="J84" s="124">
        <v>17.600000000000001</v>
      </c>
      <c r="K84" s="121">
        <v>4.7506399999999998</v>
      </c>
      <c r="L84" s="124">
        <v>1.86</v>
      </c>
      <c r="M84" s="124">
        <v>0.25</v>
      </c>
      <c r="N84" s="124">
        <v>15.09</v>
      </c>
      <c r="O84" s="124">
        <v>0.4</v>
      </c>
      <c r="P84" s="124">
        <v>10.57</v>
      </c>
      <c r="Q84" s="124">
        <v>2.27</v>
      </c>
      <c r="R84" s="124">
        <v>85.74</v>
      </c>
      <c r="S84" s="124">
        <v>1.42</v>
      </c>
      <c r="T84" s="116"/>
    </row>
    <row r="85" spans="1:20">
      <c r="A85" s="130" t="s">
        <v>275</v>
      </c>
      <c r="B85" s="124">
        <v>6.2</v>
      </c>
      <c r="C85" s="127">
        <v>0.16400000000000001</v>
      </c>
      <c r="D85" s="124">
        <v>258</v>
      </c>
      <c r="E85" s="124">
        <v>119</v>
      </c>
      <c r="F85" s="124">
        <v>3759</v>
      </c>
      <c r="G85" s="124">
        <v>281</v>
      </c>
      <c r="H85" s="124">
        <v>26.3</v>
      </c>
      <c r="I85" s="124">
        <v>52</v>
      </c>
      <c r="J85" s="124">
        <v>12.62</v>
      </c>
      <c r="K85" s="121">
        <v>2.6832000000000003</v>
      </c>
      <c r="L85" s="124">
        <v>1.17</v>
      </c>
      <c r="M85" s="124">
        <v>0.15</v>
      </c>
      <c r="N85" s="124">
        <v>9.4</v>
      </c>
      <c r="O85" s="124">
        <v>1.9</v>
      </c>
      <c r="P85" s="124">
        <v>9.27</v>
      </c>
      <c r="Q85" s="124">
        <v>15.06</v>
      </c>
      <c r="R85" s="124">
        <v>74.48</v>
      </c>
      <c r="S85" s="124">
        <v>1.19</v>
      </c>
      <c r="T85" s="117"/>
    </row>
    <row r="86" spans="1:20">
      <c r="A86" s="130" t="s">
        <v>276</v>
      </c>
      <c r="B86" s="124">
        <v>6.1</v>
      </c>
      <c r="C86" s="127">
        <v>0.13300000000000001</v>
      </c>
      <c r="D86" s="124">
        <v>251</v>
      </c>
      <c r="E86" s="124">
        <v>83</v>
      </c>
      <c r="F86" s="124">
        <v>2929</v>
      </c>
      <c r="G86" s="124">
        <v>226</v>
      </c>
      <c r="H86" s="124">
        <v>31</v>
      </c>
      <c r="I86" s="124">
        <v>51</v>
      </c>
      <c r="J86" s="124">
        <v>9.27</v>
      </c>
      <c r="K86" s="121">
        <v>2.2463199999999999</v>
      </c>
      <c r="L86" s="124">
        <v>0.94</v>
      </c>
      <c r="M86" s="124">
        <v>0.11</v>
      </c>
      <c r="N86" s="124">
        <v>7.32</v>
      </c>
      <c r="O86" s="124">
        <v>0.9</v>
      </c>
      <c r="P86" s="124">
        <v>10.14</v>
      </c>
      <c r="Q86" s="124">
        <v>9.7100000000000009</v>
      </c>
      <c r="R86" s="124">
        <v>78.959999999999994</v>
      </c>
      <c r="S86" s="124">
        <v>1.19</v>
      </c>
      <c r="T86" s="116"/>
    </row>
    <row r="87" spans="1:20">
      <c r="A87" s="130" t="s">
        <v>277</v>
      </c>
      <c r="B87" s="124">
        <v>7.1</v>
      </c>
      <c r="C87" s="127">
        <v>0.41299999999999998</v>
      </c>
      <c r="D87" s="124">
        <v>395</v>
      </c>
      <c r="E87" s="124">
        <v>179</v>
      </c>
      <c r="F87" s="124">
        <v>7755</v>
      </c>
      <c r="G87" s="124">
        <v>394</v>
      </c>
      <c r="H87" s="124">
        <v>22.6</v>
      </c>
      <c r="I87" s="124">
        <v>102</v>
      </c>
      <c r="J87" s="124">
        <v>21.26</v>
      </c>
      <c r="K87" s="121">
        <v>3.3626</v>
      </c>
      <c r="L87" s="124">
        <v>1.64</v>
      </c>
      <c r="M87" s="124">
        <v>0.23</v>
      </c>
      <c r="N87" s="124">
        <v>19.39</v>
      </c>
      <c r="O87" s="124">
        <v>0</v>
      </c>
      <c r="P87" s="124">
        <v>7.71</v>
      </c>
      <c r="Q87" s="124">
        <v>0</v>
      </c>
      <c r="R87" s="124">
        <v>91.2</v>
      </c>
      <c r="S87" s="124">
        <v>1.08</v>
      </c>
      <c r="T87" s="116"/>
    </row>
    <row r="88" spans="1:20">
      <c r="A88" s="130" t="s">
        <v>278</v>
      </c>
      <c r="B88" s="124">
        <v>6.8</v>
      </c>
      <c r="C88" s="127">
        <v>0.16800000000000001</v>
      </c>
      <c r="D88" s="124">
        <v>359</v>
      </c>
      <c r="E88" s="124">
        <v>118</v>
      </c>
      <c r="F88" s="124">
        <v>4978</v>
      </c>
      <c r="G88" s="124">
        <v>290</v>
      </c>
      <c r="H88" s="124">
        <v>23.3</v>
      </c>
      <c r="I88" s="124">
        <v>79</v>
      </c>
      <c r="J88" s="124">
        <v>14.21</v>
      </c>
      <c r="K88" s="121">
        <v>2.7554400000000001</v>
      </c>
      <c r="L88" s="124">
        <v>1.21</v>
      </c>
      <c r="M88" s="124">
        <v>0.15</v>
      </c>
      <c r="N88" s="124">
        <v>12.45</v>
      </c>
      <c r="O88" s="124">
        <v>0.4</v>
      </c>
      <c r="P88" s="124">
        <v>8.52</v>
      </c>
      <c r="Q88" s="124">
        <v>2.81</v>
      </c>
      <c r="R88" s="124">
        <v>87.61</v>
      </c>
      <c r="S88" s="124">
        <v>1.06</v>
      </c>
      <c r="T88" s="116"/>
    </row>
    <row r="89" spans="1:20">
      <c r="A89" s="130" t="s">
        <v>279</v>
      </c>
      <c r="B89" s="124">
        <v>6.9</v>
      </c>
      <c r="C89" s="127">
        <v>0.32100000000000001</v>
      </c>
      <c r="D89" s="124">
        <v>421</v>
      </c>
      <c r="E89" s="124">
        <v>100</v>
      </c>
      <c r="F89" s="124">
        <v>4731</v>
      </c>
      <c r="G89" s="124">
        <v>260</v>
      </c>
      <c r="H89" s="124">
        <v>26.4</v>
      </c>
      <c r="I89" s="124">
        <v>120</v>
      </c>
      <c r="J89" s="124">
        <v>13.24</v>
      </c>
      <c r="K89" s="121">
        <v>2.7485599999999999</v>
      </c>
      <c r="L89" s="124">
        <v>1.08</v>
      </c>
      <c r="M89" s="124">
        <v>0.13</v>
      </c>
      <c r="N89" s="124">
        <v>11.83</v>
      </c>
      <c r="O89" s="124">
        <v>0.2</v>
      </c>
      <c r="P89" s="124">
        <v>8.16</v>
      </c>
      <c r="Q89" s="124">
        <v>1.51</v>
      </c>
      <c r="R89" s="124">
        <v>89.35</v>
      </c>
      <c r="S89" s="124">
        <v>0.98</v>
      </c>
      <c r="T89" s="116"/>
    </row>
    <row r="90" spans="1:20">
      <c r="A90" s="130" t="s">
        <v>280</v>
      </c>
      <c r="B90" s="124">
        <v>7.3</v>
      </c>
      <c r="C90" s="127">
        <v>0.16300000000000001</v>
      </c>
      <c r="D90" s="124">
        <v>344</v>
      </c>
      <c r="E90" s="124">
        <v>131</v>
      </c>
      <c r="F90" s="124">
        <v>5417</v>
      </c>
      <c r="G90" s="124">
        <v>320</v>
      </c>
      <c r="H90" s="124">
        <v>24.2</v>
      </c>
      <c r="I90" s="124">
        <v>57</v>
      </c>
      <c r="J90" s="124">
        <v>15.04</v>
      </c>
      <c r="K90" s="121">
        <v>2.9068000000000001</v>
      </c>
      <c r="L90" s="124">
        <v>1.33</v>
      </c>
      <c r="M90" s="124">
        <v>0.17</v>
      </c>
      <c r="N90" s="124">
        <v>13.54</v>
      </c>
      <c r="O90" s="124">
        <v>0</v>
      </c>
      <c r="P90" s="124">
        <v>8.84</v>
      </c>
      <c r="Q90" s="124">
        <v>0</v>
      </c>
      <c r="R90" s="124">
        <v>90.03</v>
      </c>
      <c r="S90" s="124">
        <v>1.1299999999999999</v>
      </c>
      <c r="T90" s="116"/>
    </row>
    <row r="91" spans="1:20">
      <c r="A91" s="130" t="s">
        <v>281</v>
      </c>
      <c r="B91" s="124">
        <v>6.8</v>
      </c>
      <c r="C91" s="127">
        <v>0.46400000000000002</v>
      </c>
      <c r="D91" s="124">
        <v>300</v>
      </c>
      <c r="E91" s="124">
        <v>119</v>
      </c>
      <c r="F91" s="124">
        <v>4402</v>
      </c>
      <c r="G91" s="124">
        <v>289</v>
      </c>
      <c r="H91" s="124">
        <v>23.8</v>
      </c>
      <c r="I91" s="124">
        <v>67</v>
      </c>
      <c r="J91" s="124">
        <v>12.66</v>
      </c>
      <c r="K91" s="121">
        <v>2.4836799999999997</v>
      </c>
      <c r="L91" s="124">
        <v>1.2</v>
      </c>
      <c r="M91" s="124">
        <v>0.15</v>
      </c>
      <c r="N91" s="124">
        <v>11.01</v>
      </c>
      <c r="O91" s="124">
        <v>0.3</v>
      </c>
      <c r="P91" s="124">
        <v>9.48</v>
      </c>
      <c r="Q91" s="124">
        <v>2.37</v>
      </c>
      <c r="R91" s="124">
        <v>86.97</v>
      </c>
      <c r="S91" s="124">
        <v>1.18</v>
      </c>
      <c r="T91" s="116"/>
    </row>
    <row r="92" spans="1:20">
      <c r="A92" s="130" t="s">
        <v>282</v>
      </c>
      <c r="B92" s="124">
        <v>6.7</v>
      </c>
      <c r="C92" s="127">
        <v>0.13400000000000001</v>
      </c>
      <c r="D92" s="124">
        <v>268</v>
      </c>
      <c r="E92" s="124">
        <v>100</v>
      </c>
      <c r="F92" s="124">
        <v>3839</v>
      </c>
      <c r="G92" s="124">
        <v>254</v>
      </c>
      <c r="H92" s="124">
        <v>21</v>
      </c>
      <c r="I92" s="124">
        <v>93</v>
      </c>
      <c r="J92" s="124">
        <v>11.19</v>
      </c>
      <c r="K92" s="121">
        <v>2.1224799999999999</v>
      </c>
      <c r="L92" s="124">
        <v>1.06</v>
      </c>
      <c r="M92" s="124">
        <v>0.13</v>
      </c>
      <c r="N92" s="124">
        <v>9.6</v>
      </c>
      <c r="O92" s="124">
        <v>0.4</v>
      </c>
      <c r="P92" s="124">
        <v>9.4700000000000006</v>
      </c>
      <c r="Q92" s="124">
        <v>3.57</v>
      </c>
      <c r="R92" s="124">
        <v>85.79</v>
      </c>
      <c r="S92" s="124">
        <v>1.1599999999999999</v>
      </c>
      <c r="T92" s="116"/>
    </row>
    <row r="93" spans="1:20">
      <c r="A93" s="130" t="s">
        <v>283</v>
      </c>
      <c r="B93" s="124">
        <v>7.3</v>
      </c>
      <c r="C93" s="127">
        <v>0.186</v>
      </c>
      <c r="D93" s="129">
        <v>503</v>
      </c>
      <c r="E93" s="129">
        <v>173</v>
      </c>
      <c r="F93" s="129">
        <v>7291</v>
      </c>
      <c r="G93" s="129">
        <v>343</v>
      </c>
      <c r="H93" s="129">
        <v>32.1</v>
      </c>
      <c r="I93" s="129">
        <v>75</v>
      </c>
      <c r="J93" s="129">
        <v>19.88</v>
      </c>
      <c r="K93" s="122">
        <v>3.44516</v>
      </c>
      <c r="L93" s="129">
        <v>1.43</v>
      </c>
      <c r="M93" s="129">
        <v>0.22</v>
      </c>
      <c r="N93" s="129">
        <v>18.23</v>
      </c>
      <c r="O93" s="129">
        <v>0</v>
      </c>
      <c r="P93" s="129">
        <v>7.19</v>
      </c>
      <c r="Q93" s="129">
        <v>0</v>
      </c>
      <c r="R93" s="129">
        <v>91.7</v>
      </c>
      <c r="S93" s="129">
        <v>1.1100000000000001</v>
      </c>
      <c r="T93" s="118"/>
    </row>
    <row r="94" spans="1:20">
      <c r="A94" s="130" t="s">
        <v>284</v>
      </c>
      <c r="B94" s="124">
        <v>7.1</v>
      </c>
      <c r="C94" s="127">
        <v>0.189</v>
      </c>
      <c r="D94" s="124">
        <v>536</v>
      </c>
      <c r="E94" s="124">
        <v>131</v>
      </c>
      <c r="F94" s="124">
        <v>5345</v>
      </c>
      <c r="G94" s="124">
        <v>276</v>
      </c>
      <c r="H94" s="124">
        <v>32.6</v>
      </c>
      <c r="I94" s="124">
        <v>60</v>
      </c>
      <c r="J94" s="124">
        <v>14.68</v>
      </c>
      <c r="K94" s="121">
        <v>3.2662800000000001</v>
      </c>
      <c r="L94" s="124">
        <v>1.1499999999999999</v>
      </c>
      <c r="M94" s="124">
        <v>0.17</v>
      </c>
      <c r="N94" s="124">
        <v>13.36</v>
      </c>
      <c r="O94" s="124">
        <v>0</v>
      </c>
      <c r="P94" s="124">
        <v>7.83</v>
      </c>
      <c r="Q94" s="124">
        <v>0</v>
      </c>
      <c r="R94" s="124">
        <v>91.01</v>
      </c>
      <c r="S94" s="124">
        <v>1.1599999999999999</v>
      </c>
      <c r="T94" s="116"/>
    </row>
    <row r="95" spans="1:20">
      <c r="A95" s="130" t="s">
        <v>285</v>
      </c>
      <c r="B95" s="124">
        <v>6.9</v>
      </c>
      <c r="C95" s="127">
        <v>0.185</v>
      </c>
      <c r="D95" s="124">
        <v>471</v>
      </c>
      <c r="E95" s="124">
        <v>129</v>
      </c>
      <c r="F95" s="124">
        <v>5037</v>
      </c>
      <c r="G95" s="124">
        <v>266</v>
      </c>
      <c r="H95" s="124">
        <v>31.5</v>
      </c>
      <c r="I95" s="124">
        <v>55</v>
      </c>
      <c r="J95" s="124">
        <v>14.07</v>
      </c>
      <c r="K95" s="121">
        <v>3.3195999999999999</v>
      </c>
      <c r="L95" s="124">
        <v>1.1100000000000001</v>
      </c>
      <c r="M95" s="124">
        <v>0.17</v>
      </c>
      <c r="N95" s="124">
        <v>12.59</v>
      </c>
      <c r="O95" s="124">
        <v>0.2</v>
      </c>
      <c r="P95" s="124">
        <v>7.89</v>
      </c>
      <c r="Q95" s="124">
        <v>1.42</v>
      </c>
      <c r="R95" s="124">
        <v>89.48</v>
      </c>
      <c r="S95" s="124">
        <v>1.21</v>
      </c>
      <c r="T95" s="116"/>
    </row>
    <row r="96" spans="1:20">
      <c r="A96" s="130" t="s">
        <v>286</v>
      </c>
      <c r="B96" s="124">
        <v>7.5</v>
      </c>
      <c r="C96" s="127">
        <v>0.17199999999999999</v>
      </c>
      <c r="D96" s="129">
        <v>355</v>
      </c>
      <c r="E96" s="129">
        <v>160</v>
      </c>
      <c r="F96" s="129">
        <v>7020</v>
      </c>
      <c r="G96" s="129">
        <v>339</v>
      </c>
      <c r="H96" s="129">
        <v>34.200000000000003</v>
      </c>
      <c r="I96" s="129">
        <v>63</v>
      </c>
      <c r="J96" s="129">
        <v>19.170000000000002</v>
      </c>
      <c r="K96" s="122">
        <v>3.2439199999999997</v>
      </c>
      <c r="L96" s="129">
        <v>1.41</v>
      </c>
      <c r="M96" s="129">
        <v>0.21</v>
      </c>
      <c r="N96" s="129">
        <v>17.55</v>
      </c>
      <c r="O96" s="129">
        <v>0</v>
      </c>
      <c r="P96" s="129">
        <v>7.36</v>
      </c>
      <c r="Q96" s="129">
        <v>0</v>
      </c>
      <c r="R96" s="129">
        <v>91.55</v>
      </c>
      <c r="S96" s="129">
        <v>1.1000000000000001</v>
      </c>
      <c r="T96" s="118"/>
    </row>
    <row r="97" spans="1:20">
      <c r="A97" s="130" t="s">
        <v>287</v>
      </c>
      <c r="B97" s="124">
        <v>6.8</v>
      </c>
      <c r="C97" s="127">
        <v>0.159</v>
      </c>
      <c r="D97" s="124">
        <v>297</v>
      </c>
      <c r="E97" s="124">
        <v>124</v>
      </c>
      <c r="F97" s="124">
        <v>4226</v>
      </c>
      <c r="G97" s="124">
        <v>274</v>
      </c>
      <c r="H97" s="124">
        <v>34.1</v>
      </c>
      <c r="I97" s="124">
        <v>93</v>
      </c>
      <c r="J97" s="124">
        <v>12.37</v>
      </c>
      <c r="K97" s="121">
        <v>2.7004000000000001</v>
      </c>
      <c r="L97" s="124">
        <v>1.1399999999999999</v>
      </c>
      <c r="M97" s="124">
        <v>0.16</v>
      </c>
      <c r="N97" s="124">
        <v>10.57</v>
      </c>
      <c r="O97" s="124">
        <v>0.5</v>
      </c>
      <c r="P97" s="124">
        <v>9.2200000000000006</v>
      </c>
      <c r="Q97" s="124">
        <v>4.04</v>
      </c>
      <c r="R97" s="124">
        <v>85.45</v>
      </c>
      <c r="S97" s="124">
        <v>1.29</v>
      </c>
      <c r="T97" s="116"/>
    </row>
    <row r="98" spans="1:20">
      <c r="A98" s="130" t="s">
        <v>288</v>
      </c>
      <c r="B98" s="124">
        <v>6.6</v>
      </c>
      <c r="C98" s="127">
        <v>0.14099999999999999</v>
      </c>
      <c r="D98" s="129">
        <v>268</v>
      </c>
      <c r="E98" s="129">
        <v>101</v>
      </c>
      <c r="F98" s="129">
        <v>3359</v>
      </c>
      <c r="G98" s="129">
        <v>229</v>
      </c>
      <c r="H98" s="129">
        <v>32.299999999999997</v>
      </c>
      <c r="I98" s="129">
        <v>92</v>
      </c>
      <c r="J98" s="129">
        <v>10.18</v>
      </c>
      <c r="K98" s="122">
        <v>2.4217599999999999</v>
      </c>
      <c r="L98" s="129">
        <v>0.95</v>
      </c>
      <c r="M98" s="129">
        <v>0.13</v>
      </c>
      <c r="N98" s="129">
        <v>8.4</v>
      </c>
      <c r="O98" s="129">
        <v>0.7</v>
      </c>
      <c r="P98" s="129">
        <v>9.33</v>
      </c>
      <c r="Q98" s="129">
        <v>6.88</v>
      </c>
      <c r="R98" s="129">
        <v>82.51</v>
      </c>
      <c r="S98" s="129">
        <v>1.28</v>
      </c>
      <c r="T98" s="118"/>
    </row>
    <row r="99" spans="1:20">
      <c r="A99" s="130"/>
      <c r="B99" s="124"/>
      <c r="C99" s="127"/>
      <c r="D99" s="129"/>
      <c r="E99" s="129"/>
      <c r="F99" s="129"/>
      <c r="G99" s="129"/>
      <c r="H99" s="129"/>
      <c r="I99" s="129"/>
      <c r="J99" s="129"/>
      <c r="K99" s="122"/>
      <c r="L99" s="129"/>
      <c r="M99" s="129"/>
      <c r="N99" s="129"/>
      <c r="O99" s="129"/>
      <c r="P99" s="129"/>
      <c r="Q99" s="129"/>
      <c r="R99" s="129"/>
      <c r="S99" s="129"/>
      <c r="T99" s="118"/>
    </row>
    <row r="100" spans="1:20">
      <c r="A100" s="133" t="s">
        <v>352</v>
      </c>
      <c r="B100" s="124"/>
      <c r="C100" s="127"/>
      <c r="D100" s="129"/>
      <c r="E100" s="129"/>
      <c r="F100" s="129"/>
      <c r="G100" s="129"/>
      <c r="H100" s="129"/>
      <c r="I100" s="129"/>
      <c r="J100" s="129"/>
      <c r="K100" s="122"/>
      <c r="L100" s="129"/>
      <c r="M100" s="129"/>
      <c r="N100" s="129"/>
      <c r="O100" s="129"/>
      <c r="P100" s="129"/>
      <c r="Q100" s="129"/>
      <c r="R100" s="129"/>
      <c r="S100" s="129"/>
      <c r="T100" s="118"/>
    </row>
    <row r="101" spans="1:20">
      <c r="A101" s="130" t="s">
        <v>289</v>
      </c>
      <c r="B101" s="124">
        <v>7.8</v>
      </c>
      <c r="C101" s="127">
        <v>0.47699999999999998</v>
      </c>
      <c r="D101" s="124">
        <v>910</v>
      </c>
      <c r="E101" s="124">
        <v>728</v>
      </c>
      <c r="F101" s="124">
        <v>4828</v>
      </c>
      <c r="G101" s="124">
        <v>909</v>
      </c>
      <c r="H101" s="124">
        <v>16.600000000000001</v>
      </c>
      <c r="I101" s="124">
        <v>135</v>
      </c>
      <c r="J101" s="124">
        <v>16.79</v>
      </c>
      <c r="K101" s="121">
        <v>7.1638000000000002</v>
      </c>
      <c r="L101" s="124">
        <v>3.79</v>
      </c>
      <c r="M101" s="124">
        <v>0.93</v>
      </c>
      <c r="N101" s="124">
        <v>12.07</v>
      </c>
      <c r="O101" s="124">
        <v>0</v>
      </c>
      <c r="P101" s="124">
        <v>22.57</v>
      </c>
      <c r="Q101" s="124">
        <v>0</v>
      </c>
      <c r="R101" s="124">
        <v>71.89</v>
      </c>
      <c r="S101" s="124">
        <v>5.54</v>
      </c>
      <c r="T101" s="116"/>
    </row>
    <row r="102" spans="1:20">
      <c r="A102" s="130" t="s">
        <v>290</v>
      </c>
      <c r="B102" s="124">
        <v>7.1</v>
      </c>
      <c r="C102" s="127">
        <v>0.107</v>
      </c>
      <c r="D102" s="124">
        <v>574</v>
      </c>
      <c r="E102" s="124">
        <v>286</v>
      </c>
      <c r="F102" s="124">
        <v>3383</v>
      </c>
      <c r="G102" s="124">
        <v>180</v>
      </c>
      <c r="H102" s="124">
        <v>11.3</v>
      </c>
      <c r="I102" s="124">
        <v>47</v>
      </c>
      <c r="J102" s="124">
        <v>9.58</v>
      </c>
      <c r="K102" s="121">
        <v>1.8730799999999999</v>
      </c>
      <c r="L102" s="124">
        <v>0.75</v>
      </c>
      <c r="M102" s="124">
        <v>0.37</v>
      </c>
      <c r="N102" s="124">
        <v>8.4600000000000009</v>
      </c>
      <c r="O102" s="124">
        <v>0</v>
      </c>
      <c r="P102" s="124">
        <v>7.83</v>
      </c>
      <c r="Q102" s="124">
        <v>0</v>
      </c>
      <c r="R102" s="124">
        <v>88.31</v>
      </c>
      <c r="S102" s="124">
        <v>3.86</v>
      </c>
      <c r="T102" s="116"/>
    </row>
    <row r="103" spans="1:20">
      <c r="A103" s="130" t="s">
        <v>291</v>
      </c>
      <c r="B103" s="124">
        <v>6.5</v>
      </c>
      <c r="C103" s="127">
        <v>4.9000000000000002E-2</v>
      </c>
      <c r="D103" s="124">
        <v>416</v>
      </c>
      <c r="E103" s="124">
        <v>113</v>
      </c>
      <c r="F103" s="124">
        <v>1561</v>
      </c>
      <c r="G103" s="124">
        <v>113</v>
      </c>
      <c r="H103" s="124">
        <v>4.7</v>
      </c>
      <c r="I103" s="124">
        <v>36</v>
      </c>
      <c r="J103" s="124">
        <v>5.31</v>
      </c>
      <c r="K103" s="121">
        <v>0.79808000000000001</v>
      </c>
      <c r="L103" s="124">
        <v>0.47</v>
      </c>
      <c r="M103" s="124">
        <v>0.14000000000000001</v>
      </c>
      <c r="N103" s="124">
        <v>3.9</v>
      </c>
      <c r="O103" s="124">
        <v>0.8</v>
      </c>
      <c r="P103" s="124">
        <v>8.85</v>
      </c>
      <c r="Q103" s="124">
        <v>15.07</v>
      </c>
      <c r="R103" s="124">
        <v>73.45</v>
      </c>
      <c r="S103" s="124">
        <v>2.64</v>
      </c>
      <c r="T103" s="116"/>
    </row>
    <row r="104" spans="1:20">
      <c r="A104" s="130" t="s">
        <v>292</v>
      </c>
      <c r="B104" s="124">
        <v>6.4</v>
      </c>
      <c r="C104" s="127">
        <v>0.307</v>
      </c>
      <c r="D104" s="124">
        <v>856</v>
      </c>
      <c r="E104" s="124">
        <v>1123</v>
      </c>
      <c r="F104" s="124">
        <v>8204</v>
      </c>
      <c r="G104" s="124">
        <v>643</v>
      </c>
      <c r="H104" s="124">
        <v>19</v>
      </c>
      <c r="I104" s="124">
        <v>266</v>
      </c>
      <c r="J104" s="124">
        <v>25.73</v>
      </c>
      <c r="K104" s="121">
        <v>6.5033200000000004</v>
      </c>
      <c r="L104" s="124">
        <v>2.68</v>
      </c>
      <c r="M104" s="124">
        <v>1.44</v>
      </c>
      <c r="N104" s="124">
        <v>20.51</v>
      </c>
      <c r="O104" s="124">
        <v>1.1000000000000001</v>
      </c>
      <c r="P104" s="124">
        <v>10.42</v>
      </c>
      <c r="Q104" s="124">
        <v>4.28</v>
      </c>
      <c r="R104" s="124">
        <v>79.709999999999994</v>
      </c>
      <c r="S104" s="124">
        <v>5.6</v>
      </c>
      <c r="T104" s="116"/>
    </row>
    <row r="105" spans="1:20">
      <c r="A105" s="130" t="s">
        <v>293</v>
      </c>
      <c r="B105" s="124">
        <v>5.6</v>
      </c>
      <c r="C105" s="127">
        <v>0.55300000000000005</v>
      </c>
      <c r="D105" s="124">
        <v>524</v>
      </c>
      <c r="E105" s="124">
        <v>115</v>
      </c>
      <c r="F105" s="124">
        <v>2597</v>
      </c>
      <c r="G105" s="124">
        <v>143</v>
      </c>
      <c r="H105" s="124">
        <v>12</v>
      </c>
      <c r="I105" s="124">
        <v>57</v>
      </c>
      <c r="J105" s="124">
        <v>9.74</v>
      </c>
      <c r="K105" s="121">
        <v>2.6092399999999998</v>
      </c>
      <c r="L105" s="124">
        <v>0.6</v>
      </c>
      <c r="M105" s="124">
        <v>0.15</v>
      </c>
      <c r="N105" s="124">
        <v>6.49</v>
      </c>
      <c r="O105" s="124">
        <v>2.5</v>
      </c>
      <c r="P105" s="124">
        <v>6.16</v>
      </c>
      <c r="Q105" s="124">
        <v>25.67</v>
      </c>
      <c r="R105" s="124">
        <v>66.63</v>
      </c>
      <c r="S105" s="124">
        <v>1.54</v>
      </c>
      <c r="T105" s="116"/>
    </row>
    <row r="106" spans="1:20">
      <c r="A106" s="130" t="s">
        <v>294</v>
      </c>
      <c r="B106" s="124">
        <v>5.8</v>
      </c>
      <c r="C106" s="127">
        <v>0.255</v>
      </c>
      <c r="D106" s="124">
        <v>636</v>
      </c>
      <c r="E106" s="124">
        <v>78</v>
      </c>
      <c r="F106" s="124">
        <v>1641</v>
      </c>
      <c r="G106" s="124">
        <v>116</v>
      </c>
      <c r="H106" s="124">
        <v>7.1</v>
      </c>
      <c r="I106" s="124">
        <v>38</v>
      </c>
      <c r="J106" s="124">
        <v>9.98</v>
      </c>
      <c r="K106" s="121">
        <v>1.04748</v>
      </c>
      <c r="L106" s="124">
        <v>0.48</v>
      </c>
      <c r="M106" s="124">
        <v>0.1</v>
      </c>
      <c r="N106" s="124">
        <v>4.0999999999999996</v>
      </c>
      <c r="O106" s="124">
        <v>5.3</v>
      </c>
      <c r="P106" s="124">
        <v>4.8099999999999996</v>
      </c>
      <c r="Q106" s="124">
        <v>53.11</v>
      </c>
      <c r="R106" s="124">
        <v>41.08</v>
      </c>
      <c r="S106" s="124">
        <v>1</v>
      </c>
      <c r="T106" s="117"/>
    </row>
    <row r="107" spans="1:20">
      <c r="A107" s="130" t="s">
        <v>295</v>
      </c>
      <c r="B107" s="124">
        <v>7</v>
      </c>
      <c r="C107" s="127">
        <v>0.14899999999999999</v>
      </c>
      <c r="D107" s="124">
        <v>617</v>
      </c>
      <c r="E107" s="124">
        <v>312</v>
      </c>
      <c r="F107" s="124">
        <v>4529</v>
      </c>
      <c r="G107" s="124">
        <v>168</v>
      </c>
      <c r="H107" s="124">
        <v>11.6</v>
      </c>
      <c r="I107" s="124">
        <v>59</v>
      </c>
      <c r="J107" s="124">
        <v>12.42</v>
      </c>
      <c r="K107" s="121">
        <v>2.9308799999999997</v>
      </c>
      <c r="L107" s="124">
        <v>0.7</v>
      </c>
      <c r="M107" s="124">
        <v>0.4</v>
      </c>
      <c r="N107" s="124">
        <v>11.32</v>
      </c>
      <c r="O107" s="124">
        <v>0</v>
      </c>
      <c r="P107" s="124">
        <v>5.64</v>
      </c>
      <c r="Q107" s="124">
        <v>0</v>
      </c>
      <c r="R107" s="124">
        <v>91.14</v>
      </c>
      <c r="S107" s="124">
        <v>3.22</v>
      </c>
      <c r="T107" s="116"/>
    </row>
    <row r="108" spans="1:20">
      <c r="A108" s="130" t="s">
        <v>296</v>
      </c>
      <c r="B108" s="124">
        <v>7</v>
      </c>
      <c r="C108" s="127">
        <v>8.5000000000000006E-2</v>
      </c>
      <c r="D108" s="129">
        <v>517</v>
      </c>
      <c r="E108" s="129">
        <v>91</v>
      </c>
      <c r="F108" s="129">
        <v>2497</v>
      </c>
      <c r="G108" s="129">
        <v>86</v>
      </c>
      <c r="H108" s="129">
        <v>7.6</v>
      </c>
      <c r="I108" s="129">
        <v>29</v>
      </c>
      <c r="J108" s="129">
        <v>6.72</v>
      </c>
      <c r="K108" s="122">
        <v>1.4860800000000001</v>
      </c>
      <c r="L108" s="129">
        <v>0.36</v>
      </c>
      <c r="M108" s="129">
        <v>0.12</v>
      </c>
      <c r="N108" s="129">
        <v>6.24</v>
      </c>
      <c r="O108" s="129">
        <v>0</v>
      </c>
      <c r="P108" s="129">
        <v>5.36</v>
      </c>
      <c r="Q108" s="129">
        <v>0</v>
      </c>
      <c r="R108" s="129">
        <v>92.86</v>
      </c>
      <c r="S108" s="129">
        <v>1.79</v>
      </c>
      <c r="T108" s="118"/>
    </row>
    <row r="109" spans="1:20">
      <c r="A109" s="130" t="s">
        <v>297</v>
      </c>
      <c r="B109" s="124">
        <v>6.6</v>
      </c>
      <c r="C109" s="127">
        <v>6.0999999999999999E-2</v>
      </c>
      <c r="D109" s="124">
        <v>452</v>
      </c>
      <c r="E109" s="124">
        <v>107</v>
      </c>
      <c r="F109" s="124">
        <v>1888</v>
      </c>
      <c r="G109" s="124">
        <v>103</v>
      </c>
      <c r="H109" s="124">
        <v>5.6</v>
      </c>
      <c r="I109" s="124">
        <v>34</v>
      </c>
      <c r="J109" s="124">
        <v>6.29</v>
      </c>
      <c r="K109" s="121">
        <v>1.02512</v>
      </c>
      <c r="L109" s="124">
        <v>0.43</v>
      </c>
      <c r="M109" s="124">
        <v>0.14000000000000001</v>
      </c>
      <c r="N109" s="124">
        <v>4.72</v>
      </c>
      <c r="O109" s="124">
        <v>1</v>
      </c>
      <c r="P109" s="124">
        <v>6.84</v>
      </c>
      <c r="Q109" s="124">
        <v>15.9</v>
      </c>
      <c r="R109" s="124">
        <v>75.040000000000006</v>
      </c>
      <c r="S109" s="124">
        <v>2.23</v>
      </c>
      <c r="T109" s="116"/>
    </row>
    <row r="110" spans="1:20">
      <c r="A110" s="130" t="s">
        <v>298</v>
      </c>
      <c r="B110" s="124">
        <v>6.2</v>
      </c>
      <c r="C110" s="127">
        <v>0.44</v>
      </c>
      <c r="D110" s="124">
        <v>590</v>
      </c>
      <c r="E110" s="124">
        <v>181</v>
      </c>
      <c r="F110" s="124">
        <v>5240</v>
      </c>
      <c r="G110" s="124">
        <v>185</v>
      </c>
      <c r="H110" s="124">
        <v>14.7</v>
      </c>
      <c r="I110" s="124">
        <v>69</v>
      </c>
      <c r="J110" s="124">
        <v>15.2</v>
      </c>
      <c r="K110" s="121">
        <v>4.5064000000000002</v>
      </c>
      <c r="L110" s="124">
        <v>0.77</v>
      </c>
      <c r="M110" s="124">
        <v>0.23</v>
      </c>
      <c r="N110" s="124">
        <v>13.1</v>
      </c>
      <c r="O110" s="124">
        <v>1.1000000000000001</v>
      </c>
      <c r="P110" s="124">
        <v>5.07</v>
      </c>
      <c r="Q110" s="124">
        <v>7.24</v>
      </c>
      <c r="R110" s="124">
        <v>86.18</v>
      </c>
      <c r="S110" s="124">
        <v>1.51</v>
      </c>
      <c r="T110" s="117"/>
    </row>
    <row r="111" spans="1:20">
      <c r="A111" s="130" t="s">
        <v>299</v>
      </c>
      <c r="B111" s="124">
        <v>6.7</v>
      </c>
      <c r="C111" s="127">
        <v>0.158</v>
      </c>
      <c r="D111" s="124">
        <v>430</v>
      </c>
      <c r="E111" s="124">
        <v>219</v>
      </c>
      <c r="F111" s="124">
        <v>3997</v>
      </c>
      <c r="G111" s="124">
        <v>130</v>
      </c>
      <c r="H111" s="124">
        <v>12.5</v>
      </c>
      <c r="I111" s="124">
        <v>37</v>
      </c>
      <c r="J111" s="124">
        <v>11.41</v>
      </c>
      <c r="K111" s="121">
        <v>2.8827199999999999</v>
      </c>
      <c r="L111" s="124">
        <v>0.54</v>
      </c>
      <c r="M111" s="124">
        <v>0.28000000000000003</v>
      </c>
      <c r="N111" s="124">
        <v>9.99</v>
      </c>
      <c r="O111" s="124">
        <v>0.6</v>
      </c>
      <c r="P111" s="124">
        <v>4.7300000000000004</v>
      </c>
      <c r="Q111" s="124">
        <v>5.26</v>
      </c>
      <c r="R111" s="124">
        <v>87.55</v>
      </c>
      <c r="S111" s="124">
        <v>2.4500000000000002</v>
      </c>
      <c r="T111" s="116"/>
    </row>
    <row r="112" spans="1:20">
      <c r="A112" s="130" t="s">
        <v>300</v>
      </c>
      <c r="B112" s="124">
        <v>6.6</v>
      </c>
      <c r="C112" s="127">
        <v>0.13200000000000001</v>
      </c>
      <c r="D112" s="124">
        <v>395</v>
      </c>
      <c r="E112" s="124">
        <v>107</v>
      </c>
      <c r="F112" s="124">
        <v>3127</v>
      </c>
      <c r="G112" s="124">
        <v>129</v>
      </c>
      <c r="H112" s="124">
        <v>9.1</v>
      </c>
      <c r="I112" s="124">
        <v>37</v>
      </c>
      <c r="J112" s="124">
        <v>9.4</v>
      </c>
      <c r="K112" s="121">
        <v>2.2411599999999998</v>
      </c>
      <c r="L112" s="124">
        <v>0.54</v>
      </c>
      <c r="M112" s="124">
        <v>0.14000000000000001</v>
      </c>
      <c r="N112" s="124">
        <v>7.82</v>
      </c>
      <c r="O112" s="124">
        <v>0.9</v>
      </c>
      <c r="P112" s="124">
        <v>5.74</v>
      </c>
      <c r="Q112" s="124">
        <v>9.57</v>
      </c>
      <c r="R112" s="124">
        <v>83.19</v>
      </c>
      <c r="S112" s="124">
        <v>1.49</v>
      </c>
      <c r="T112" s="116"/>
    </row>
    <row r="113" spans="1:20">
      <c r="A113" s="130" t="s">
        <v>301</v>
      </c>
      <c r="B113" s="124">
        <v>6.9</v>
      </c>
      <c r="C113" s="127">
        <v>0.159</v>
      </c>
      <c r="D113" s="124">
        <v>629</v>
      </c>
      <c r="E113" s="124">
        <v>687</v>
      </c>
      <c r="F113" s="124">
        <v>5326</v>
      </c>
      <c r="G113" s="124">
        <v>286</v>
      </c>
      <c r="H113" s="124">
        <v>15.7</v>
      </c>
      <c r="I113" s="124">
        <v>116</v>
      </c>
      <c r="J113" s="124">
        <v>15.39</v>
      </c>
      <c r="K113" s="121">
        <v>3.6721999999999997</v>
      </c>
      <c r="L113" s="124">
        <v>1.19</v>
      </c>
      <c r="M113" s="124">
        <v>0.88</v>
      </c>
      <c r="N113" s="124">
        <v>13.32</v>
      </c>
      <c r="O113" s="124">
        <v>0</v>
      </c>
      <c r="P113" s="124">
        <v>7.73</v>
      </c>
      <c r="Q113" s="124">
        <v>0</v>
      </c>
      <c r="R113" s="124">
        <v>86.55</v>
      </c>
      <c r="S113" s="124">
        <v>5.72</v>
      </c>
      <c r="T113" s="116"/>
    </row>
    <row r="114" spans="1:20">
      <c r="A114" s="130" t="s">
        <v>302</v>
      </c>
      <c r="B114" s="124">
        <v>7.2</v>
      </c>
      <c r="C114" s="127">
        <v>0.115</v>
      </c>
      <c r="D114" s="124">
        <v>479</v>
      </c>
      <c r="E114" s="124">
        <v>98</v>
      </c>
      <c r="F114" s="124">
        <v>3690</v>
      </c>
      <c r="G114" s="124">
        <v>163</v>
      </c>
      <c r="H114" s="124">
        <v>13</v>
      </c>
      <c r="I114" s="124">
        <v>45</v>
      </c>
      <c r="J114" s="124">
        <v>10.039999999999999</v>
      </c>
      <c r="K114" s="121">
        <v>1.9539199999999999</v>
      </c>
      <c r="L114" s="124">
        <v>0.68</v>
      </c>
      <c r="M114" s="124">
        <v>0.13</v>
      </c>
      <c r="N114" s="124">
        <v>9.23</v>
      </c>
      <c r="O114" s="124">
        <v>0</v>
      </c>
      <c r="P114" s="124">
        <v>6.77</v>
      </c>
      <c r="Q114" s="124">
        <v>0</v>
      </c>
      <c r="R114" s="124">
        <v>91.93</v>
      </c>
      <c r="S114" s="124">
        <v>1.29</v>
      </c>
      <c r="T114" s="116"/>
    </row>
    <row r="115" spans="1:20">
      <c r="A115" s="130" t="s">
        <v>303</v>
      </c>
      <c r="B115" s="124">
        <v>7.1</v>
      </c>
      <c r="C115" s="127">
        <v>7.2999999999999995E-2</v>
      </c>
      <c r="D115" s="124">
        <v>326</v>
      </c>
      <c r="E115" s="124">
        <v>67</v>
      </c>
      <c r="F115" s="124">
        <v>2317</v>
      </c>
      <c r="G115" s="124">
        <v>121</v>
      </c>
      <c r="H115" s="124">
        <v>8.1999999999999993</v>
      </c>
      <c r="I115" s="124">
        <v>36</v>
      </c>
      <c r="J115" s="124">
        <v>6.38</v>
      </c>
      <c r="K115" s="121">
        <v>1.16788</v>
      </c>
      <c r="L115" s="124">
        <v>0.5</v>
      </c>
      <c r="M115" s="124">
        <v>0.09</v>
      </c>
      <c r="N115" s="124">
        <v>5.79</v>
      </c>
      <c r="O115" s="124">
        <v>0</v>
      </c>
      <c r="P115" s="124">
        <v>7.84</v>
      </c>
      <c r="Q115" s="124">
        <v>0</v>
      </c>
      <c r="R115" s="124">
        <v>90.75</v>
      </c>
      <c r="S115" s="124">
        <v>1.41</v>
      </c>
      <c r="T115" s="116"/>
    </row>
    <row r="116" spans="1:20">
      <c r="A116" s="130" t="s">
        <v>304</v>
      </c>
      <c r="B116" s="124">
        <v>6.4</v>
      </c>
      <c r="C116" s="127">
        <v>0.22500000000000001</v>
      </c>
      <c r="D116" s="124">
        <v>665</v>
      </c>
      <c r="E116" s="124">
        <v>226</v>
      </c>
      <c r="F116" s="124">
        <v>6423</v>
      </c>
      <c r="G116" s="124">
        <v>392</v>
      </c>
      <c r="H116" s="124">
        <v>20.399999999999999</v>
      </c>
      <c r="I116" s="124">
        <v>111</v>
      </c>
      <c r="J116" s="124">
        <v>18.78</v>
      </c>
      <c r="K116" s="121">
        <v>4.2036799999999994</v>
      </c>
      <c r="L116" s="124">
        <v>1.63</v>
      </c>
      <c r="M116" s="124">
        <v>0.28999999999999998</v>
      </c>
      <c r="N116" s="124">
        <v>16.059999999999999</v>
      </c>
      <c r="O116" s="124">
        <v>0.8</v>
      </c>
      <c r="P116" s="124">
        <v>8.68</v>
      </c>
      <c r="Q116" s="124">
        <v>4.26</v>
      </c>
      <c r="R116" s="124">
        <v>85.52</v>
      </c>
      <c r="S116" s="124">
        <v>1.54</v>
      </c>
      <c r="T116" s="116"/>
    </row>
    <row r="117" spans="1:20">
      <c r="A117" s="130" t="s">
        <v>305</v>
      </c>
      <c r="B117" s="124">
        <v>6.8</v>
      </c>
      <c r="C117" s="127">
        <v>0.17399999999999999</v>
      </c>
      <c r="D117" s="124">
        <v>550</v>
      </c>
      <c r="E117" s="124">
        <v>139</v>
      </c>
      <c r="F117" s="124">
        <v>4793</v>
      </c>
      <c r="G117" s="124">
        <v>233</v>
      </c>
      <c r="H117" s="124">
        <v>18</v>
      </c>
      <c r="I117" s="124">
        <v>45</v>
      </c>
      <c r="J117" s="124">
        <v>13.93</v>
      </c>
      <c r="K117" s="121">
        <v>3.1665199999999998</v>
      </c>
      <c r="L117" s="124">
        <v>0.97</v>
      </c>
      <c r="M117" s="124">
        <v>0.18</v>
      </c>
      <c r="N117" s="124">
        <v>11.98</v>
      </c>
      <c r="O117" s="124">
        <v>0.8</v>
      </c>
      <c r="P117" s="124">
        <v>6.96</v>
      </c>
      <c r="Q117" s="124">
        <v>5.74</v>
      </c>
      <c r="R117" s="124">
        <v>86</v>
      </c>
      <c r="S117" s="124">
        <v>1.29</v>
      </c>
      <c r="T117" s="116"/>
    </row>
    <row r="118" spans="1:20">
      <c r="A118" s="130" t="s">
        <v>306</v>
      </c>
      <c r="B118" s="124">
        <v>6.7</v>
      </c>
      <c r="C118" s="127">
        <v>0.13600000000000001</v>
      </c>
      <c r="D118" s="124">
        <v>515</v>
      </c>
      <c r="E118" s="124">
        <v>91</v>
      </c>
      <c r="F118" s="124">
        <v>3694</v>
      </c>
      <c r="G118" s="124">
        <v>201</v>
      </c>
      <c r="H118" s="124">
        <v>14.2</v>
      </c>
      <c r="I118" s="124">
        <v>38</v>
      </c>
      <c r="J118" s="124">
        <v>11.4</v>
      </c>
      <c r="K118" s="121">
        <v>2.2858799999999997</v>
      </c>
      <c r="L118" s="124">
        <v>0.84</v>
      </c>
      <c r="M118" s="124">
        <v>0.12</v>
      </c>
      <c r="N118" s="124">
        <v>9.24</v>
      </c>
      <c r="O118" s="124">
        <v>1.2</v>
      </c>
      <c r="P118" s="124">
        <v>7.37</v>
      </c>
      <c r="Q118" s="124">
        <v>10.53</v>
      </c>
      <c r="R118" s="124">
        <v>81.05</v>
      </c>
      <c r="S118" s="124">
        <v>1.05</v>
      </c>
      <c r="T118" s="116"/>
    </row>
    <row r="119" spans="1:20">
      <c r="A119" s="130" t="s">
        <v>307</v>
      </c>
      <c r="B119" s="124">
        <v>6.9</v>
      </c>
      <c r="C119" s="127">
        <v>0.17</v>
      </c>
      <c r="D119" s="124">
        <v>750</v>
      </c>
      <c r="E119" s="124">
        <v>731</v>
      </c>
      <c r="F119" s="124">
        <v>5809</v>
      </c>
      <c r="G119" s="124">
        <v>415</v>
      </c>
      <c r="H119" s="124">
        <v>17.899999999999999</v>
      </c>
      <c r="I119" s="124">
        <v>159</v>
      </c>
      <c r="J119" s="124">
        <v>17.190000000000001</v>
      </c>
      <c r="K119" s="121">
        <v>2.7502800000000001</v>
      </c>
      <c r="L119" s="124">
        <v>1.73</v>
      </c>
      <c r="M119" s="124">
        <v>0.94</v>
      </c>
      <c r="N119" s="124">
        <v>14.52</v>
      </c>
      <c r="O119" s="124">
        <v>0</v>
      </c>
      <c r="P119" s="124">
        <v>10.06</v>
      </c>
      <c r="Q119" s="124">
        <v>0</v>
      </c>
      <c r="R119" s="124">
        <v>84.47</v>
      </c>
      <c r="S119" s="124">
        <v>5.47</v>
      </c>
      <c r="T119" s="116"/>
    </row>
    <row r="120" spans="1:20">
      <c r="A120" s="130" t="s">
        <v>308</v>
      </c>
      <c r="B120" s="124">
        <v>6.9</v>
      </c>
      <c r="C120" s="127">
        <v>9.4E-2</v>
      </c>
      <c r="D120" s="124">
        <v>555</v>
      </c>
      <c r="E120" s="124">
        <v>199</v>
      </c>
      <c r="F120" s="124">
        <v>2722</v>
      </c>
      <c r="G120" s="124">
        <v>159</v>
      </c>
      <c r="H120" s="124">
        <v>11.2</v>
      </c>
      <c r="I120" s="124">
        <v>45</v>
      </c>
      <c r="J120" s="124">
        <v>7.93</v>
      </c>
      <c r="K120" s="121">
        <v>1.44652</v>
      </c>
      <c r="L120" s="124">
        <v>0.66</v>
      </c>
      <c r="M120" s="124">
        <v>0.26</v>
      </c>
      <c r="N120" s="124">
        <v>6.81</v>
      </c>
      <c r="O120" s="124">
        <v>0.2</v>
      </c>
      <c r="P120" s="124">
        <v>8.32</v>
      </c>
      <c r="Q120" s="124">
        <v>2.52</v>
      </c>
      <c r="R120" s="124">
        <v>85.88</v>
      </c>
      <c r="S120" s="124">
        <v>3.28</v>
      </c>
      <c r="T120" s="116"/>
    </row>
    <row r="121" spans="1:20">
      <c r="A121" s="130" t="s">
        <v>309</v>
      </c>
      <c r="B121" s="124">
        <v>6.1</v>
      </c>
      <c r="C121" s="127">
        <v>0.05</v>
      </c>
      <c r="D121" s="124">
        <v>550</v>
      </c>
      <c r="E121" s="124">
        <v>111</v>
      </c>
      <c r="F121" s="124">
        <v>1821</v>
      </c>
      <c r="G121" s="124">
        <v>158</v>
      </c>
      <c r="H121" s="124">
        <v>6.4</v>
      </c>
      <c r="I121" s="124">
        <v>43</v>
      </c>
      <c r="J121" s="124">
        <v>6.65</v>
      </c>
      <c r="K121" s="121">
        <v>0.77400000000000002</v>
      </c>
      <c r="L121" s="124">
        <v>0.66</v>
      </c>
      <c r="M121" s="124">
        <v>0.14000000000000001</v>
      </c>
      <c r="N121" s="124">
        <v>4.55</v>
      </c>
      <c r="O121" s="124">
        <v>1.3</v>
      </c>
      <c r="P121" s="124">
        <v>9.92</v>
      </c>
      <c r="Q121" s="124">
        <v>19.55</v>
      </c>
      <c r="R121" s="124">
        <v>68.42</v>
      </c>
      <c r="S121" s="124">
        <v>2.11</v>
      </c>
      <c r="T121" s="116"/>
    </row>
    <row r="122" spans="1:20">
      <c r="A122" s="130" t="s">
        <v>310</v>
      </c>
      <c r="B122" s="124">
        <v>6.7</v>
      </c>
      <c r="C122" s="127">
        <v>0.20399999999999999</v>
      </c>
      <c r="D122" s="124">
        <v>796</v>
      </c>
      <c r="E122" s="124">
        <v>379</v>
      </c>
      <c r="F122" s="124">
        <v>6366</v>
      </c>
      <c r="G122" s="124">
        <v>316</v>
      </c>
      <c r="H122" s="124">
        <v>19.100000000000001</v>
      </c>
      <c r="I122" s="124">
        <v>112</v>
      </c>
      <c r="J122" s="124">
        <v>17.93</v>
      </c>
      <c r="K122" s="121">
        <v>3.9353599999999997</v>
      </c>
      <c r="L122" s="124">
        <v>1.32</v>
      </c>
      <c r="M122" s="124">
        <v>0.49</v>
      </c>
      <c r="N122" s="124">
        <v>15.92</v>
      </c>
      <c r="O122" s="124">
        <v>0.2</v>
      </c>
      <c r="P122" s="124">
        <v>7.36</v>
      </c>
      <c r="Q122" s="124">
        <v>1.1200000000000001</v>
      </c>
      <c r="R122" s="124">
        <v>88.79</v>
      </c>
      <c r="S122" s="124">
        <v>2.73</v>
      </c>
      <c r="T122" s="116"/>
    </row>
    <row r="123" spans="1:20">
      <c r="A123" s="130" t="s">
        <v>311</v>
      </c>
      <c r="B123" s="124">
        <v>6.9</v>
      </c>
      <c r="C123" s="127">
        <v>0.151</v>
      </c>
      <c r="D123" s="124">
        <v>641</v>
      </c>
      <c r="E123" s="124">
        <v>137</v>
      </c>
      <c r="F123" s="124">
        <v>4163</v>
      </c>
      <c r="G123" s="124">
        <v>184</v>
      </c>
      <c r="H123" s="124">
        <v>15.6</v>
      </c>
      <c r="I123" s="124">
        <v>45</v>
      </c>
      <c r="J123" s="124">
        <v>11.86</v>
      </c>
      <c r="K123" s="121">
        <v>2.6229999999999998</v>
      </c>
      <c r="L123" s="124">
        <v>0.77</v>
      </c>
      <c r="M123" s="124">
        <v>0.18</v>
      </c>
      <c r="N123" s="124">
        <v>10.41</v>
      </c>
      <c r="O123" s="124">
        <v>0.5</v>
      </c>
      <c r="P123" s="124">
        <v>6.49</v>
      </c>
      <c r="Q123" s="124">
        <v>4.22</v>
      </c>
      <c r="R123" s="124">
        <v>87.77</v>
      </c>
      <c r="S123" s="124">
        <v>1.52</v>
      </c>
      <c r="T123" s="116"/>
    </row>
    <row r="124" spans="1:20">
      <c r="A124" s="130" t="s">
        <v>312</v>
      </c>
      <c r="B124" s="124">
        <v>6.3</v>
      </c>
      <c r="C124" s="127">
        <v>0.10100000000000001</v>
      </c>
      <c r="D124" s="124">
        <v>680</v>
      </c>
      <c r="E124" s="124">
        <v>80</v>
      </c>
      <c r="F124" s="124">
        <v>2500</v>
      </c>
      <c r="G124" s="124">
        <v>141</v>
      </c>
      <c r="H124" s="124">
        <v>13.5</v>
      </c>
      <c r="I124" s="124">
        <v>46</v>
      </c>
      <c r="J124" s="124">
        <v>8.44</v>
      </c>
      <c r="K124" s="121">
        <v>1.6477599999999999</v>
      </c>
      <c r="L124" s="124">
        <v>0.59</v>
      </c>
      <c r="M124" s="124">
        <v>0.1</v>
      </c>
      <c r="N124" s="124">
        <v>6.25</v>
      </c>
      <c r="O124" s="124">
        <v>1.5</v>
      </c>
      <c r="P124" s="124">
        <v>6.99</v>
      </c>
      <c r="Q124" s="124">
        <v>17.77</v>
      </c>
      <c r="R124" s="124">
        <v>74.05</v>
      </c>
      <c r="S124" s="124">
        <v>1.18</v>
      </c>
      <c r="T124" s="116"/>
    </row>
    <row r="125" spans="1:20">
      <c r="A125" s="130" t="s">
        <v>313</v>
      </c>
      <c r="B125" s="124">
        <v>7.3</v>
      </c>
      <c r="C125" s="127">
        <v>0.20399999999999999</v>
      </c>
      <c r="D125" s="124">
        <v>776</v>
      </c>
      <c r="E125" s="124">
        <v>305</v>
      </c>
      <c r="F125" s="124">
        <v>6584</v>
      </c>
      <c r="G125" s="124">
        <v>403</v>
      </c>
      <c r="H125" s="124">
        <v>21.7</v>
      </c>
      <c r="I125" s="124">
        <v>96</v>
      </c>
      <c r="J125" s="124">
        <v>18.53</v>
      </c>
      <c r="K125" s="121">
        <v>4.4565200000000003</v>
      </c>
      <c r="L125" s="124">
        <v>1.68</v>
      </c>
      <c r="M125" s="124">
        <v>0.39</v>
      </c>
      <c r="N125" s="124">
        <v>16.46</v>
      </c>
      <c r="O125" s="124">
        <v>0</v>
      </c>
      <c r="P125" s="124">
        <v>9.07</v>
      </c>
      <c r="Q125" s="124">
        <v>0</v>
      </c>
      <c r="R125" s="124">
        <v>88.83</v>
      </c>
      <c r="S125" s="124">
        <v>2.1</v>
      </c>
      <c r="T125" s="116"/>
    </row>
    <row r="126" spans="1:20">
      <c r="A126" s="130" t="s">
        <v>314</v>
      </c>
      <c r="B126" s="124">
        <v>6.9</v>
      </c>
      <c r="C126" s="127">
        <v>0.1</v>
      </c>
      <c r="D126" s="124">
        <v>453</v>
      </c>
      <c r="E126" s="124">
        <v>111</v>
      </c>
      <c r="F126" s="124">
        <v>2632</v>
      </c>
      <c r="G126" s="124">
        <v>164</v>
      </c>
      <c r="H126" s="124">
        <v>9</v>
      </c>
      <c r="I126" s="124">
        <v>40</v>
      </c>
      <c r="J126" s="124">
        <v>7.7</v>
      </c>
      <c r="K126" s="121">
        <v>1.7165599999999999</v>
      </c>
      <c r="L126" s="124">
        <v>0.68</v>
      </c>
      <c r="M126" s="124">
        <v>0.14000000000000001</v>
      </c>
      <c r="N126" s="124">
        <v>6.58</v>
      </c>
      <c r="O126" s="124">
        <v>0.3</v>
      </c>
      <c r="P126" s="124">
        <v>8.83</v>
      </c>
      <c r="Q126" s="124">
        <v>3.9</v>
      </c>
      <c r="R126" s="124">
        <v>85.45</v>
      </c>
      <c r="S126" s="124">
        <v>1.82</v>
      </c>
      <c r="T126" s="116"/>
    </row>
    <row r="127" spans="1:20">
      <c r="A127" s="130" t="s">
        <v>315</v>
      </c>
      <c r="B127" s="124">
        <v>6.3</v>
      </c>
      <c r="C127" s="127">
        <v>5.0999999999999997E-2</v>
      </c>
      <c r="D127" s="124">
        <v>483</v>
      </c>
      <c r="E127" s="124">
        <v>97</v>
      </c>
      <c r="F127" s="124">
        <v>1741</v>
      </c>
      <c r="G127" s="124">
        <v>169</v>
      </c>
      <c r="H127" s="124">
        <v>5.8</v>
      </c>
      <c r="I127" s="124">
        <v>40</v>
      </c>
      <c r="J127" s="124">
        <v>6.17</v>
      </c>
      <c r="K127" s="121">
        <v>0.8256</v>
      </c>
      <c r="L127" s="124">
        <v>0.7</v>
      </c>
      <c r="M127" s="124">
        <v>0.12</v>
      </c>
      <c r="N127" s="124">
        <v>4.3499999999999996</v>
      </c>
      <c r="O127" s="124">
        <v>1</v>
      </c>
      <c r="P127" s="124">
        <v>11.35</v>
      </c>
      <c r="Q127" s="124">
        <v>16.21</v>
      </c>
      <c r="R127" s="124">
        <v>70.5</v>
      </c>
      <c r="S127" s="124">
        <v>1.94</v>
      </c>
      <c r="T127" s="117"/>
    </row>
    <row r="128" spans="1:20">
      <c r="A128" s="130" t="s">
        <v>316</v>
      </c>
      <c r="B128" s="124">
        <v>7.3</v>
      </c>
      <c r="C128" s="127">
        <v>0.126</v>
      </c>
      <c r="D128" s="129">
        <v>593</v>
      </c>
      <c r="E128" s="129">
        <v>255</v>
      </c>
      <c r="F128" s="129">
        <v>4244</v>
      </c>
      <c r="G128" s="129">
        <v>216</v>
      </c>
      <c r="H128" s="129">
        <v>12.5</v>
      </c>
      <c r="I128" s="129">
        <v>55</v>
      </c>
      <c r="J128" s="129">
        <v>11.84</v>
      </c>
      <c r="K128" s="122">
        <v>2.47336</v>
      </c>
      <c r="L128" s="129">
        <v>0.9</v>
      </c>
      <c r="M128" s="129">
        <v>0.33</v>
      </c>
      <c r="N128" s="129">
        <v>10.61</v>
      </c>
      <c r="O128" s="129">
        <v>0</v>
      </c>
      <c r="P128" s="129">
        <v>7.6</v>
      </c>
      <c r="Q128" s="129">
        <v>0</v>
      </c>
      <c r="R128" s="129">
        <v>89.61</v>
      </c>
      <c r="S128" s="129">
        <v>2.79</v>
      </c>
      <c r="T128" s="118"/>
    </row>
    <row r="129" spans="1:20">
      <c r="A129" s="130" t="s">
        <v>317</v>
      </c>
      <c r="B129" s="124">
        <v>6.7</v>
      </c>
      <c r="C129" s="127">
        <v>9.1999999999999998E-2</v>
      </c>
      <c r="D129" s="124">
        <v>493</v>
      </c>
      <c r="E129" s="124">
        <v>103</v>
      </c>
      <c r="F129" s="124">
        <v>2549</v>
      </c>
      <c r="G129" s="124">
        <v>133</v>
      </c>
      <c r="H129" s="124">
        <v>8.9</v>
      </c>
      <c r="I129" s="124">
        <v>41</v>
      </c>
      <c r="J129" s="124">
        <v>7.55</v>
      </c>
      <c r="K129" s="121">
        <v>1.54112</v>
      </c>
      <c r="L129" s="124">
        <v>0.55000000000000004</v>
      </c>
      <c r="M129" s="124">
        <v>0.13</v>
      </c>
      <c r="N129" s="124">
        <v>6.37</v>
      </c>
      <c r="O129" s="124">
        <v>0.5</v>
      </c>
      <c r="P129" s="124">
        <v>7.28</v>
      </c>
      <c r="Q129" s="124">
        <v>6.62</v>
      </c>
      <c r="R129" s="124">
        <v>84.37</v>
      </c>
      <c r="S129" s="124">
        <v>1.72</v>
      </c>
      <c r="T129" s="117"/>
    </row>
    <row r="130" spans="1:20">
      <c r="A130" s="130" t="s">
        <v>318</v>
      </c>
      <c r="B130" s="124">
        <v>6.2</v>
      </c>
      <c r="C130" s="127">
        <v>4.5999999999999999E-2</v>
      </c>
      <c r="D130" s="129">
        <v>414</v>
      </c>
      <c r="E130" s="129">
        <v>79</v>
      </c>
      <c r="F130" s="129">
        <v>1737</v>
      </c>
      <c r="G130" s="129">
        <v>153</v>
      </c>
      <c r="H130" s="129">
        <v>7.9</v>
      </c>
      <c r="I130" s="129">
        <v>34</v>
      </c>
      <c r="J130" s="129">
        <v>6.28</v>
      </c>
      <c r="K130" s="122">
        <v>0.76883999999999997</v>
      </c>
      <c r="L130" s="129">
        <v>0.64</v>
      </c>
      <c r="M130" s="129">
        <v>0.1</v>
      </c>
      <c r="N130" s="129">
        <v>4.34</v>
      </c>
      <c r="O130" s="129">
        <v>1.2</v>
      </c>
      <c r="P130" s="129">
        <v>10.19</v>
      </c>
      <c r="Q130" s="129">
        <v>19.11</v>
      </c>
      <c r="R130" s="129">
        <v>69.11</v>
      </c>
      <c r="S130" s="129">
        <v>1.59</v>
      </c>
      <c r="T130" s="118"/>
    </row>
    <row r="131" spans="1:20">
      <c r="A131" s="130" t="s">
        <v>319</v>
      </c>
      <c r="B131" s="124">
        <v>7.6</v>
      </c>
      <c r="C131" s="127">
        <v>0.32600000000000001</v>
      </c>
      <c r="D131" s="124">
        <v>874</v>
      </c>
      <c r="E131" s="124">
        <v>1204</v>
      </c>
      <c r="F131" s="124">
        <v>4226</v>
      </c>
      <c r="G131" s="124">
        <v>1000</v>
      </c>
      <c r="H131" s="124">
        <v>19.100000000000001</v>
      </c>
      <c r="I131" s="124">
        <v>230</v>
      </c>
      <c r="J131" s="124">
        <v>16.28</v>
      </c>
      <c r="K131" s="121">
        <v>6.3261599999999998</v>
      </c>
      <c r="L131" s="124">
        <v>4.17</v>
      </c>
      <c r="M131" s="124">
        <v>1.54</v>
      </c>
      <c r="N131" s="124">
        <v>10.57</v>
      </c>
      <c r="O131" s="124">
        <v>0</v>
      </c>
      <c r="P131" s="124">
        <v>25.61</v>
      </c>
      <c r="Q131" s="124">
        <v>0</v>
      </c>
      <c r="R131" s="124">
        <v>64.930000000000007</v>
      </c>
      <c r="S131" s="124">
        <v>9.4600000000000009</v>
      </c>
      <c r="T131" s="117"/>
    </row>
    <row r="132" spans="1:20">
      <c r="A132" s="130" t="s">
        <v>320</v>
      </c>
      <c r="B132" s="124">
        <v>7.3</v>
      </c>
      <c r="C132" s="127">
        <v>0.11899999999999999</v>
      </c>
      <c r="D132" s="124">
        <v>451</v>
      </c>
      <c r="E132" s="124">
        <v>152</v>
      </c>
      <c r="F132" s="124">
        <v>2829</v>
      </c>
      <c r="G132" s="124">
        <v>220</v>
      </c>
      <c r="H132" s="124">
        <v>9.3000000000000007</v>
      </c>
      <c r="I132" s="124">
        <v>49</v>
      </c>
      <c r="J132" s="124">
        <v>8.18</v>
      </c>
      <c r="K132" s="121">
        <v>2.1310800000000003</v>
      </c>
      <c r="L132" s="124">
        <v>0.92</v>
      </c>
      <c r="M132" s="124">
        <v>0.19</v>
      </c>
      <c r="N132" s="124">
        <v>7.07</v>
      </c>
      <c r="O132" s="124">
        <v>0</v>
      </c>
      <c r="P132" s="124">
        <v>11.25</v>
      </c>
      <c r="Q132" s="124">
        <v>0</v>
      </c>
      <c r="R132" s="124">
        <v>86.43</v>
      </c>
      <c r="S132" s="124">
        <v>2.3199999999999998</v>
      </c>
      <c r="T132" s="117"/>
    </row>
    <row r="133" spans="1:20">
      <c r="A133" s="130" t="s">
        <v>321</v>
      </c>
      <c r="B133" s="124">
        <v>6.9</v>
      </c>
      <c r="C133" s="127">
        <v>7.3999999999999996E-2</v>
      </c>
      <c r="D133" s="124">
        <v>370</v>
      </c>
      <c r="E133" s="124">
        <v>109</v>
      </c>
      <c r="F133" s="124">
        <v>2047</v>
      </c>
      <c r="G133" s="124">
        <v>146</v>
      </c>
      <c r="H133" s="124">
        <v>6</v>
      </c>
      <c r="I133" s="124">
        <v>40</v>
      </c>
      <c r="J133" s="124">
        <v>6.27</v>
      </c>
      <c r="K133" s="121">
        <v>1.29172</v>
      </c>
      <c r="L133" s="124">
        <v>0.61</v>
      </c>
      <c r="M133" s="124">
        <v>0.14000000000000001</v>
      </c>
      <c r="N133" s="124">
        <v>5.12</v>
      </c>
      <c r="O133" s="124">
        <v>0.4</v>
      </c>
      <c r="P133" s="124">
        <v>9.73</v>
      </c>
      <c r="Q133" s="124">
        <v>6.38</v>
      </c>
      <c r="R133" s="124">
        <v>81.66</v>
      </c>
      <c r="S133" s="124">
        <v>2.23</v>
      </c>
      <c r="T133" s="116"/>
    </row>
    <row r="134" spans="1:20">
      <c r="A134" s="130" t="s">
        <v>322</v>
      </c>
      <c r="B134" s="124">
        <v>7</v>
      </c>
      <c r="C134" s="127">
        <v>0.249</v>
      </c>
      <c r="D134" s="124">
        <v>599</v>
      </c>
      <c r="E134" s="124">
        <v>406</v>
      </c>
      <c r="F134" s="124">
        <v>8403</v>
      </c>
      <c r="G134" s="124">
        <v>806</v>
      </c>
      <c r="H134" s="124">
        <v>14.6</v>
      </c>
      <c r="I134" s="124">
        <v>201</v>
      </c>
      <c r="J134" s="124">
        <v>24.89</v>
      </c>
      <c r="K134" s="121">
        <v>5.9666799999999993</v>
      </c>
      <c r="L134" s="124">
        <v>3.36</v>
      </c>
      <c r="M134" s="124">
        <v>0.52</v>
      </c>
      <c r="N134" s="124">
        <v>21.01</v>
      </c>
      <c r="O134" s="124">
        <v>0</v>
      </c>
      <c r="P134" s="124">
        <v>13.5</v>
      </c>
      <c r="Q134" s="124">
        <v>0</v>
      </c>
      <c r="R134" s="124">
        <v>84.41</v>
      </c>
      <c r="S134" s="124">
        <v>2.09</v>
      </c>
      <c r="T134" s="116"/>
    </row>
    <row r="135" spans="1:20">
      <c r="A135" s="130" t="s">
        <v>323</v>
      </c>
      <c r="B135" s="124">
        <v>6.2</v>
      </c>
      <c r="C135" s="127">
        <v>0.20300000000000001</v>
      </c>
      <c r="D135" s="129">
        <v>448</v>
      </c>
      <c r="E135" s="129">
        <v>93</v>
      </c>
      <c r="F135" s="129">
        <v>3643</v>
      </c>
      <c r="G135" s="129">
        <v>214</v>
      </c>
      <c r="H135" s="129">
        <v>12.8</v>
      </c>
      <c r="I135" s="129">
        <v>79</v>
      </c>
      <c r="J135" s="129">
        <v>12.42</v>
      </c>
      <c r="K135" s="122">
        <v>3.7599199999999997</v>
      </c>
      <c r="L135" s="129">
        <v>0.89</v>
      </c>
      <c r="M135" s="129">
        <v>0.12</v>
      </c>
      <c r="N135" s="129">
        <v>9.11</v>
      </c>
      <c r="O135" s="129">
        <v>2.2999999999999998</v>
      </c>
      <c r="P135" s="129">
        <v>7.17</v>
      </c>
      <c r="Q135" s="129">
        <v>18.52</v>
      </c>
      <c r="R135" s="129">
        <v>73.349999999999994</v>
      </c>
      <c r="S135" s="129">
        <v>0.97</v>
      </c>
      <c r="T135" s="118"/>
    </row>
    <row r="136" spans="1:20">
      <c r="A136" s="130" t="s">
        <v>324</v>
      </c>
      <c r="B136" s="124">
        <v>6</v>
      </c>
      <c r="C136" s="127">
        <v>0.13500000000000001</v>
      </c>
      <c r="D136" s="129">
        <v>509</v>
      </c>
      <c r="E136" s="129">
        <v>59</v>
      </c>
      <c r="F136" s="129">
        <v>2545</v>
      </c>
      <c r="G136" s="129">
        <v>152</v>
      </c>
      <c r="H136" s="129">
        <v>9.3000000000000007</v>
      </c>
      <c r="I136" s="129">
        <v>57</v>
      </c>
      <c r="J136" s="129">
        <v>9.57</v>
      </c>
      <c r="K136" s="122">
        <v>2.28932</v>
      </c>
      <c r="L136" s="129">
        <v>0.63</v>
      </c>
      <c r="M136" s="129">
        <v>0.08</v>
      </c>
      <c r="N136" s="129">
        <v>6.36</v>
      </c>
      <c r="O136" s="129">
        <v>2.5</v>
      </c>
      <c r="P136" s="129">
        <v>6.58</v>
      </c>
      <c r="Q136" s="129">
        <v>26.12</v>
      </c>
      <c r="R136" s="129">
        <v>66.459999999999994</v>
      </c>
      <c r="S136" s="129">
        <v>0.84</v>
      </c>
      <c r="T136" s="118"/>
    </row>
    <row r="137" spans="1:20">
      <c r="A137" s="130"/>
      <c r="B137" s="124"/>
      <c r="C137" s="127"/>
      <c r="D137" s="129"/>
      <c r="E137" s="129"/>
      <c r="F137" s="129"/>
      <c r="G137" s="129"/>
      <c r="H137" s="129"/>
      <c r="I137" s="129"/>
      <c r="J137" s="129"/>
      <c r="K137" s="122"/>
      <c r="L137" s="129"/>
      <c r="M137" s="129"/>
      <c r="N137" s="129"/>
      <c r="O137" s="129"/>
      <c r="P137" s="129"/>
      <c r="Q137" s="129"/>
      <c r="R137" s="129"/>
      <c r="S137" s="129"/>
      <c r="T137" s="118"/>
    </row>
    <row r="138" spans="1:20">
      <c r="A138" s="130" t="s">
        <v>325</v>
      </c>
      <c r="B138" s="124">
        <v>6.1</v>
      </c>
      <c r="C138" s="127">
        <v>0.23100000000000001</v>
      </c>
      <c r="D138" s="124">
        <v>633</v>
      </c>
      <c r="E138" s="124">
        <v>187</v>
      </c>
      <c r="F138" s="124">
        <v>5199</v>
      </c>
      <c r="G138" s="124">
        <v>358</v>
      </c>
      <c r="H138" s="124">
        <v>18.399999999999999</v>
      </c>
      <c r="I138" s="124">
        <v>195</v>
      </c>
      <c r="J138" s="124">
        <v>16.23</v>
      </c>
      <c r="K138" s="121">
        <v>4.0488800000000005</v>
      </c>
      <c r="L138" s="124">
        <v>1.49</v>
      </c>
      <c r="M138" s="124">
        <v>0.24</v>
      </c>
      <c r="N138" s="124">
        <v>13</v>
      </c>
      <c r="O138" s="124">
        <v>1.5</v>
      </c>
      <c r="P138" s="124">
        <v>9.18</v>
      </c>
      <c r="Q138" s="124">
        <v>9.24</v>
      </c>
      <c r="R138" s="124">
        <v>80.099999999999994</v>
      </c>
      <c r="S138" s="124">
        <v>1.48</v>
      </c>
      <c r="T138" s="116"/>
    </row>
    <row r="139" spans="1:20">
      <c r="A139" s="130" t="s">
        <v>326</v>
      </c>
      <c r="B139" s="124">
        <v>6</v>
      </c>
      <c r="C139" s="127">
        <v>0.13400000000000001</v>
      </c>
      <c r="D139" s="124">
        <v>641</v>
      </c>
      <c r="E139" s="124">
        <v>76</v>
      </c>
      <c r="F139" s="124">
        <v>3096</v>
      </c>
      <c r="G139" s="124">
        <v>191</v>
      </c>
      <c r="H139" s="124">
        <v>15.4</v>
      </c>
      <c r="I139" s="124">
        <v>105</v>
      </c>
      <c r="J139" s="124">
        <v>10.94</v>
      </c>
      <c r="K139" s="121">
        <v>2.3134000000000001</v>
      </c>
      <c r="L139" s="124">
        <v>0.8</v>
      </c>
      <c r="M139" s="124">
        <v>0.1</v>
      </c>
      <c r="N139" s="124">
        <v>7.74</v>
      </c>
      <c r="O139" s="124">
        <v>2.2999999999999998</v>
      </c>
      <c r="P139" s="124">
        <v>7.31</v>
      </c>
      <c r="Q139" s="124">
        <v>21.02</v>
      </c>
      <c r="R139" s="124">
        <v>70.75</v>
      </c>
      <c r="S139" s="124">
        <v>0.91</v>
      </c>
      <c r="T139" s="116"/>
    </row>
    <row r="140" spans="1:20">
      <c r="A140" s="130" t="s">
        <v>327</v>
      </c>
      <c r="B140" s="124">
        <v>5.6</v>
      </c>
      <c r="C140" s="127">
        <v>9.6000000000000002E-2</v>
      </c>
      <c r="D140" s="124">
        <v>626</v>
      </c>
      <c r="E140" s="124">
        <v>78</v>
      </c>
      <c r="F140" s="124">
        <v>2187</v>
      </c>
      <c r="G140" s="124">
        <v>175</v>
      </c>
      <c r="H140" s="124">
        <v>13.9</v>
      </c>
      <c r="I140" s="124">
        <v>85</v>
      </c>
      <c r="J140" s="124">
        <v>9.8000000000000007</v>
      </c>
      <c r="K140" s="121">
        <v>1.5049999999999999</v>
      </c>
      <c r="L140" s="124">
        <v>0.73</v>
      </c>
      <c r="M140" s="124">
        <v>0.1</v>
      </c>
      <c r="N140" s="124">
        <v>5.47</v>
      </c>
      <c r="O140" s="124">
        <v>3.5</v>
      </c>
      <c r="P140" s="124">
        <v>7.45</v>
      </c>
      <c r="Q140" s="124">
        <v>35.71</v>
      </c>
      <c r="R140" s="124">
        <v>55.82</v>
      </c>
      <c r="S140" s="124">
        <v>1.02</v>
      </c>
      <c r="T140" s="116"/>
    </row>
    <row r="141" spans="1:20">
      <c r="A141" s="130"/>
      <c r="B141" s="124"/>
      <c r="C141" s="127"/>
      <c r="D141" s="124"/>
      <c r="E141" s="124"/>
      <c r="F141" s="124"/>
      <c r="G141" s="124"/>
      <c r="H141" s="124"/>
      <c r="I141" s="124"/>
      <c r="J141" s="124"/>
      <c r="K141" s="121"/>
      <c r="L141" s="124"/>
      <c r="M141" s="124"/>
      <c r="N141" s="124"/>
      <c r="O141" s="124"/>
      <c r="P141" s="124"/>
      <c r="Q141" s="124"/>
      <c r="R141" s="124"/>
      <c r="S141" s="124"/>
      <c r="T141" s="116"/>
    </row>
    <row r="142" spans="1:20">
      <c r="A142" s="130"/>
      <c r="B142" s="124"/>
      <c r="C142" s="127"/>
      <c r="D142" s="124"/>
      <c r="E142" s="124"/>
      <c r="F142" s="124"/>
      <c r="G142" s="124"/>
      <c r="H142" s="124"/>
      <c r="I142" s="124"/>
      <c r="J142" s="124"/>
      <c r="K142" s="121"/>
      <c r="L142" s="124"/>
      <c r="M142" s="124"/>
      <c r="N142" s="124"/>
      <c r="O142" s="124"/>
      <c r="P142" s="124"/>
      <c r="Q142" s="124"/>
      <c r="R142" s="124"/>
      <c r="S142" s="124"/>
      <c r="T142" s="116"/>
    </row>
    <row r="143" spans="1:20">
      <c r="A143" s="130"/>
      <c r="B143" s="124"/>
      <c r="C143" s="127"/>
      <c r="D143" s="124"/>
      <c r="E143" s="124"/>
      <c r="F143" s="124"/>
      <c r="G143" s="124"/>
      <c r="H143" s="124"/>
      <c r="I143" s="124"/>
      <c r="J143" s="124"/>
      <c r="K143" s="121"/>
      <c r="L143" s="124"/>
      <c r="M143" s="124"/>
      <c r="N143" s="124"/>
      <c r="O143" s="124"/>
      <c r="P143" s="124"/>
      <c r="Q143" s="124"/>
      <c r="R143" s="124"/>
      <c r="S143" s="124"/>
      <c r="T143" s="116"/>
    </row>
    <row r="144" spans="1:20">
      <c r="A144" s="130" t="s">
        <v>328</v>
      </c>
      <c r="B144" s="124">
        <v>7</v>
      </c>
      <c r="C144" s="127">
        <v>0.33700000000000002</v>
      </c>
      <c r="D144" s="124">
        <v>834</v>
      </c>
      <c r="E144" s="124">
        <v>766</v>
      </c>
      <c r="F144" s="124">
        <v>6655</v>
      </c>
      <c r="G144" s="124">
        <v>712</v>
      </c>
      <c r="H144" s="124">
        <v>32</v>
      </c>
      <c r="I144" s="124">
        <v>614</v>
      </c>
      <c r="J144" s="124">
        <v>20.59</v>
      </c>
      <c r="K144" s="121">
        <v>8.3007200000000001</v>
      </c>
      <c r="L144" s="124">
        <v>2.97</v>
      </c>
      <c r="M144" s="124">
        <v>0.98</v>
      </c>
      <c r="N144" s="124">
        <v>16.64</v>
      </c>
      <c r="O144" s="124">
        <v>0</v>
      </c>
      <c r="P144" s="124">
        <v>14.42</v>
      </c>
      <c r="Q144" s="124">
        <v>0</v>
      </c>
      <c r="R144" s="124">
        <v>80.819999999999993</v>
      </c>
      <c r="S144" s="124">
        <v>4.76</v>
      </c>
      <c r="T144" s="116"/>
    </row>
    <row r="145" spans="1:20">
      <c r="A145" s="125"/>
      <c r="B145" s="125"/>
      <c r="C145" s="128"/>
      <c r="D145" s="125"/>
      <c r="E145" s="125"/>
      <c r="F145" s="125"/>
      <c r="G145" s="125"/>
      <c r="H145" s="125"/>
      <c r="I145" s="125"/>
      <c r="J145" s="125"/>
      <c r="K145" s="123"/>
      <c r="L145" s="125"/>
      <c r="M145" s="125"/>
      <c r="N145" s="125"/>
      <c r="O145" s="125"/>
      <c r="P145" s="125"/>
      <c r="Q145" s="125"/>
      <c r="R145" s="125"/>
      <c r="S145" s="125"/>
      <c r="T145" s="116"/>
    </row>
    <row r="146" spans="1:20">
      <c r="A146" s="130" t="s">
        <v>329</v>
      </c>
      <c r="B146" s="124">
        <v>6.9</v>
      </c>
      <c r="C146" s="127">
        <v>7.1999999999999995E-2</v>
      </c>
      <c r="D146" s="124">
        <v>416</v>
      </c>
      <c r="E146" s="124">
        <v>82</v>
      </c>
      <c r="F146" s="124">
        <v>1945</v>
      </c>
      <c r="G146" s="124">
        <v>93</v>
      </c>
      <c r="H146" s="124">
        <v>14.8</v>
      </c>
      <c r="I146" s="124">
        <v>82</v>
      </c>
      <c r="J146" s="124">
        <v>5.66</v>
      </c>
      <c r="K146" s="121">
        <v>1.1713200000000001</v>
      </c>
      <c r="L146" s="124">
        <v>0.39</v>
      </c>
      <c r="M146" s="124">
        <v>0.11</v>
      </c>
      <c r="N146" s="124">
        <v>4.8600000000000003</v>
      </c>
      <c r="O146" s="124">
        <v>0.3</v>
      </c>
      <c r="P146" s="124">
        <v>6.89</v>
      </c>
      <c r="Q146" s="124">
        <v>5.3</v>
      </c>
      <c r="R146" s="124">
        <v>85.87</v>
      </c>
      <c r="S146" s="124">
        <v>1.94</v>
      </c>
      <c r="T146" s="116"/>
    </row>
    <row r="147" spans="1:20">
      <c r="A147" s="125"/>
      <c r="B147" s="125"/>
      <c r="C147" s="128"/>
      <c r="D147" s="125"/>
      <c r="E147" s="125"/>
      <c r="F147" s="125"/>
      <c r="G147" s="125"/>
      <c r="H147" s="125"/>
      <c r="I147" s="125"/>
      <c r="J147" s="125"/>
      <c r="K147" s="123"/>
      <c r="L147" s="125"/>
      <c r="M147" s="125"/>
      <c r="N147" s="125"/>
      <c r="O147" s="125"/>
      <c r="P147" s="125"/>
      <c r="Q147" s="125"/>
      <c r="R147" s="125"/>
      <c r="S147" s="125"/>
      <c r="T147" s="116"/>
    </row>
    <row r="148" spans="1:20">
      <c r="A148" s="130" t="s">
        <v>330</v>
      </c>
      <c r="B148" s="124">
        <v>5.7</v>
      </c>
      <c r="C148" s="127">
        <v>0.40100000000000002</v>
      </c>
      <c r="D148" s="124">
        <v>1148</v>
      </c>
      <c r="E148" s="124">
        <v>932</v>
      </c>
      <c r="F148" s="124">
        <v>7413</v>
      </c>
      <c r="G148" s="124">
        <v>1019</v>
      </c>
      <c r="H148" s="124">
        <v>44.4</v>
      </c>
      <c r="I148" s="124">
        <v>1438</v>
      </c>
      <c r="J148" s="124">
        <v>26.77</v>
      </c>
      <c r="K148" s="121">
        <v>12.746919999999999</v>
      </c>
      <c r="L148" s="124">
        <v>4.25</v>
      </c>
      <c r="M148" s="124">
        <v>1.19</v>
      </c>
      <c r="N148" s="124">
        <v>18.53</v>
      </c>
      <c r="O148" s="124">
        <v>2.8</v>
      </c>
      <c r="P148" s="124">
        <v>15.88</v>
      </c>
      <c r="Q148" s="124">
        <v>10.46</v>
      </c>
      <c r="R148" s="124">
        <v>69.22</v>
      </c>
      <c r="S148" s="124">
        <v>4.45</v>
      </c>
      <c r="T148" s="116"/>
    </row>
    <row r="149" spans="1:20">
      <c r="A149" s="130" t="s">
        <v>331</v>
      </c>
      <c r="B149" s="124">
        <v>5.6</v>
      </c>
      <c r="C149" s="127">
        <v>0.189</v>
      </c>
      <c r="D149" s="129">
        <v>621</v>
      </c>
      <c r="E149" s="129">
        <v>193</v>
      </c>
      <c r="F149" s="129">
        <v>2732</v>
      </c>
      <c r="G149" s="129">
        <v>177</v>
      </c>
      <c r="H149" s="129">
        <v>22.7</v>
      </c>
      <c r="I149" s="129">
        <v>187</v>
      </c>
      <c r="J149" s="129">
        <v>10.92</v>
      </c>
      <c r="K149" s="122">
        <v>3.6876800000000003</v>
      </c>
      <c r="L149" s="129">
        <v>0.74</v>
      </c>
      <c r="M149" s="129">
        <v>0.25</v>
      </c>
      <c r="N149" s="129">
        <v>6.83</v>
      </c>
      <c r="O149" s="129">
        <v>3.1</v>
      </c>
      <c r="P149" s="129">
        <v>6.78</v>
      </c>
      <c r="Q149" s="129">
        <v>28.39</v>
      </c>
      <c r="R149" s="129">
        <v>62.55</v>
      </c>
      <c r="S149" s="129">
        <v>2.29</v>
      </c>
      <c r="T149" s="118"/>
    </row>
    <row r="150" spans="1:20">
      <c r="A150" s="130" t="s">
        <v>332</v>
      </c>
      <c r="B150" s="124">
        <v>5.8</v>
      </c>
      <c r="C150" s="127">
        <v>0.17599999999999999</v>
      </c>
      <c r="D150" s="124">
        <v>547</v>
      </c>
      <c r="E150" s="124">
        <v>234</v>
      </c>
      <c r="F150" s="124">
        <v>2310</v>
      </c>
      <c r="G150" s="124">
        <v>97</v>
      </c>
      <c r="H150" s="124">
        <v>10.7</v>
      </c>
      <c r="I150" s="124">
        <v>86</v>
      </c>
      <c r="J150" s="124">
        <v>8.8800000000000008</v>
      </c>
      <c r="K150" s="121">
        <v>2.3048000000000002</v>
      </c>
      <c r="L150" s="124">
        <v>0.4</v>
      </c>
      <c r="M150" s="124">
        <v>0.3</v>
      </c>
      <c r="N150" s="124">
        <v>5.78</v>
      </c>
      <c r="O150" s="124">
        <v>2.4</v>
      </c>
      <c r="P150" s="124">
        <v>4.5</v>
      </c>
      <c r="Q150" s="124">
        <v>27.03</v>
      </c>
      <c r="R150" s="124">
        <v>65.09</v>
      </c>
      <c r="S150" s="124">
        <v>3.38</v>
      </c>
      <c r="T150" s="116"/>
    </row>
    <row r="151" spans="1:20">
      <c r="A151" s="130"/>
      <c r="B151" s="124"/>
      <c r="C151" s="127"/>
      <c r="D151" s="124"/>
      <c r="E151" s="124"/>
      <c r="F151" s="124"/>
      <c r="G151" s="124"/>
      <c r="H151" s="124"/>
      <c r="I151" s="124"/>
      <c r="J151" s="124"/>
      <c r="K151" s="121"/>
      <c r="L151" s="124"/>
      <c r="M151" s="124"/>
      <c r="N151" s="124"/>
      <c r="O151" s="124"/>
      <c r="P151" s="124"/>
      <c r="Q151" s="124"/>
      <c r="R151" s="124"/>
      <c r="S151" s="124"/>
      <c r="T151" s="116"/>
    </row>
    <row r="152" spans="1:20">
      <c r="A152" s="133" t="s">
        <v>353</v>
      </c>
      <c r="B152" s="124"/>
      <c r="C152" s="127"/>
      <c r="D152" s="124"/>
      <c r="E152" s="124"/>
      <c r="F152" s="124"/>
      <c r="G152" s="124"/>
      <c r="H152" s="124"/>
      <c r="I152" s="124"/>
      <c r="J152" s="124"/>
      <c r="K152" s="121"/>
      <c r="L152" s="124"/>
      <c r="M152" s="124"/>
      <c r="N152" s="124"/>
      <c r="O152" s="124"/>
      <c r="P152" s="124"/>
      <c r="Q152" s="124"/>
      <c r="R152" s="124"/>
      <c r="S152" s="124"/>
      <c r="T152" s="116"/>
    </row>
    <row r="153" spans="1:20">
      <c r="A153" s="130" t="s">
        <v>333</v>
      </c>
      <c r="B153" s="124">
        <v>6.5</v>
      </c>
      <c r="C153" s="127">
        <v>9.2999999999999999E-2</v>
      </c>
      <c r="D153" s="124">
        <v>391</v>
      </c>
      <c r="E153" s="124">
        <v>129</v>
      </c>
      <c r="F153" s="124">
        <v>1858</v>
      </c>
      <c r="G153" s="124">
        <v>121</v>
      </c>
      <c r="H153" s="124">
        <v>13.8</v>
      </c>
      <c r="I153" s="124">
        <v>33</v>
      </c>
      <c r="J153" s="124">
        <v>6.12</v>
      </c>
      <c r="K153" s="121">
        <v>1.8782400000000001</v>
      </c>
      <c r="L153" s="124">
        <v>0.5</v>
      </c>
      <c r="M153" s="124">
        <v>0.17</v>
      </c>
      <c r="N153" s="124">
        <v>4.6500000000000004</v>
      </c>
      <c r="O153" s="124">
        <v>0.8</v>
      </c>
      <c r="P153" s="124">
        <v>8.17</v>
      </c>
      <c r="Q153" s="124">
        <v>13.07</v>
      </c>
      <c r="R153" s="124">
        <v>75.98</v>
      </c>
      <c r="S153" s="124">
        <v>2.78</v>
      </c>
      <c r="T153" s="116"/>
    </row>
    <row r="154" spans="1:20">
      <c r="A154" s="130" t="s">
        <v>334</v>
      </c>
      <c r="B154" s="124">
        <v>5.9</v>
      </c>
      <c r="C154" s="127">
        <v>7.2999999999999995E-2</v>
      </c>
      <c r="D154" s="129">
        <v>328</v>
      </c>
      <c r="E154" s="129">
        <v>88</v>
      </c>
      <c r="F154" s="129">
        <v>974</v>
      </c>
      <c r="G154" s="129">
        <v>95</v>
      </c>
      <c r="H154" s="129">
        <v>7.1</v>
      </c>
      <c r="I154" s="129">
        <v>25</v>
      </c>
      <c r="J154" s="129">
        <v>4.55</v>
      </c>
      <c r="K154" s="122">
        <v>1.33816</v>
      </c>
      <c r="L154" s="129">
        <v>0.4</v>
      </c>
      <c r="M154" s="129">
        <v>0.11</v>
      </c>
      <c r="N154" s="129">
        <v>2.44</v>
      </c>
      <c r="O154" s="129">
        <v>1.6</v>
      </c>
      <c r="P154" s="129">
        <v>8.7899999999999991</v>
      </c>
      <c r="Q154" s="129">
        <v>35.159999999999997</v>
      </c>
      <c r="R154" s="129">
        <v>53.63</v>
      </c>
      <c r="S154" s="129">
        <v>2.42</v>
      </c>
      <c r="T154" s="118"/>
    </row>
    <row r="155" spans="1:20">
      <c r="A155" s="130" t="s">
        <v>335</v>
      </c>
      <c r="B155" s="124">
        <v>5.7</v>
      </c>
      <c r="C155" s="127">
        <v>7.9000000000000001E-2</v>
      </c>
      <c r="D155" s="124">
        <v>359</v>
      </c>
      <c r="E155" s="124">
        <v>89</v>
      </c>
      <c r="F155" s="124">
        <v>980</v>
      </c>
      <c r="G155" s="124">
        <v>96</v>
      </c>
      <c r="H155" s="124">
        <v>8.6</v>
      </c>
      <c r="I155" s="124">
        <v>33</v>
      </c>
      <c r="J155" s="124">
        <v>4.76</v>
      </c>
      <c r="K155" s="121">
        <v>1.3588</v>
      </c>
      <c r="L155" s="124">
        <v>0.4</v>
      </c>
      <c r="M155" s="124">
        <v>0.11</v>
      </c>
      <c r="N155" s="124">
        <v>2.4500000000000002</v>
      </c>
      <c r="O155" s="124">
        <v>1.8</v>
      </c>
      <c r="P155" s="124">
        <v>8.4</v>
      </c>
      <c r="Q155" s="124">
        <v>37.82</v>
      </c>
      <c r="R155" s="124">
        <v>51.47</v>
      </c>
      <c r="S155" s="124">
        <v>2.31</v>
      </c>
      <c r="T155" s="116"/>
    </row>
    <row r="156" spans="1:20">
      <c r="A156" s="130" t="s">
        <v>336</v>
      </c>
      <c r="B156" s="124">
        <v>6.3</v>
      </c>
      <c r="C156" s="127">
        <v>0.19600000000000001</v>
      </c>
      <c r="D156" s="124">
        <v>395</v>
      </c>
      <c r="E156" s="124">
        <v>151</v>
      </c>
      <c r="F156" s="124">
        <v>3354</v>
      </c>
      <c r="G156" s="124">
        <v>308</v>
      </c>
      <c r="H156" s="124">
        <v>20.6</v>
      </c>
      <c r="I156" s="124">
        <v>31</v>
      </c>
      <c r="J156" s="124">
        <v>13.46</v>
      </c>
      <c r="K156" s="121">
        <v>3.9903999999999997</v>
      </c>
      <c r="L156" s="124">
        <v>1.28</v>
      </c>
      <c r="M156" s="124">
        <v>0.19</v>
      </c>
      <c r="N156" s="124">
        <v>8.39</v>
      </c>
      <c r="O156" s="124">
        <v>3.6</v>
      </c>
      <c r="P156" s="124">
        <v>9.51</v>
      </c>
      <c r="Q156" s="124">
        <v>26.75</v>
      </c>
      <c r="R156" s="124">
        <v>62.33</v>
      </c>
      <c r="S156" s="124">
        <v>1.41</v>
      </c>
      <c r="T156" s="116"/>
    </row>
    <row r="157" spans="1:20">
      <c r="A157" s="130" t="s">
        <v>337</v>
      </c>
      <c r="B157" s="124">
        <v>5.0999999999999996</v>
      </c>
      <c r="C157" s="127">
        <v>0.121</v>
      </c>
      <c r="D157" s="129">
        <v>316</v>
      </c>
      <c r="E157" s="129">
        <v>83</v>
      </c>
      <c r="F157" s="129">
        <v>805</v>
      </c>
      <c r="G157" s="129">
        <v>110</v>
      </c>
      <c r="H157" s="129">
        <v>7.6</v>
      </c>
      <c r="I157" s="129">
        <v>24</v>
      </c>
      <c r="J157" s="129">
        <v>7.08</v>
      </c>
      <c r="K157" s="122">
        <v>2.1517199999999996</v>
      </c>
      <c r="L157" s="129">
        <v>0.46</v>
      </c>
      <c r="M157" s="129">
        <v>0.11</v>
      </c>
      <c r="N157" s="129">
        <v>2.0099999999999998</v>
      </c>
      <c r="O157" s="129">
        <v>4.5</v>
      </c>
      <c r="P157" s="129">
        <v>6.5</v>
      </c>
      <c r="Q157" s="129">
        <v>63.56</v>
      </c>
      <c r="R157" s="129">
        <v>28.39</v>
      </c>
      <c r="S157" s="129">
        <v>1.55</v>
      </c>
      <c r="T157" s="118"/>
    </row>
    <row r="158" spans="1:20">
      <c r="A158" s="130" t="s">
        <v>338</v>
      </c>
      <c r="B158" s="124">
        <v>5</v>
      </c>
      <c r="C158" s="127">
        <v>8.5999999999999993E-2</v>
      </c>
      <c r="D158" s="124">
        <v>275</v>
      </c>
      <c r="E158" s="124">
        <v>76</v>
      </c>
      <c r="F158" s="124">
        <v>662</v>
      </c>
      <c r="G158" s="124">
        <v>130</v>
      </c>
      <c r="H158" s="124">
        <v>8.9</v>
      </c>
      <c r="I158" s="124">
        <v>30</v>
      </c>
      <c r="J158" s="124">
        <v>7.2</v>
      </c>
      <c r="K158" s="121">
        <v>1.3914800000000001</v>
      </c>
      <c r="L158" s="124">
        <v>0.54</v>
      </c>
      <c r="M158" s="124">
        <v>0.1</v>
      </c>
      <c r="N158" s="124">
        <v>1.66</v>
      </c>
      <c r="O158" s="124">
        <v>4.9000000000000004</v>
      </c>
      <c r="P158" s="124">
        <v>7.5</v>
      </c>
      <c r="Q158" s="124">
        <v>68.06</v>
      </c>
      <c r="R158" s="124">
        <v>23.06</v>
      </c>
      <c r="S158" s="124">
        <v>1.39</v>
      </c>
      <c r="T158" s="116"/>
    </row>
    <row r="159" spans="1:20">
      <c r="A159" s="130" t="s">
        <v>339</v>
      </c>
      <c r="B159" s="124">
        <v>6.4</v>
      </c>
      <c r="C159" s="127">
        <v>0.121</v>
      </c>
      <c r="D159" s="124">
        <v>373</v>
      </c>
      <c r="E159" s="124">
        <v>212</v>
      </c>
      <c r="F159" s="124">
        <v>2132</v>
      </c>
      <c r="G159" s="124">
        <v>206</v>
      </c>
      <c r="H159" s="124">
        <v>14.7</v>
      </c>
      <c r="I159" s="124">
        <v>33</v>
      </c>
      <c r="J159" s="124">
        <v>8.06</v>
      </c>
      <c r="K159" s="121">
        <v>2.4699199999999997</v>
      </c>
      <c r="L159" s="124">
        <v>0.86</v>
      </c>
      <c r="M159" s="124">
        <v>0.27</v>
      </c>
      <c r="N159" s="124">
        <v>5.33</v>
      </c>
      <c r="O159" s="124">
        <v>1.6</v>
      </c>
      <c r="P159" s="124">
        <v>10.67</v>
      </c>
      <c r="Q159" s="124">
        <v>19.850000000000001</v>
      </c>
      <c r="R159" s="124">
        <v>66.13</v>
      </c>
      <c r="S159" s="124">
        <v>3.35</v>
      </c>
      <c r="T159" s="116"/>
    </row>
    <row r="160" spans="1:20">
      <c r="A160" s="130" t="s">
        <v>340</v>
      </c>
      <c r="B160" s="124">
        <v>6.1</v>
      </c>
      <c r="C160" s="127">
        <v>8.6999999999999994E-2</v>
      </c>
      <c r="D160" s="129">
        <v>404</v>
      </c>
      <c r="E160" s="129">
        <v>125</v>
      </c>
      <c r="F160" s="129">
        <v>1337</v>
      </c>
      <c r="G160" s="129">
        <v>119</v>
      </c>
      <c r="H160" s="129">
        <v>13.7</v>
      </c>
      <c r="I160" s="129">
        <v>27</v>
      </c>
      <c r="J160" s="129">
        <v>5.9</v>
      </c>
      <c r="K160" s="122">
        <v>1.5256399999999999</v>
      </c>
      <c r="L160" s="129">
        <v>0.5</v>
      </c>
      <c r="M160" s="129">
        <v>0.16</v>
      </c>
      <c r="N160" s="129">
        <v>3.34</v>
      </c>
      <c r="O160" s="129">
        <v>1.9</v>
      </c>
      <c r="P160" s="129">
        <v>8.4700000000000006</v>
      </c>
      <c r="Q160" s="129">
        <v>32.200000000000003</v>
      </c>
      <c r="R160" s="129">
        <v>56.61</v>
      </c>
      <c r="S160" s="129">
        <v>2.71</v>
      </c>
      <c r="T160" s="118"/>
    </row>
    <row r="161" spans="1:20">
      <c r="A161" s="130" t="s">
        <v>341</v>
      </c>
      <c r="B161" s="124">
        <v>6</v>
      </c>
      <c r="C161" s="127">
        <v>8.3000000000000004E-2</v>
      </c>
      <c r="D161" s="124">
        <v>339</v>
      </c>
      <c r="E161" s="124">
        <v>104</v>
      </c>
      <c r="F161" s="124">
        <v>1308</v>
      </c>
      <c r="G161" s="124">
        <v>114</v>
      </c>
      <c r="H161" s="124">
        <v>10.8</v>
      </c>
      <c r="I161" s="124">
        <v>32</v>
      </c>
      <c r="J161" s="124">
        <v>5.48</v>
      </c>
      <c r="K161" s="121">
        <v>1.44824</v>
      </c>
      <c r="L161" s="124">
        <v>0.48</v>
      </c>
      <c r="M161" s="124">
        <v>0.13</v>
      </c>
      <c r="N161" s="124">
        <v>3.27</v>
      </c>
      <c r="O161" s="124">
        <v>1.6</v>
      </c>
      <c r="P161" s="124">
        <v>8.76</v>
      </c>
      <c r="Q161" s="124">
        <v>29.2</v>
      </c>
      <c r="R161" s="124">
        <v>59.67</v>
      </c>
      <c r="S161" s="124">
        <v>2.37</v>
      </c>
      <c r="T161" s="116"/>
    </row>
    <row r="162" spans="1:20">
      <c r="A162" s="133" t="s">
        <v>345</v>
      </c>
      <c r="B162" s="125"/>
      <c r="C162" s="128"/>
      <c r="D162" s="125"/>
      <c r="E162" s="125"/>
      <c r="F162" s="125"/>
      <c r="G162" s="125"/>
      <c r="H162" s="125"/>
      <c r="I162" s="125"/>
      <c r="J162" s="125"/>
      <c r="K162" s="123"/>
      <c r="L162" s="125"/>
      <c r="M162" s="125"/>
      <c r="N162" s="125"/>
      <c r="O162" s="125"/>
      <c r="P162" s="125"/>
      <c r="Q162" s="125"/>
      <c r="R162" s="125"/>
      <c r="S162" s="125"/>
      <c r="T162" s="116"/>
    </row>
    <row r="163" spans="1:20" ht="31.5">
      <c r="A163" s="120" t="s">
        <v>177</v>
      </c>
      <c r="B163" s="119" t="s">
        <v>178</v>
      </c>
      <c r="C163" s="119" t="s">
        <v>179</v>
      </c>
      <c r="D163" s="120" t="s">
        <v>180</v>
      </c>
      <c r="E163" s="120" t="s">
        <v>181</v>
      </c>
      <c r="F163" s="120" t="s">
        <v>182</v>
      </c>
      <c r="G163" s="120" t="s">
        <v>183</v>
      </c>
      <c r="H163" s="120" t="s">
        <v>184</v>
      </c>
      <c r="I163" s="120" t="s">
        <v>185</v>
      </c>
      <c r="J163" s="120" t="s">
        <v>186</v>
      </c>
      <c r="K163" s="120" t="s">
        <v>187</v>
      </c>
      <c r="L163" s="125"/>
      <c r="M163" s="125"/>
      <c r="N163" s="125"/>
      <c r="O163" s="125"/>
      <c r="P163" s="125"/>
      <c r="Q163" s="125"/>
      <c r="R163" s="125"/>
      <c r="S163" s="125"/>
      <c r="T163" s="116"/>
    </row>
    <row r="164" spans="1:20">
      <c r="A164" s="130" t="s">
        <v>342</v>
      </c>
      <c r="B164" s="124">
        <v>9.1999999999999993</v>
      </c>
      <c r="C164" s="127">
        <v>0.95</v>
      </c>
      <c r="D164" s="124">
        <v>1049</v>
      </c>
      <c r="E164" s="124">
        <v>1618</v>
      </c>
      <c r="F164" s="124">
        <v>12834</v>
      </c>
      <c r="G164" s="124">
        <v>3419</v>
      </c>
      <c r="H164" s="124">
        <v>7.3</v>
      </c>
      <c r="I164" s="124">
        <v>56</v>
      </c>
      <c r="J164" s="124">
        <v>48.41</v>
      </c>
      <c r="K164" s="121">
        <v>24.262319999999999</v>
      </c>
      <c r="L164" s="124">
        <v>14.25</v>
      </c>
      <c r="M164" s="124">
        <v>2.0699999999999998</v>
      </c>
      <c r="N164" s="124">
        <v>32.090000000000003</v>
      </c>
      <c r="O164" s="124">
        <v>0</v>
      </c>
      <c r="P164" s="124">
        <v>29.44</v>
      </c>
      <c r="Q164" s="124">
        <v>0</v>
      </c>
      <c r="R164" s="124">
        <v>66.290000000000006</v>
      </c>
      <c r="S164" s="124">
        <v>4.28</v>
      </c>
      <c r="T164" s="116"/>
    </row>
    <row r="165" spans="1:20">
      <c r="A165" s="130" t="s">
        <v>343</v>
      </c>
      <c r="B165" s="124">
        <v>6</v>
      </c>
      <c r="C165" s="127">
        <v>8.0749999999999993</v>
      </c>
      <c r="D165" s="124">
        <v>9530</v>
      </c>
      <c r="E165" s="124">
        <v>9999</v>
      </c>
      <c r="F165" s="124">
        <v>748</v>
      </c>
      <c r="G165" s="124">
        <v>5260</v>
      </c>
      <c r="H165" s="124">
        <v>51.6</v>
      </c>
      <c r="I165" s="124">
        <v>5530</v>
      </c>
      <c r="J165" s="124">
        <v>42.21</v>
      </c>
      <c r="K165" s="121">
        <v>55.285960000000003</v>
      </c>
      <c r="L165" s="124">
        <v>21.92</v>
      </c>
      <c r="M165" s="124">
        <v>12.82</v>
      </c>
      <c r="N165" s="124">
        <v>1.87</v>
      </c>
      <c r="O165" s="124">
        <v>5.6</v>
      </c>
      <c r="P165" s="124">
        <v>51.93</v>
      </c>
      <c r="Q165" s="124">
        <v>13.27</v>
      </c>
      <c r="R165" s="124">
        <v>4.43</v>
      </c>
      <c r="S165" s="124">
        <v>30.37</v>
      </c>
      <c r="T165" s="116"/>
    </row>
    <row r="166" spans="1:20">
      <c r="A166" s="130" t="s">
        <v>344</v>
      </c>
      <c r="B166" s="124">
        <v>6.7</v>
      </c>
      <c r="C166" s="127">
        <v>1.3149999999999999</v>
      </c>
      <c r="D166" s="124">
        <v>2819</v>
      </c>
      <c r="E166" s="124">
        <v>1679</v>
      </c>
      <c r="F166" s="124">
        <v>4046</v>
      </c>
      <c r="G166" s="124">
        <v>2687</v>
      </c>
      <c r="H166" s="124">
        <v>79.900000000000006</v>
      </c>
      <c r="I166" s="124">
        <v>60</v>
      </c>
      <c r="J166" s="124">
        <v>24.27</v>
      </c>
      <c r="K166" s="121">
        <v>19.396439999999998</v>
      </c>
      <c r="L166" s="124">
        <v>11.2</v>
      </c>
      <c r="M166" s="124">
        <v>2.15</v>
      </c>
      <c r="N166" s="124">
        <v>10.119999999999999</v>
      </c>
      <c r="O166" s="124">
        <v>0.8</v>
      </c>
      <c r="P166" s="124">
        <v>46.15</v>
      </c>
      <c r="Q166" s="124">
        <v>3.3</v>
      </c>
      <c r="R166" s="124">
        <v>41.7</v>
      </c>
      <c r="S166" s="124">
        <v>8.86</v>
      </c>
      <c r="T166" s="116"/>
    </row>
    <row r="167" spans="1:20">
      <c r="A167" s="125"/>
      <c r="B167" s="125"/>
      <c r="C167" s="128"/>
      <c r="D167" s="125"/>
      <c r="E167" s="125"/>
      <c r="F167" s="125"/>
      <c r="G167" s="125"/>
      <c r="H167" s="125"/>
      <c r="I167" s="125"/>
      <c r="J167" s="125"/>
      <c r="K167" s="123"/>
      <c r="L167" s="125"/>
      <c r="M167" s="125"/>
      <c r="N167" s="125"/>
      <c r="O167" s="125"/>
      <c r="P167" s="125"/>
      <c r="Q167" s="125"/>
      <c r="R167" s="125"/>
      <c r="S167" s="125"/>
      <c r="T167" s="116"/>
    </row>
    <row r="168" spans="1:20">
      <c r="A168" s="130"/>
      <c r="B168" s="124"/>
      <c r="C168" s="127"/>
      <c r="D168" s="129"/>
      <c r="E168" s="129"/>
      <c r="F168" s="129"/>
      <c r="G168" s="129"/>
      <c r="H168" s="129"/>
      <c r="I168" s="129"/>
      <c r="J168" s="129"/>
      <c r="K168" s="122"/>
      <c r="L168" s="129"/>
      <c r="M168" s="129"/>
      <c r="N168" s="129"/>
      <c r="O168" s="129"/>
      <c r="P168" s="129"/>
      <c r="Q168" s="129"/>
      <c r="R168" s="129"/>
      <c r="S168" s="129"/>
      <c r="T168" s="118"/>
    </row>
    <row r="169" spans="1:20" ht="31.5">
      <c r="A169" s="125" t="s">
        <v>345</v>
      </c>
      <c r="B169" s="125" t="s">
        <v>346</v>
      </c>
      <c r="C169" s="119" t="s">
        <v>347</v>
      </c>
      <c r="D169" s="120" t="s">
        <v>348</v>
      </c>
      <c r="E169" s="125"/>
      <c r="F169" s="125"/>
      <c r="G169" s="125"/>
      <c r="H169" s="125"/>
      <c r="I169" s="125"/>
      <c r="J169" s="125"/>
      <c r="K169" s="123"/>
      <c r="L169" s="125"/>
      <c r="M169" s="125"/>
      <c r="N169" s="125"/>
      <c r="O169" s="125"/>
      <c r="P169" s="125"/>
      <c r="Q169" s="125"/>
      <c r="R169" s="125"/>
      <c r="S169" s="125"/>
      <c r="T169" s="116"/>
    </row>
    <row r="170" spans="1:20">
      <c r="A170" s="130" t="s">
        <v>344</v>
      </c>
      <c r="B170" s="124">
        <v>6.7</v>
      </c>
      <c r="C170" s="127">
        <v>1.3149999999999999</v>
      </c>
      <c r="D170" s="130">
        <v>19.396439999999998</v>
      </c>
      <c r="E170" s="125"/>
      <c r="F170" s="125"/>
      <c r="G170" s="125"/>
      <c r="H170" s="125"/>
      <c r="I170" s="125"/>
      <c r="J170" s="125"/>
      <c r="K170" s="123"/>
      <c r="L170" s="125"/>
      <c r="M170" s="125"/>
      <c r="N170" s="125"/>
      <c r="O170" s="125"/>
      <c r="P170" s="125"/>
      <c r="Q170" s="125"/>
      <c r="R170" s="125"/>
      <c r="S170" s="125"/>
      <c r="T170" s="116"/>
    </row>
    <row r="171" spans="1:20">
      <c r="A171" s="130" t="s">
        <v>342</v>
      </c>
      <c r="B171" s="124">
        <v>9.1999999999999993</v>
      </c>
      <c r="C171" s="127">
        <v>0.95</v>
      </c>
      <c r="D171" s="130">
        <v>24.262319999999999</v>
      </c>
      <c r="E171" s="125"/>
      <c r="F171" s="125"/>
      <c r="G171" s="125"/>
      <c r="H171" s="125"/>
      <c r="I171" s="125"/>
      <c r="J171" s="125"/>
      <c r="K171" s="123"/>
      <c r="L171" s="125"/>
      <c r="M171" s="125"/>
      <c r="N171" s="125"/>
      <c r="O171" s="125"/>
      <c r="P171" s="125"/>
      <c r="Q171" s="125"/>
      <c r="R171" s="125"/>
      <c r="S171" s="125"/>
      <c r="T171" s="1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8CD3-AA0E-45E5-9345-8854C7744BC0}">
  <dimension ref="A1:G186"/>
  <sheetViews>
    <sheetView workbookViewId="0">
      <selection activeCell="H35" sqref="H35"/>
    </sheetView>
  </sheetViews>
  <sheetFormatPr defaultColWidth="8.85546875" defaultRowHeight="15"/>
  <cols>
    <col min="1" max="1" width="35.28515625" style="113" customWidth="1"/>
    <col min="2" max="3" width="33.85546875" style="113" customWidth="1"/>
    <col min="4" max="6" width="25.85546875" style="113" customWidth="1"/>
    <col min="7" max="7" width="12.42578125" style="112" customWidth="1"/>
  </cols>
  <sheetData>
    <row r="1" spans="1:7">
      <c r="D1"/>
      <c r="E1"/>
      <c r="F1"/>
    </row>
    <row r="2" spans="1:7">
      <c r="D2" s="845" t="s">
        <v>569</v>
      </c>
      <c r="E2" s="144" t="s">
        <v>677</v>
      </c>
      <c r="F2" s="144" t="s">
        <v>679</v>
      </c>
      <c r="G2" s="112" t="s">
        <v>680</v>
      </c>
    </row>
    <row r="3" spans="1:7">
      <c r="A3" s="113" t="s">
        <v>509</v>
      </c>
      <c r="D3" s="845"/>
      <c r="E3" s="144" t="s">
        <v>678</v>
      </c>
      <c r="F3" s="144" t="s">
        <v>678</v>
      </c>
    </row>
    <row r="4" spans="1:7">
      <c r="D4" s="113" t="s">
        <v>570</v>
      </c>
      <c r="E4" s="113">
        <v>20</v>
      </c>
      <c r="F4" s="113">
        <v>20</v>
      </c>
    </row>
    <row r="5" spans="1:7">
      <c r="D5" s="113" t="s">
        <v>571</v>
      </c>
      <c r="E5" s="113">
        <v>10</v>
      </c>
      <c r="F5" s="113">
        <v>10</v>
      </c>
    </row>
    <row r="6" spans="1:7">
      <c r="A6" s="143"/>
      <c r="D6" s="113" t="s">
        <v>572</v>
      </c>
      <c r="E6" s="113">
        <v>5</v>
      </c>
      <c r="F6" s="113">
        <v>5</v>
      </c>
    </row>
    <row r="7" spans="1:7">
      <c r="D7" s="113" t="s">
        <v>573</v>
      </c>
      <c r="E7" s="113">
        <v>2</v>
      </c>
      <c r="F7" s="113">
        <v>2</v>
      </c>
    </row>
    <row r="8" spans="1:7">
      <c r="D8" s="113" t="s">
        <v>574</v>
      </c>
      <c r="E8" s="113">
        <v>1</v>
      </c>
      <c r="F8" s="113">
        <v>1</v>
      </c>
    </row>
    <row r="9" spans="1:7">
      <c r="D9" s="113" t="s">
        <v>575</v>
      </c>
      <c r="E9" s="113">
        <v>0</v>
      </c>
      <c r="F9" s="113">
        <v>0</v>
      </c>
    </row>
    <row r="10" spans="1:7">
      <c r="D10" s="151" t="s">
        <v>570</v>
      </c>
      <c r="E10" s="151">
        <v>19.725000000000001</v>
      </c>
      <c r="F10" s="151">
        <v>19.945</v>
      </c>
    </row>
    <row r="11" spans="1:7">
      <c r="D11" s="151" t="s">
        <v>571</v>
      </c>
      <c r="E11" s="151">
        <v>9.8780000000000001</v>
      </c>
      <c r="F11" s="151">
        <v>9.8160000000000007</v>
      </c>
    </row>
    <row r="12" spans="1:7">
      <c r="D12" s="151" t="s">
        <v>572</v>
      </c>
      <c r="E12" s="151">
        <v>4.97</v>
      </c>
      <c r="F12" s="151">
        <v>4.9459999999999997</v>
      </c>
    </row>
    <row r="13" spans="1:7">
      <c r="D13" s="151" t="s">
        <v>573</v>
      </c>
      <c r="E13" s="151">
        <v>1.9830000000000001</v>
      </c>
      <c r="F13" s="151">
        <v>2.0379999999999998</v>
      </c>
    </row>
    <row r="14" spans="1:7">
      <c r="D14" s="151" t="s">
        <v>574</v>
      </c>
      <c r="E14" s="151">
        <v>1.071</v>
      </c>
      <c r="F14" s="151">
        <v>1.097</v>
      </c>
    </row>
    <row r="15" spans="1:7">
      <c r="A15" s="144" t="s">
        <v>510</v>
      </c>
      <c r="B15" s="144" t="s">
        <v>563</v>
      </c>
      <c r="C15" s="144" t="s">
        <v>38</v>
      </c>
      <c r="D15" s="151" t="s">
        <v>575</v>
      </c>
      <c r="E15" s="151">
        <v>-6.4000000000000001E-2</v>
      </c>
      <c r="F15" s="151">
        <v>-7.9000000000000001E-2</v>
      </c>
    </row>
    <row r="16" spans="1:7">
      <c r="A16" s="113" t="s">
        <v>511</v>
      </c>
      <c r="B16" s="149">
        <v>43879</v>
      </c>
      <c r="C16" s="113" t="s">
        <v>564</v>
      </c>
      <c r="D16" s="113" t="s">
        <v>576</v>
      </c>
      <c r="E16" s="113">
        <v>1.716</v>
      </c>
      <c r="F16" s="113">
        <v>7.2469999999999999</v>
      </c>
    </row>
    <row r="17" spans="1:7">
      <c r="A17" s="113" t="s">
        <v>512</v>
      </c>
      <c r="B17" s="149">
        <v>43879</v>
      </c>
      <c r="C17" s="113" t="s">
        <v>564</v>
      </c>
      <c r="D17" s="152" t="s">
        <v>577</v>
      </c>
      <c r="E17" s="152">
        <v>59.213000000000001</v>
      </c>
      <c r="F17" s="153">
        <v>0.36799999999999999</v>
      </c>
      <c r="G17" s="113"/>
    </row>
    <row r="18" spans="1:7">
      <c r="A18" s="113" t="s">
        <v>513</v>
      </c>
      <c r="B18" s="149">
        <v>43879</v>
      </c>
      <c r="C18" s="113" t="s">
        <v>564</v>
      </c>
      <c r="D18" s="113" t="s">
        <v>578</v>
      </c>
      <c r="E18" s="113">
        <v>0.90200000000000002</v>
      </c>
      <c r="F18" s="113">
        <v>7.3849999999999998</v>
      </c>
    </row>
    <row r="19" spans="1:7">
      <c r="A19" s="113" t="s">
        <v>514</v>
      </c>
      <c r="B19" s="149">
        <v>43879</v>
      </c>
      <c r="C19" s="113" t="s">
        <v>565</v>
      </c>
      <c r="D19" s="113" t="s">
        <v>579</v>
      </c>
      <c r="E19" s="113">
        <v>0.45500000000000002</v>
      </c>
      <c r="F19" s="113">
        <v>0.67900000000000005</v>
      </c>
      <c r="G19" s="112">
        <v>2.4583333333333299</v>
      </c>
    </row>
    <row r="20" spans="1:7">
      <c r="A20" s="113" t="s">
        <v>514</v>
      </c>
      <c r="B20" s="149">
        <v>43879</v>
      </c>
      <c r="C20" s="113" t="s">
        <v>566</v>
      </c>
      <c r="D20" s="113" t="s">
        <v>580</v>
      </c>
      <c r="E20" s="113">
        <v>0.65200000000000002</v>
      </c>
      <c r="F20" s="113">
        <v>0.57699999999999996</v>
      </c>
      <c r="G20" s="112">
        <v>3.4583333333333299</v>
      </c>
    </row>
    <row r="21" spans="1:7">
      <c r="A21" s="113" t="s">
        <v>515</v>
      </c>
      <c r="B21" s="149">
        <v>43879</v>
      </c>
      <c r="C21" s="113" t="s">
        <v>565</v>
      </c>
      <c r="D21" s="113" t="s">
        <v>581</v>
      </c>
      <c r="E21" s="113">
        <v>1.4830000000000001</v>
      </c>
      <c r="F21" s="113">
        <v>3.9E-2</v>
      </c>
      <c r="G21" s="112">
        <v>2.43783783783784</v>
      </c>
    </row>
    <row r="22" spans="1:7">
      <c r="A22" s="113" t="s">
        <v>515</v>
      </c>
      <c r="B22" s="149">
        <v>43879</v>
      </c>
      <c r="C22" s="113" t="s">
        <v>566</v>
      </c>
      <c r="D22" s="113" t="s">
        <v>582</v>
      </c>
      <c r="E22" s="113">
        <v>0.79900000000000004</v>
      </c>
      <c r="F22" s="113">
        <v>0.18</v>
      </c>
      <c r="G22" s="112">
        <v>2.59190031152648</v>
      </c>
    </row>
    <row r="23" spans="1:7">
      <c r="A23" s="113" t="s">
        <v>516</v>
      </c>
      <c r="B23" s="149">
        <v>43879</v>
      </c>
      <c r="C23" s="113" t="s">
        <v>565</v>
      </c>
      <c r="D23" s="113" t="s">
        <v>583</v>
      </c>
      <c r="E23" s="113">
        <v>1.5940000000000001</v>
      </c>
      <c r="F23" s="113">
        <v>0.14499999999999999</v>
      </c>
      <c r="G23" s="112">
        <v>2.49195402298851</v>
      </c>
    </row>
    <row r="24" spans="1:7">
      <c r="A24" s="113" t="s">
        <v>516</v>
      </c>
      <c r="B24" s="149">
        <v>43879</v>
      </c>
      <c r="C24" s="113" t="s">
        <v>566</v>
      </c>
      <c r="D24" s="113" t="s">
        <v>584</v>
      </c>
      <c r="E24" s="113">
        <v>0.89800000000000002</v>
      </c>
      <c r="F24" s="113">
        <v>0.29099999999999998</v>
      </c>
      <c r="G24" s="112">
        <v>2.6642201834862398</v>
      </c>
    </row>
    <row r="25" spans="1:7">
      <c r="A25" s="113" t="s">
        <v>517</v>
      </c>
      <c r="B25" s="149">
        <v>43879</v>
      </c>
      <c r="C25" s="113" t="s">
        <v>565</v>
      </c>
      <c r="D25" s="152" t="s">
        <v>585</v>
      </c>
      <c r="E25" s="153">
        <v>2.173</v>
      </c>
      <c r="F25" s="152">
        <v>25.007000000000001</v>
      </c>
      <c r="G25" s="112">
        <v>3.5581395348837201</v>
      </c>
    </row>
    <row r="26" spans="1:7">
      <c r="A26" s="113" t="s">
        <v>517</v>
      </c>
      <c r="B26" s="149">
        <v>43879</v>
      </c>
      <c r="C26" s="113" t="s">
        <v>566</v>
      </c>
      <c r="D26" s="113" t="s">
        <v>586</v>
      </c>
      <c r="E26" s="113">
        <v>1.6359999999999999</v>
      </c>
      <c r="F26" s="113">
        <v>6.6</v>
      </c>
      <c r="G26" s="113">
        <v>3.11</v>
      </c>
    </row>
    <row r="27" spans="1:7">
      <c r="A27" s="113" t="s">
        <v>518</v>
      </c>
      <c r="B27" s="149">
        <v>43879</v>
      </c>
      <c r="C27" s="113" t="s">
        <v>565</v>
      </c>
      <c r="D27" s="113" t="s">
        <v>587</v>
      </c>
      <c r="E27" s="113">
        <v>1.546</v>
      </c>
      <c r="F27" s="113">
        <v>19.016999999999999</v>
      </c>
      <c r="G27" s="112">
        <v>2.4517766497461899</v>
      </c>
    </row>
    <row r="28" spans="1:7">
      <c r="A28" s="113" t="s">
        <v>518</v>
      </c>
      <c r="B28" s="149">
        <v>43879</v>
      </c>
      <c r="C28" s="113" t="s">
        <v>566</v>
      </c>
      <c r="D28" s="113" t="s">
        <v>588</v>
      </c>
      <c r="E28" s="113">
        <v>1.151</v>
      </c>
      <c r="F28" s="113">
        <v>2.0539999999999998</v>
      </c>
      <c r="G28" s="112">
        <v>2.6993865030674802</v>
      </c>
    </row>
    <row r="29" spans="1:7">
      <c r="A29" s="113" t="s">
        <v>519</v>
      </c>
      <c r="B29" s="149">
        <v>43879</v>
      </c>
      <c r="C29" s="113" t="s">
        <v>565</v>
      </c>
      <c r="D29" s="113" t="s">
        <v>589</v>
      </c>
      <c r="E29" s="113">
        <v>0.47299999999999998</v>
      </c>
      <c r="F29" s="113">
        <v>0.441</v>
      </c>
      <c r="G29" s="112">
        <v>2.46822742474916</v>
      </c>
    </row>
    <row r="30" spans="1:7">
      <c r="A30" s="113" t="s">
        <v>520</v>
      </c>
      <c r="B30" s="149">
        <v>43879</v>
      </c>
      <c r="C30" s="113" t="s">
        <v>567</v>
      </c>
      <c r="D30" s="113" t="s">
        <v>590</v>
      </c>
      <c r="E30" s="113">
        <v>0.42399999999999999</v>
      </c>
      <c r="F30" s="113">
        <v>0.57499999999999996</v>
      </c>
      <c r="G30" s="112">
        <v>2.4804804804804799</v>
      </c>
    </row>
    <row r="31" spans="1:7">
      <c r="A31" s="113" t="s">
        <v>521</v>
      </c>
      <c r="B31" s="149">
        <v>43879</v>
      </c>
      <c r="C31" s="113" t="s">
        <v>565</v>
      </c>
      <c r="D31" s="113" t="s">
        <v>591</v>
      </c>
      <c r="E31" s="113">
        <v>0.38</v>
      </c>
      <c r="F31" s="113">
        <v>0.48299999999999998</v>
      </c>
      <c r="G31" s="112">
        <v>2.5683060109289602</v>
      </c>
    </row>
    <row r="32" spans="1:7">
      <c r="A32" s="113" t="s">
        <v>522</v>
      </c>
      <c r="B32" s="149">
        <v>43879</v>
      </c>
      <c r="C32" s="113" t="s">
        <v>565</v>
      </c>
      <c r="D32" s="113" t="s">
        <v>592</v>
      </c>
      <c r="E32" s="113">
        <v>0.79600000000000004</v>
      </c>
      <c r="F32" s="113">
        <v>0.28000000000000003</v>
      </c>
      <c r="G32" s="112">
        <v>2.6118421052631602</v>
      </c>
    </row>
    <row r="33" spans="1:7">
      <c r="A33" s="113" t="s">
        <v>523</v>
      </c>
      <c r="B33" s="149">
        <v>43879</v>
      </c>
      <c r="C33" s="113" t="s">
        <v>567</v>
      </c>
      <c r="D33" s="113" t="s">
        <v>593</v>
      </c>
      <c r="E33" s="113">
        <v>0.503</v>
      </c>
      <c r="F33" s="113">
        <v>0.86499999999999999</v>
      </c>
      <c r="G33" s="112">
        <v>2.4914841849148401</v>
      </c>
    </row>
    <row r="34" spans="1:7">
      <c r="A34" s="113" t="s">
        <v>524</v>
      </c>
      <c r="B34" s="149">
        <v>43879</v>
      </c>
      <c r="C34" s="113" t="s">
        <v>565</v>
      </c>
      <c r="D34" s="113" t="s">
        <v>594</v>
      </c>
      <c r="E34" s="113">
        <v>0.17199999999999999</v>
      </c>
      <c r="F34" s="113">
        <v>1.4339999999999999</v>
      </c>
      <c r="G34" s="112">
        <v>2.5448392554991499</v>
      </c>
    </row>
    <row r="35" spans="1:7">
      <c r="A35" s="113" t="s">
        <v>525</v>
      </c>
      <c r="B35" s="149">
        <v>43879</v>
      </c>
      <c r="C35" s="113" t="s">
        <v>565</v>
      </c>
      <c r="D35" s="113" t="s">
        <v>595</v>
      </c>
      <c r="E35" s="113">
        <v>0.495</v>
      </c>
      <c r="F35" s="113">
        <v>1.5569999999999999</v>
      </c>
      <c r="G35" s="112">
        <v>2.5354969574036499</v>
      </c>
    </row>
    <row r="36" spans="1:7">
      <c r="A36" s="113" t="s">
        <v>526</v>
      </c>
      <c r="B36" s="149">
        <v>43879</v>
      </c>
      <c r="C36" s="113" t="s">
        <v>567</v>
      </c>
      <c r="D36" s="113" t="s">
        <v>596</v>
      </c>
      <c r="E36" s="113">
        <v>0.46899999999999997</v>
      </c>
      <c r="F36" s="113">
        <v>1.7989999999999999</v>
      </c>
      <c r="G36" s="112">
        <v>2.5517241379310298</v>
      </c>
    </row>
    <row r="37" spans="1:7">
      <c r="A37" s="113" t="s">
        <v>527</v>
      </c>
      <c r="B37" s="149">
        <v>43879</v>
      </c>
      <c r="C37" s="113" t="s">
        <v>565</v>
      </c>
      <c r="D37" s="113" t="s">
        <v>597</v>
      </c>
      <c r="E37" s="113">
        <v>0.20200000000000001</v>
      </c>
      <c r="F37" s="113">
        <v>1.115</v>
      </c>
      <c r="G37" s="112">
        <v>2.5324675324675301</v>
      </c>
    </row>
    <row r="38" spans="1:7">
      <c r="A38" s="113" t="s">
        <v>528</v>
      </c>
      <c r="B38" s="149">
        <v>43879</v>
      </c>
      <c r="C38" s="113" t="s">
        <v>565</v>
      </c>
      <c r="D38" s="113" t="s">
        <v>598</v>
      </c>
      <c r="E38" s="113">
        <v>0.10199999999999999</v>
      </c>
      <c r="F38" s="113">
        <v>1.3620000000000001</v>
      </c>
      <c r="G38" s="112">
        <v>2.5185185185185199</v>
      </c>
    </row>
    <row r="39" spans="1:7">
      <c r="A39" s="113" t="s">
        <v>529</v>
      </c>
      <c r="B39" s="149">
        <v>43879</v>
      </c>
      <c r="C39" s="113" t="s">
        <v>567</v>
      </c>
      <c r="D39" s="113" t="s">
        <v>599</v>
      </c>
      <c r="E39" s="113">
        <v>0.193</v>
      </c>
      <c r="F39" s="113">
        <v>0.65</v>
      </c>
      <c r="G39" s="112">
        <v>2.6279069767441898</v>
      </c>
    </row>
    <row r="40" spans="1:7">
      <c r="A40" s="113" t="s">
        <v>530</v>
      </c>
      <c r="B40" s="149">
        <v>43879</v>
      </c>
      <c r="C40" s="113" t="s">
        <v>565</v>
      </c>
      <c r="D40" s="113" t="s">
        <v>600</v>
      </c>
      <c r="E40" s="113">
        <v>0.20100000000000001</v>
      </c>
      <c r="F40" s="113">
        <v>1.776</v>
      </c>
      <c r="G40" s="112">
        <v>2.52941176470588</v>
      </c>
    </row>
    <row r="41" spans="1:7">
      <c r="A41" s="145">
        <f>41-16</f>
        <v>25</v>
      </c>
      <c r="D41" s="151" t="s">
        <v>573</v>
      </c>
      <c r="E41" s="151">
        <v>1.9770000000000001</v>
      </c>
      <c r="F41" s="151">
        <v>1.9870000000000001</v>
      </c>
    </row>
    <row r="42" spans="1:7">
      <c r="D42" s="151" t="s">
        <v>574</v>
      </c>
      <c r="E42" s="151">
        <v>1.0609999999999999</v>
      </c>
      <c r="F42" s="151">
        <v>1.0609999999999999</v>
      </c>
    </row>
    <row r="43" spans="1:7">
      <c r="D43" s="151" t="s">
        <v>575</v>
      </c>
      <c r="E43" s="151">
        <v>-6.6000000000000003E-2</v>
      </c>
      <c r="F43" s="151">
        <v>-8.1000000000000003E-2</v>
      </c>
    </row>
    <row r="44" spans="1:7">
      <c r="A44" s="113" t="s">
        <v>531</v>
      </c>
      <c r="B44" s="149">
        <v>43879</v>
      </c>
      <c r="C44" s="113" t="s">
        <v>565</v>
      </c>
      <c r="D44" s="113" t="s">
        <v>601</v>
      </c>
      <c r="E44" s="113">
        <v>0.08</v>
      </c>
      <c r="F44" s="113">
        <v>0.92</v>
      </c>
      <c r="G44" s="112">
        <v>2.55938697318008</v>
      </c>
    </row>
    <row r="45" spans="1:7">
      <c r="A45" s="113" t="s">
        <v>532</v>
      </c>
      <c r="B45" s="149">
        <v>43879</v>
      </c>
      <c r="C45" s="113" t="s">
        <v>567</v>
      </c>
      <c r="D45" s="113" t="s">
        <v>602</v>
      </c>
      <c r="E45" s="113">
        <v>0.127</v>
      </c>
      <c r="F45" s="113">
        <v>1.825</v>
      </c>
      <c r="G45" s="112">
        <v>2.5257452574525701</v>
      </c>
    </row>
    <row r="46" spans="1:7">
      <c r="A46" s="113" t="s">
        <v>533</v>
      </c>
      <c r="B46" s="149">
        <v>43879</v>
      </c>
      <c r="C46" s="113" t="s">
        <v>565</v>
      </c>
      <c r="D46" s="113" t="s">
        <v>603</v>
      </c>
      <c r="E46" s="113">
        <v>8.3000000000000004E-2</v>
      </c>
      <c r="F46" s="113">
        <v>1.4159999999999999</v>
      </c>
      <c r="G46" s="112">
        <v>2.6646706586826299</v>
      </c>
    </row>
    <row r="47" spans="1:7">
      <c r="A47" s="113" t="s">
        <v>534</v>
      </c>
      <c r="B47" s="149">
        <v>43879</v>
      </c>
      <c r="C47" s="113" t="s">
        <v>565</v>
      </c>
      <c r="D47" s="113" t="s">
        <v>604</v>
      </c>
      <c r="E47" s="113">
        <v>0.09</v>
      </c>
      <c r="F47" s="113">
        <v>1.7210000000000001</v>
      </c>
      <c r="G47" s="112">
        <v>2.5761904761904799</v>
      </c>
    </row>
    <row r="48" spans="1:7">
      <c r="A48" s="113" t="s">
        <v>535</v>
      </c>
      <c r="B48" s="149">
        <v>43879</v>
      </c>
      <c r="C48" s="113" t="s">
        <v>567</v>
      </c>
      <c r="D48" s="113" t="s">
        <v>605</v>
      </c>
      <c r="E48" s="113">
        <v>0.40899999999999997</v>
      </c>
      <c r="F48" s="113">
        <v>1.429</v>
      </c>
      <c r="G48" s="112">
        <v>2.5061224489795899</v>
      </c>
    </row>
    <row r="49" spans="1:7">
      <c r="A49" s="113" t="s">
        <v>536</v>
      </c>
      <c r="B49" s="149">
        <v>43879</v>
      </c>
      <c r="C49" s="113" t="s">
        <v>565</v>
      </c>
      <c r="D49" s="113" t="s">
        <v>606</v>
      </c>
      <c r="E49" s="113">
        <v>0.10299999999999999</v>
      </c>
      <c r="F49" s="113">
        <v>2.3170000000000002</v>
      </c>
      <c r="G49" s="112">
        <v>2.5798319327731098</v>
      </c>
    </row>
    <row r="50" spans="1:7">
      <c r="A50" s="113" t="s">
        <v>537</v>
      </c>
      <c r="B50" s="149">
        <v>43879</v>
      </c>
      <c r="C50" s="113" t="s">
        <v>565</v>
      </c>
      <c r="D50" s="113" t="s">
        <v>607</v>
      </c>
      <c r="E50" s="113">
        <v>0.27900000000000003</v>
      </c>
      <c r="F50" s="113">
        <v>1.9950000000000001</v>
      </c>
      <c r="G50" s="112">
        <v>2.56582633053221</v>
      </c>
    </row>
    <row r="51" spans="1:7">
      <c r="A51" s="113" t="s">
        <v>519</v>
      </c>
      <c r="B51" s="149">
        <v>43879</v>
      </c>
      <c r="C51" s="113" t="s">
        <v>566</v>
      </c>
      <c r="D51" s="113" t="s">
        <v>608</v>
      </c>
      <c r="E51" s="113">
        <v>0.68899999999999995</v>
      </c>
      <c r="F51" s="113">
        <v>0.434</v>
      </c>
      <c r="G51" s="112">
        <v>2.5245901639344299</v>
      </c>
    </row>
    <row r="52" spans="1:7">
      <c r="A52" s="113" t="s">
        <v>520</v>
      </c>
      <c r="B52" s="149">
        <v>43879</v>
      </c>
      <c r="C52" s="113" t="s">
        <v>566</v>
      </c>
      <c r="D52" s="113" t="s">
        <v>609</v>
      </c>
      <c r="E52" s="113">
        <v>0.44</v>
      </c>
      <c r="F52" s="113">
        <v>0.51</v>
      </c>
      <c r="G52" s="112">
        <v>2.4879725085910702</v>
      </c>
    </row>
    <row r="53" spans="1:7">
      <c r="A53" s="113" t="s">
        <v>521</v>
      </c>
      <c r="B53" s="149">
        <v>43879</v>
      </c>
      <c r="C53" s="113" t="s">
        <v>566</v>
      </c>
      <c r="D53" s="113" t="s">
        <v>610</v>
      </c>
      <c r="E53" s="113">
        <v>0.34899999999999998</v>
      </c>
      <c r="F53" s="113">
        <v>0.36599999999999999</v>
      </c>
      <c r="G53" s="112">
        <v>2.64640883977901</v>
      </c>
    </row>
    <row r="54" spans="1:7">
      <c r="A54" s="113" t="s">
        <v>522</v>
      </c>
      <c r="B54" s="149">
        <v>43879</v>
      </c>
      <c r="C54" s="113" t="s">
        <v>566</v>
      </c>
      <c r="D54" s="113" t="s">
        <v>611</v>
      </c>
      <c r="E54" s="113">
        <v>0.46600000000000003</v>
      </c>
      <c r="F54" s="113">
        <v>0.223</v>
      </c>
      <c r="G54" s="112">
        <v>2.5785123966942098</v>
      </c>
    </row>
    <row r="55" spans="1:7">
      <c r="A55" s="113" t="s">
        <v>523</v>
      </c>
      <c r="B55" s="149">
        <v>43879</v>
      </c>
      <c r="C55" s="113" t="s">
        <v>566</v>
      </c>
      <c r="D55" s="113" t="s">
        <v>612</v>
      </c>
      <c r="E55" s="113">
        <v>0.40600000000000003</v>
      </c>
      <c r="F55" s="113">
        <v>0.317</v>
      </c>
      <c r="G55" s="112">
        <v>2.5723076923076902</v>
      </c>
    </row>
    <row r="56" spans="1:7">
      <c r="A56" s="113" t="s">
        <v>524</v>
      </c>
      <c r="B56" s="149">
        <v>43879</v>
      </c>
      <c r="C56" s="113" t="s">
        <v>566</v>
      </c>
      <c r="D56" s="113" t="s">
        <v>613</v>
      </c>
      <c r="E56" s="113">
        <v>0.45300000000000001</v>
      </c>
      <c r="F56" s="113">
        <v>0.624</v>
      </c>
      <c r="G56" s="112">
        <v>2.53429602888087</v>
      </c>
    </row>
    <row r="57" spans="1:7">
      <c r="A57" s="113" t="s">
        <v>525</v>
      </c>
      <c r="B57" s="149">
        <v>43879</v>
      </c>
      <c r="C57" s="113" t="s">
        <v>566</v>
      </c>
      <c r="D57" s="113" t="s">
        <v>614</v>
      </c>
      <c r="E57" s="113">
        <v>5.0629999999999997</v>
      </c>
      <c r="F57" s="113">
        <v>0.373</v>
      </c>
      <c r="G57" s="112">
        <v>2.5522041763341101</v>
      </c>
    </row>
    <row r="58" spans="1:7">
      <c r="A58" s="113" t="s">
        <v>526</v>
      </c>
      <c r="B58" s="149">
        <v>43879</v>
      </c>
      <c r="C58" s="113" t="s">
        <v>566</v>
      </c>
      <c r="D58" s="113" t="s">
        <v>615</v>
      </c>
      <c r="E58" s="113">
        <v>0.222</v>
      </c>
      <c r="F58" s="113">
        <v>0.54400000000000004</v>
      </c>
      <c r="G58" s="112">
        <v>2.7366946778711498</v>
      </c>
    </row>
    <row r="59" spans="1:7">
      <c r="A59" s="113" t="s">
        <v>527</v>
      </c>
      <c r="B59" s="149">
        <v>43879</v>
      </c>
      <c r="C59" s="113" t="s">
        <v>566</v>
      </c>
      <c r="D59" s="113" t="s">
        <v>616</v>
      </c>
      <c r="E59" s="113">
        <v>0.14499999999999999</v>
      </c>
      <c r="F59" s="113">
        <v>0.63800000000000001</v>
      </c>
      <c r="G59" s="112">
        <v>2.71559633027523</v>
      </c>
    </row>
    <row r="60" spans="1:7">
      <c r="A60" s="113" t="s">
        <v>528</v>
      </c>
      <c r="B60" s="149">
        <v>43879</v>
      </c>
      <c r="C60" s="113" t="s">
        <v>566</v>
      </c>
      <c r="D60" s="113" t="s">
        <v>617</v>
      </c>
      <c r="E60" s="113">
        <v>0.42499999999999999</v>
      </c>
      <c r="F60" s="113">
        <v>0.61599999999999999</v>
      </c>
      <c r="G60" s="112">
        <v>2.5739910313901402</v>
      </c>
    </row>
    <row r="61" spans="1:7">
      <c r="A61" s="113" t="s">
        <v>529</v>
      </c>
      <c r="B61" s="149">
        <v>43879</v>
      </c>
      <c r="C61" s="113" t="s">
        <v>566</v>
      </c>
      <c r="D61" s="113" t="s">
        <v>618</v>
      </c>
      <c r="E61" s="113">
        <v>0.31</v>
      </c>
      <c r="F61" s="113">
        <v>0.63400000000000001</v>
      </c>
      <c r="G61" s="112">
        <v>2.6127659574468098</v>
      </c>
    </row>
    <row r="62" spans="1:7">
      <c r="A62" s="113" t="s">
        <v>530</v>
      </c>
      <c r="B62" s="149">
        <v>43879</v>
      </c>
      <c r="C62" s="113" t="s">
        <v>566</v>
      </c>
      <c r="D62" s="113" t="s">
        <v>619</v>
      </c>
      <c r="E62" s="113">
        <v>0.25900000000000001</v>
      </c>
      <c r="F62" s="113">
        <v>1.1839999999999999</v>
      </c>
      <c r="G62" s="112">
        <v>2.62370062370062</v>
      </c>
    </row>
    <row r="63" spans="1:7">
      <c r="A63" s="113" t="s">
        <v>531</v>
      </c>
      <c r="B63" s="149">
        <v>43879</v>
      </c>
      <c r="C63" s="113" t="s">
        <v>566</v>
      </c>
      <c r="D63" s="113" t="s">
        <v>620</v>
      </c>
      <c r="E63" s="113">
        <v>0.214</v>
      </c>
      <c r="F63" s="113">
        <v>0.74299999999999999</v>
      </c>
      <c r="G63" s="112">
        <v>2.6988505747126399</v>
      </c>
    </row>
    <row r="64" spans="1:7">
      <c r="A64" s="113" t="s">
        <v>532</v>
      </c>
      <c r="B64" s="149">
        <v>43879</v>
      </c>
      <c r="C64" s="113" t="s">
        <v>566</v>
      </c>
      <c r="D64" s="113" t="s">
        <v>621</v>
      </c>
      <c r="E64" s="113">
        <v>0.16400000000000001</v>
      </c>
      <c r="F64" s="113">
        <v>1.8779999999999999</v>
      </c>
      <c r="G64" s="112">
        <v>2.8439024390243901</v>
      </c>
    </row>
    <row r="65" spans="1:7">
      <c r="A65" s="113" t="s">
        <v>533</v>
      </c>
      <c r="B65" s="149">
        <v>43879</v>
      </c>
      <c r="C65" s="113" t="s">
        <v>566</v>
      </c>
      <c r="D65" s="113" t="s">
        <v>622</v>
      </c>
      <c r="E65" s="113">
        <v>0.11899999999999999</v>
      </c>
      <c r="F65" s="113">
        <v>1.3939999999999999</v>
      </c>
      <c r="G65" s="112">
        <v>2.7350993377483399</v>
      </c>
    </row>
    <row r="66" spans="1:7">
      <c r="A66" s="113" t="s">
        <v>534</v>
      </c>
      <c r="B66" s="149">
        <v>43879</v>
      </c>
      <c r="C66" s="113" t="s">
        <v>566</v>
      </c>
      <c r="D66" s="113" t="s">
        <v>623</v>
      </c>
      <c r="E66" s="113">
        <v>0.19</v>
      </c>
      <c r="F66" s="113">
        <v>0.622</v>
      </c>
      <c r="G66" s="112">
        <v>2.64739884393064</v>
      </c>
    </row>
    <row r="67" spans="1:7">
      <c r="A67" s="113" t="s">
        <v>535</v>
      </c>
      <c r="B67" s="149">
        <v>43879</v>
      </c>
      <c r="C67" s="113" t="s">
        <v>566</v>
      </c>
      <c r="D67" s="113" t="s">
        <v>624</v>
      </c>
      <c r="E67" s="113">
        <v>0.60099999999999998</v>
      </c>
      <c r="F67" s="113">
        <v>1.28</v>
      </c>
      <c r="G67" s="112">
        <v>2.7584541062801899</v>
      </c>
    </row>
    <row r="68" spans="1:7">
      <c r="A68" s="113" t="s">
        <v>536</v>
      </c>
      <c r="B68" s="149">
        <v>43879</v>
      </c>
      <c r="C68" s="113" t="s">
        <v>566</v>
      </c>
      <c r="D68" s="113" t="s">
        <v>625</v>
      </c>
      <c r="E68" s="113">
        <v>0.68300000000000005</v>
      </c>
      <c r="F68" s="113">
        <v>2.2839999999999998</v>
      </c>
      <c r="G68" s="112">
        <v>2.6346153846153801</v>
      </c>
    </row>
    <row r="69" spans="1:7">
      <c r="A69" s="145">
        <f>25+69-44</f>
        <v>50</v>
      </c>
      <c r="D69" s="151" t="s">
        <v>573</v>
      </c>
      <c r="E69" s="151">
        <v>1.994</v>
      </c>
      <c r="F69" s="151">
        <v>1.966</v>
      </c>
    </row>
    <row r="70" spans="1:7">
      <c r="D70" s="151" t="s">
        <v>574</v>
      </c>
      <c r="E70" s="151">
        <v>1.026</v>
      </c>
      <c r="F70" s="151">
        <v>1.07</v>
      </c>
    </row>
    <row r="71" spans="1:7">
      <c r="D71" s="151" t="s">
        <v>575</v>
      </c>
      <c r="E71" s="151">
        <v>-6.0999999999999999E-2</v>
      </c>
      <c r="F71" s="151">
        <v>-7.8E-2</v>
      </c>
    </row>
    <row r="72" spans="1:7">
      <c r="A72" s="113" t="s">
        <v>537</v>
      </c>
      <c r="B72" s="149">
        <v>43879</v>
      </c>
      <c r="C72" s="113" t="s">
        <v>566</v>
      </c>
      <c r="D72" s="113" t="s">
        <v>626</v>
      </c>
      <c r="E72" s="113">
        <v>0.33500000000000002</v>
      </c>
      <c r="F72" s="113">
        <v>1.76</v>
      </c>
      <c r="G72" s="112">
        <v>2.7285464098073602</v>
      </c>
    </row>
    <row r="73" spans="1:7">
      <c r="A73" s="113" t="s">
        <v>519</v>
      </c>
      <c r="B73" s="149">
        <v>43879</v>
      </c>
      <c r="C73" s="113" t="s">
        <v>568</v>
      </c>
      <c r="D73" s="113" t="s">
        <v>627</v>
      </c>
      <c r="E73" s="113">
        <v>0.35099999999999998</v>
      </c>
      <c r="F73" s="113">
        <v>0.51300000000000001</v>
      </c>
    </row>
    <row r="74" spans="1:7">
      <c r="A74" s="113" t="s">
        <v>520</v>
      </c>
      <c r="B74" s="149">
        <v>43879</v>
      </c>
      <c r="C74" s="113" t="s">
        <v>568</v>
      </c>
      <c r="D74" s="113" t="s">
        <v>628</v>
      </c>
      <c r="E74" s="113">
        <v>0.55400000000000005</v>
      </c>
      <c r="F74" s="113">
        <v>0.71299999999999997</v>
      </c>
    </row>
    <row r="75" spans="1:7">
      <c r="A75" s="113" t="s">
        <v>521</v>
      </c>
      <c r="B75" s="149">
        <v>43879</v>
      </c>
      <c r="C75" s="113" t="s">
        <v>568</v>
      </c>
      <c r="D75" s="113" t="s">
        <v>629</v>
      </c>
      <c r="E75" s="113">
        <v>0.46300000000000002</v>
      </c>
      <c r="F75" s="113">
        <v>0.45200000000000001</v>
      </c>
    </row>
    <row r="76" spans="1:7">
      <c r="A76" s="113" t="s">
        <v>522</v>
      </c>
      <c r="B76" s="149">
        <v>43879</v>
      </c>
      <c r="C76" s="113" t="s">
        <v>568</v>
      </c>
      <c r="D76" s="113" t="s">
        <v>630</v>
      </c>
      <c r="E76" s="113">
        <v>0.187</v>
      </c>
      <c r="F76" s="113">
        <v>0.68799999999999994</v>
      </c>
    </row>
    <row r="77" spans="1:7">
      <c r="A77" s="113" t="s">
        <v>523</v>
      </c>
      <c r="B77" s="149">
        <v>43879</v>
      </c>
      <c r="C77" s="113" t="s">
        <v>568</v>
      </c>
      <c r="D77" s="113" t="s">
        <v>631</v>
      </c>
      <c r="E77" s="113">
        <v>0.36599999999999999</v>
      </c>
      <c r="F77" s="113">
        <v>0.60099999999999998</v>
      </c>
    </row>
    <row r="78" spans="1:7">
      <c r="A78" s="113" t="s">
        <v>524</v>
      </c>
      <c r="B78" s="149">
        <v>43879</v>
      </c>
      <c r="C78" s="113" t="s">
        <v>568</v>
      </c>
      <c r="D78" s="113" t="s">
        <v>632</v>
      </c>
      <c r="E78" s="113">
        <v>0.104</v>
      </c>
      <c r="F78" s="113">
        <v>0.754</v>
      </c>
    </row>
    <row r="79" spans="1:7">
      <c r="A79" s="113" t="s">
        <v>525</v>
      </c>
      <c r="B79" s="149">
        <v>43879</v>
      </c>
      <c r="C79" s="113" t="s">
        <v>568</v>
      </c>
      <c r="D79" s="113" t="s">
        <v>633</v>
      </c>
      <c r="E79" s="113">
        <v>0.59699999999999998</v>
      </c>
      <c r="F79" s="113">
        <v>0.33</v>
      </c>
    </row>
    <row r="80" spans="1:7">
      <c r="A80" s="113" t="s">
        <v>526</v>
      </c>
      <c r="B80" s="149">
        <v>43879</v>
      </c>
      <c r="C80" s="113" t="s">
        <v>568</v>
      </c>
      <c r="D80" s="113" t="s">
        <v>634</v>
      </c>
      <c r="E80" s="113">
        <v>0.24099999999999999</v>
      </c>
      <c r="F80" s="113">
        <v>0.53700000000000003</v>
      </c>
    </row>
    <row r="81" spans="1:6">
      <c r="A81" s="113" t="s">
        <v>527</v>
      </c>
      <c r="B81" s="149">
        <v>43879</v>
      </c>
      <c r="C81" s="113" t="s">
        <v>568</v>
      </c>
      <c r="D81" s="113" t="s">
        <v>635</v>
      </c>
      <c r="E81" s="113">
        <v>0.13500000000000001</v>
      </c>
      <c r="F81" s="113">
        <v>0.64600000000000002</v>
      </c>
    </row>
    <row r="82" spans="1:6">
      <c r="A82" s="113" t="s">
        <v>528</v>
      </c>
      <c r="B82" s="149">
        <v>43879</v>
      </c>
      <c r="C82" s="113" t="s">
        <v>568</v>
      </c>
      <c r="D82" s="113" t="s">
        <v>636</v>
      </c>
      <c r="E82" s="113">
        <v>0.40500000000000003</v>
      </c>
      <c r="F82" s="113">
        <v>0.40400000000000003</v>
      </c>
    </row>
    <row r="83" spans="1:6">
      <c r="A83" s="113" t="s">
        <v>529</v>
      </c>
      <c r="B83" s="149">
        <v>43879</v>
      </c>
      <c r="C83" s="113" t="s">
        <v>568</v>
      </c>
      <c r="D83" s="113" t="s">
        <v>637</v>
      </c>
      <c r="E83" s="113">
        <v>0.12</v>
      </c>
      <c r="F83" s="113">
        <v>1.3029999999999999</v>
      </c>
    </row>
    <row r="84" spans="1:6">
      <c r="A84" s="113" t="s">
        <v>530</v>
      </c>
      <c r="B84" s="149">
        <v>43879</v>
      </c>
      <c r="C84" s="113" t="s">
        <v>568</v>
      </c>
      <c r="D84" s="113" t="s">
        <v>638</v>
      </c>
      <c r="E84" s="113">
        <v>0.30499999999999999</v>
      </c>
      <c r="F84" s="113">
        <v>0.45800000000000002</v>
      </c>
    </row>
    <row r="85" spans="1:6">
      <c r="A85" s="113" t="s">
        <v>531</v>
      </c>
      <c r="B85" s="149">
        <v>43879</v>
      </c>
      <c r="C85" s="113" t="s">
        <v>568</v>
      </c>
      <c r="D85" s="113" t="s">
        <v>639</v>
      </c>
      <c r="E85" s="113">
        <v>9.1999999999999998E-2</v>
      </c>
      <c r="F85" s="113">
        <v>0.86499999999999999</v>
      </c>
    </row>
    <row r="86" spans="1:6">
      <c r="A86" s="113" t="s">
        <v>532</v>
      </c>
      <c r="B86" s="149">
        <v>43879</v>
      </c>
      <c r="C86" s="113" t="s">
        <v>568</v>
      </c>
      <c r="D86" s="113" t="s">
        <v>640</v>
      </c>
      <c r="E86" s="113">
        <v>0.39600000000000002</v>
      </c>
      <c r="F86" s="113">
        <v>1.123</v>
      </c>
    </row>
    <row r="87" spans="1:6">
      <c r="A87" s="113" t="s">
        <v>533</v>
      </c>
      <c r="B87" s="149">
        <v>43879</v>
      </c>
      <c r="C87" s="113" t="s">
        <v>568</v>
      </c>
      <c r="D87" s="113" t="s">
        <v>641</v>
      </c>
      <c r="E87" s="113">
        <v>0.57399999999999995</v>
      </c>
      <c r="F87" s="113">
        <v>1.0109999999999999</v>
      </c>
    </row>
    <row r="88" spans="1:6">
      <c r="A88" s="113" t="s">
        <v>534</v>
      </c>
      <c r="B88" s="149">
        <v>43879</v>
      </c>
      <c r="C88" s="113" t="s">
        <v>568</v>
      </c>
      <c r="D88" s="113" t="s">
        <v>642</v>
      </c>
      <c r="E88" s="113">
        <v>0.183</v>
      </c>
      <c r="F88" s="113">
        <v>1.0429999999999999</v>
      </c>
    </row>
    <row r="89" spans="1:6">
      <c r="A89" s="113" t="s">
        <v>535</v>
      </c>
      <c r="B89" s="149">
        <v>43879</v>
      </c>
      <c r="C89" s="113" t="s">
        <v>568</v>
      </c>
      <c r="D89" s="113" t="s">
        <v>643</v>
      </c>
      <c r="E89" s="113">
        <v>2.1709999999999998</v>
      </c>
      <c r="F89" s="113">
        <v>0.74</v>
      </c>
    </row>
    <row r="90" spans="1:6">
      <c r="A90" s="113" t="s">
        <v>536</v>
      </c>
      <c r="B90" s="149">
        <v>43879</v>
      </c>
      <c r="C90" s="113" t="s">
        <v>568</v>
      </c>
      <c r="D90" s="113" t="s">
        <v>644</v>
      </c>
      <c r="E90" s="113">
        <v>0.57699999999999996</v>
      </c>
      <c r="F90" s="113">
        <v>0.82</v>
      </c>
    </row>
    <row r="91" spans="1:6">
      <c r="A91" s="113" t="s">
        <v>537</v>
      </c>
      <c r="B91" s="149">
        <v>43879</v>
      </c>
      <c r="C91" s="113" t="s">
        <v>568</v>
      </c>
      <c r="D91" s="113" t="s">
        <v>645</v>
      </c>
      <c r="E91" s="113">
        <v>0.31</v>
      </c>
      <c r="F91" s="113">
        <v>1.778</v>
      </c>
    </row>
    <row r="92" spans="1:6">
      <c r="A92" s="113" t="s">
        <v>514</v>
      </c>
      <c r="B92" s="149">
        <v>43879</v>
      </c>
      <c r="C92" s="113" t="s">
        <v>568</v>
      </c>
      <c r="D92" s="113" t="s">
        <v>646</v>
      </c>
      <c r="E92" s="113">
        <v>0.54800000000000004</v>
      </c>
      <c r="F92" s="113">
        <v>0.47399999999999998</v>
      </c>
    </row>
    <row r="93" spans="1:6">
      <c r="A93" s="113" t="s">
        <v>515</v>
      </c>
      <c r="B93" s="149">
        <v>43879</v>
      </c>
      <c r="C93" s="113" t="s">
        <v>568</v>
      </c>
      <c r="D93" s="113" t="s">
        <v>647</v>
      </c>
      <c r="E93" s="113">
        <v>0.65200000000000002</v>
      </c>
      <c r="F93" s="113">
        <v>0.16800000000000001</v>
      </c>
    </row>
    <row r="94" spans="1:6">
      <c r="A94" s="113" t="s">
        <v>516</v>
      </c>
      <c r="B94" s="149">
        <v>43879</v>
      </c>
      <c r="C94" s="113" t="s">
        <v>568</v>
      </c>
      <c r="D94" s="113" t="s">
        <v>648</v>
      </c>
      <c r="E94" s="113">
        <v>0.78700000000000003</v>
      </c>
      <c r="F94" s="113">
        <v>0.217</v>
      </c>
    </row>
    <row r="95" spans="1:6">
      <c r="A95" s="113" t="s">
        <v>517</v>
      </c>
      <c r="B95" s="149">
        <v>43879</v>
      </c>
      <c r="C95" s="113" t="s">
        <v>568</v>
      </c>
      <c r="D95" s="113" t="s">
        <v>649</v>
      </c>
      <c r="E95" s="113">
        <v>0.42399999999999999</v>
      </c>
      <c r="F95" s="113">
        <v>0.85099999999999998</v>
      </c>
    </row>
    <row r="96" spans="1:6">
      <c r="A96" s="113" t="s">
        <v>518</v>
      </c>
      <c r="B96" s="149">
        <v>43879</v>
      </c>
      <c r="C96" s="113" t="s">
        <v>568</v>
      </c>
      <c r="D96" s="113" t="s">
        <v>650</v>
      </c>
      <c r="E96" s="113">
        <v>1.1990000000000001</v>
      </c>
      <c r="F96" s="113">
        <v>0.83799999999999997</v>
      </c>
    </row>
    <row r="97" spans="1:6">
      <c r="A97" s="146">
        <f>50+97-72</f>
        <v>75</v>
      </c>
      <c r="D97" s="151" t="s">
        <v>573</v>
      </c>
      <c r="E97" s="151">
        <v>1.974</v>
      </c>
      <c r="F97" s="151">
        <v>2.0129999999999999</v>
      </c>
    </row>
    <row r="98" spans="1:6">
      <c r="D98" s="151" t="s">
        <v>574</v>
      </c>
      <c r="E98" s="151">
        <v>1.077</v>
      </c>
      <c r="F98" s="151">
        <v>1.028</v>
      </c>
    </row>
    <row r="99" spans="1:6">
      <c r="D99" s="151" t="s">
        <v>575</v>
      </c>
      <c r="E99" s="151">
        <v>-7.3999999999999996E-2</v>
      </c>
      <c r="F99" s="151">
        <v>-9.6000000000000002E-2</v>
      </c>
    </row>
    <row r="100" spans="1:6">
      <c r="A100" s="113" t="s">
        <v>538</v>
      </c>
      <c r="B100" s="149">
        <v>43879</v>
      </c>
      <c r="C100" s="113" t="s">
        <v>568</v>
      </c>
      <c r="D100" s="113" t="s">
        <v>651</v>
      </c>
      <c r="E100" s="113">
        <v>0.47199999999999998</v>
      </c>
      <c r="F100" s="113">
        <v>1.181</v>
      </c>
    </row>
    <row r="101" spans="1:6">
      <c r="A101" s="113" t="s">
        <v>539</v>
      </c>
      <c r="B101" s="149">
        <v>43879</v>
      </c>
      <c r="C101" s="113" t="s">
        <v>568</v>
      </c>
      <c r="D101" s="113" t="s">
        <v>652</v>
      </c>
      <c r="E101" s="113">
        <v>0.76</v>
      </c>
      <c r="F101" s="113">
        <v>1.139</v>
      </c>
    </row>
    <row r="102" spans="1:6">
      <c r="A102" s="113" t="s">
        <v>540</v>
      </c>
      <c r="B102" s="149">
        <v>43879</v>
      </c>
      <c r="C102" s="113" t="s">
        <v>568</v>
      </c>
      <c r="D102" s="113" t="s">
        <v>653</v>
      </c>
      <c r="E102" s="113">
        <v>0.98099999999999998</v>
      </c>
      <c r="F102" s="113">
        <v>1.6479999999999999</v>
      </c>
    </row>
    <row r="103" spans="1:6">
      <c r="A103" s="113" t="s">
        <v>541</v>
      </c>
      <c r="B103" s="149">
        <v>43879</v>
      </c>
      <c r="C103" s="113" t="s">
        <v>568</v>
      </c>
      <c r="D103" s="113" t="s">
        <v>654</v>
      </c>
      <c r="E103" s="113">
        <v>0.44600000000000001</v>
      </c>
      <c r="F103" s="113">
        <v>1.5429999999999999</v>
      </c>
    </row>
    <row r="104" spans="1:6">
      <c r="A104" s="113" t="s">
        <v>542</v>
      </c>
      <c r="B104" s="149">
        <v>43879</v>
      </c>
      <c r="C104" s="113" t="s">
        <v>568</v>
      </c>
      <c r="D104" s="113" t="s">
        <v>655</v>
      </c>
      <c r="E104" s="113">
        <v>1.3520000000000001</v>
      </c>
      <c r="F104" s="113">
        <v>1.7689999999999999</v>
      </c>
    </row>
    <row r="105" spans="1:6">
      <c r="A105" s="113" t="s">
        <v>543</v>
      </c>
      <c r="B105" s="149">
        <v>43879</v>
      </c>
      <c r="C105" s="113" t="s">
        <v>568</v>
      </c>
      <c r="D105" s="113" t="s">
        <v>656</v>
      </c>
      <c r="E105" s="113">
        <v>0.69599999999999995</v>
      </c>
      <c r="F105" s="113">
        <v>1.2769999999999999</v>
      </c>
    </row>
    <row r="106" spans="1:6">
      <c r="A106" s="113" t="s">
        <v>544</v>
      </c>
      <c r="B106" s="149">
        <v>43879</v>
      </c>
      <c r="C106" s="113" t="s">
        <v>568</v>
      </c>
      <c r="D106" s="113" t="s">
        <v>657</v>
      </c>
      <c r="E106" s="113">
        <v>0.316</v>
      </c>
      <c r="F106" s="113">
        <v>2.052</v>
      </c>
    </row>
    <row r="107" spans="1:6">
      <c r="A107" s="113" t="s">
        <v>545</v>
      </c>
      <c r="B107" s="149">
        <v>43879</v>
      </c>
      <c r="C107" s="113" t="s">
        <v>568</v>
      </c>
      <c r="D107" s="113" t="s">
        <v>658</v>
      </c>
      <c r="E107" s="113">
        <v>1.0649999999999999</v>
      </c>
      <c r="F107" s="113">
        <v>1.4219999999999999</v>
      </c>
    </row>
    <row r="108" spans="1:6">
      <c r="A108" s="113" t="s">
        <v>546</v>
      </c>
      <c r="B108" s="149">
        <v>43879</v>
      </c>
      <c r="C108" s="113" t="s">
        <v>568</v>
      </c>
      <c r="D108" s="113" t="s">
        <v>659</v>
      </c>
      <c r="E108" s="113">
        <v>0.52200000000000002</v>
      </c>
      <c r="F108" s="113">
        <v>1.54</v>
      </c>
    </row>
    <row r="109" spans="1:6">
      <c r="A109" s="113" t="s">
        <v>547</v>
      </c>
      <c r="B109" s="149">
        <v>43879</v>
      </c>
      <c r="C109" s="113" t="s">
        <v>568</v>
      </c>
      <c r="D109" s="113" t="s">
        <v>660</v>
      </c>
      <c r="E109" s="113">
        <v>0.38600000000000001</v>
      </c>
      <c r="F109" s="113">
        <v>1.325</v>
      </c>
    </row>
    <row r="110" spans="1:6">
      <c r="A110" s="113" t="s">
        <v>548</v>
      </c>
      <c r="B110" s="149">
        <v>43879</v>
      </c>
      <c r="C110" s="113" t="s">
        <v>568</v>
      </c>
      <c r="D110" s="113" t="s">
        <v>661</v>
      </c>
      <c r="E110" s="113">
        <v>0.09</v>
      </c>
      <c r="F110" s="113">
        <v>1.794</v>
      </c>
    </row>
    <row r="111" spans="1:6">
      <c r="A111" s="113" t="s">
        <v>549</v>
      </c>
      <c r="B111" s="149">
        <v>43879</v>
      </c>
      <c r="C111" s="113" t="s">
        <v>568</v>
      </c>
      <c r="D111" s="113" t="s">
        <v>662</v>
      </c>
      <c r="E111" s="113">
        <v>0.59599999999999997</v>
      </c>
      <c r="F111" s="113">
        <v>1.091</v>
      </c>
    </row>
    <row r="112" spans="1:6">
      <c r="A112" s="113" t="s">
        <v>550</v>
      </c>
      <c r="B112" s="149">
        <v>43879</v>
      </c>
      <c r="C112" s="113" t="s">
        <v>568</v>
      </c>
      <c r="D112" s="113" t="s">
        <v>663</v>
      </c>
      <c r="E112" s="113">
        <v>0.24099999999999999</v>
      </c>
      <c r="F112" s="113">
        <v>0.318</v>
      </c>
    </row>
    <row r="113" spans="1:6">
      <c r="A113" s="113" t="s">
        <v>551</v>
      </c>
      <c r="B113" s="149">
        <v>43879</v>
      </c>
      <c r="C113" s="113" t="s">
        <v>568</v>
      </c>
      <c r="D113" s="113" t="s">
        <v>664</v>
      </c>
      <c r="E113" s="113">
        <v>0.56200000000000006</v>
      </c>
      <c r="F113" s="113">
        <v>0.34899999999999998</v>
      </c>
    </row>
    <row r="114" spans="1:6">
      <c r="A114" s="113" t="s">
        <v>552</v>
      </c>
      <c r="B114" s="149">
        <v>43879</v>
      </c>
      <c r="C114" s="113" t="s">
        <v>568</v>
      </c>
      <c r="D114" s="113" t="s">
        <v>665</v>
      </c>
      <c r="E114" s="113">
        <v>0.44400000000000001</v>
      </c>
      <c r="F114" s="113">
        <v>0.14599999999999999</v>
      </c>
    </row>
    <row r="115" spans="1:6">
      <c r="A115" s="113" t="s">
        <v>553</v>
      </c>
      <c r="B115" s="149">
        <v>43879</v>
      </c>
      <c r="C115" s="113" t="s">
        <v>568</v>
      </c>
      <c r="D115" s="113" t="s">
        <v>666</v>
      </c>
      <c r="E115" s="113">
        <v>0.79</v>
      </c>
      <c r="F115" s="113">
        <v>0.57799999999999996</v>
      </c>
    </row>
    <row r="116" spans="1:6">
      <c r="A116" s="113" t="s">
        <v>554</v>
      </c>
      <c r="B116" s="149">
        <v>43879</v>
      </c>
      <c r="C116" s="113" t="s">
        <v>568</v>
      </c>
      <c r="D116" s="113" t="s">
        <v>667</v>
      </c>
      <c r="E116" s="113">
        <v>0.34399999999999997</v>
      </c>
      <c r="F116" s="113">
        <v>0.29499999999999998</v>
      </c>
    </row>
    <row r="117" spans="1:6">
      <c r="A117" s="113" t="s">
        <v>555</v>
      </c>
      <c r="B117" s="149">
        <v>43879</v>
      </c>
      <c r="C117" s="113" t="s">
        <v>568</v>
      </c>
      <c r="D117" s="113" t="s">
        <v>668</v>
      </c>
      <c r="E117" s="113">
        <v>0.59699999999999998</v>
      </c>
      <c r="F117" s="113">
        <v>0.42199999999999999</v>
      </c>
    </row>
    <row r="118" spans="1:6">
      <c r="A118" s="113" t="s">
        <v>556</v>
      </c>
      <c r="B118" s="149">
        <v>43879</v>
      </c>
      <c r="C118" s="113" t="s">
        <v>568</v>
      </c>
      <c r="D118" s="113" t="s">
        <v>669</v>
      </c>
      <c r="E118" s="113">
        <v>0.34399999999999997</v>
      </c>
      <c r="F118" s="113">
        <v>0.88600000000000001</v>
      </c>
    </row>
    <row r="119" spans="1:6">
      <c r="A119" s="113" t="s">
        <v>557</v>
      </c>
      <c r="B119" s="149">
        <v>43879</v>
      </c>
      <c r="C119" s="113" t="s">
        <v>568</v>
      </c>
      <c r="D119" s="113" t="s">
        <v>670</v>
      </c>
      <c r="E119" s="113">
        <v>0.57099999999999995</v>
      </c>
      <c r="F119" s="113">
        <v>1.1339999999999999</v>
      </c>
    </row>
    <row r="120" spans="1:6">
      <c r="A120" s="113" t="s">
        <v>558</v>
      </c>
      <c r="B120" s="149">
        <v>43879</v>
      </c>
      <c r="C120" s="113" t="s">
        <v>568</v>
      </c>
      <c r="D120" s="113" t="s">
        <v>671</v>
      </c>
      <c r="E120" s="113">
        <v>0.30599999999999999</v>
      </c>
      <c r="F120" s="113">
        <v>0.106</v>
      </c>
    </row>
    <row r="121" spans="1:6">
      <c r="A121" s="113" t="s">
        <v>559</v>
      </c>
      <c r="B121" s="149">
        <v>43879</v>
      </c>
      <c r="C121" s="113" t="s">
        <v>568</v>
      </c>
      <c r="D121" s="113" t="s">
        <v>672</v>
      </c>
      <c r="E121" s="113">
        <v>0.216</v>
      </c>
      <c r="F121" s="113">
        <v>0.247</v>
      </c>
    </row>
    <row r="122" spans="1:6">
      <c r="A122" s="113" t="s">
        <v>560</v>
      </c>
      <c r="B122" s="149">
        <v>43879</v>
      </c>
      <c r="C122" s="113" t="s">
        <v>568</v>
      </c>
      <c r="D122" s="113" t="s">
        <v>673</v>
      </c>
      <c r="E122" s="113">
        <v>0.54700000000000004</v>
      </c>
      <c r="F122" s="113">
        <v>0.29399999999999998</v>
      </c>
    </row>
    <row r="123" spans="1:6">
      <c r="A123" s="113" t="s">
        <v>561</v>
      </c>
      <c r="B123" s="149">
        <v>43879</v>
      </c>
      <c r="C123" s="113" t="s">
        <v>568</v>
      </c>
      <c r="D123" s="113" t="s">
        <v>674</v>
      </c>
      <c r="E123" s="113">
        <v>0.66600000000000004</v>
      </c>
      <c r="F123" s="113">
        <v>0.56000000000000005</v>
      </c>
    </row>
    <row r="124" spans="1:6">
      <c r="A124" s="113" t="s">
        <v>562</v>
      </c>
      <c r="B124" s="149">
        <v>43879</v>
      </c>
      <c r="C124" s="113" t="s">
        <v>568</v>
      </c>
      <c r="D124" s="113" t="s">
        <v>675</v>
      </c>
      <c r="E124" s="113">
        <v>10.237</v>
      </c>
      <c r="F124" s="113">
        <v>1.2999999999999999E-2</v>
      </c>
    </row>
    <row r="125" spans="1:6">
      <c r="A125" s="147">
        <f>75+125-100</f>
        <v>100</v>
      </c>
      <c r="B125" s="149"/>
      <c r="D125" s="152" t="s">
        <v>676</v>
      </c>
      <c r="E125" s="152">
        <v>40.305999999999997</v>
      </c>
      <c r="F125" s="152">
        <v>42.404000000000003</v>
      </c>
    </row>
    <row r="126" spans="1:6">
      <c r="B126" s="149"/>
      <c r="D126" s="152" t="s">
        <v>676</v>
      </c>
      <c r="E126" s="152">
        <v>40.180999999999997</v>
      </c>
      <c r="F126" s="152">
        <v>41.633000000000003</v>
      </c>
    </row>
    <row r="127" spans="1:6">
      <c r="B127" s="149"/>
      <c r="D127" s="151" t="s">
        <v>570</v>
      </c>
      <c r="E127" s="151">
        <v>19.690999999999999</v>
      </c>
      <c r="F127" s="151">
        <v>19.515000000000001</v>
      </c>
    </row>
    <row r="128" spans="1:6">
      <c r="B128" s="149"/>
      <c r="D128" s="151" t="s">
        <v>571</v>
      </c>
      <c r="E128" s="151">
        <v>10.365</v>
      </c>
      <c r="F128" s="151">
        <v>9.8520000000000003</v>
      </c>
    </row>
    <row r="129" spans="1:6">
      <c r="B129" s="149"/>
      <c r="D129" s="151" t="s">
        <v>572</v>
      </c>
      <c r="E129" s="151">
        <v>5.0640000000000001</v>
      </c>
      <c r="F129" s="151">
        <v>4.8179999999999996</v>
      </c>
    </row>
    <row r="130" spans="1:6">
      <c r="B130" s="149"/>
      <c r="D130" s="151" t="s">
        <v>573</v>
      </c>
      <c r="E130" s="151">
        <v>1.9950000000000001</v>
      </c>
      <c r="F130" s="151">
        <v>1.9970000000000001</v>
      </c>
    </row>
    <row r="131" spans="1:6">
      <c r="A131" s="145"/>
      <c r="B131" s="149"/>
      <c r="D131" s="151" t="s">
        <v>574</v>
      </c>
      <c r="E131" s="151">
        <v>1.06</v>
      </c>
      <c r="F131" s="151">
        <v>1.0569999999999999</v>
      </c>
    </row>
    <row r="132" spans="1:6">
      <c r="B132" s="149"/>
      <c r="D132" s="151" t="s">
        <v>575</v>
      </c>
      <c r="E132" s="151">
        <v>-5.8000000000000003E-2</v>
      </c>
      <c r="F132" s="151">
        <v>-9.2999999999999999E-2</v>
      </c>
    </row>
    <row r="133" spans="1:6">
      <c r="A133" s="148" t="s">
        <v>538</v>
      </c>
      <c r="B133" s="150">
        <v>43879</v>
      </c>
      <c r="C133" s="148" t="s">
        <v>565</v>
      </c>
    </row>
    <row r="134" spans="1:6">
      <c r="A134" s="148" t="s">
        <v>539</v>
      </c>
      <c r="B134" s="150">
        <v>43879</v>
      </c>
      <c r="C134" s="148" t="s">
        <v>565</v>
      </c>
    </row>
    <row r="135" spans="1:6">
      <c r="A135" s="148" t="s">
        <v>540</v>
      </c>
      <c r="B135" s="150">
        <v>43879</v>
      </c>
      <c r="C135" s="148" t="s">
        <v>567</v>
      </c>
    </row>
    <row r="136" spans="1:6">
      <c r="A136" s="148" t="s">
        <v>541</v>
      </c>
      <c r="B136" s="150">
        <v>43879</v>
      </c>
      <c r="C136" s="148" t="s">
        <v>565</v>
      </c>
    </row>
    <row r="137" spans="1:6">
      <c r="A137" s="148" t="s">
        <v>542</v>
      </c>
      <c r="B137" s="150">
        <v>43879</v>
      </c>
      <c r="C137" s="148" t="s">
        <v>565</v>
      </c>
    </row>
    <row r="138" spans="1:6">
      <c r="A138" s="148" t="s">
        <v>543</v>
      </c>
      <c r="B138" s="150">
        <v>43879</v>
      </c>
      <c r="C138" s="148" t="s">
        <v>567</v>
      </c>
    </row>
    <row r="139" spans="1:6">
      <c r="A139" s="148" t="s">
        <v>544</v>
      </c>
      <c r="B139" s="150">
        <v>43879</v>
      </c>
      <c r="C139" s="148" t="s">
        <v>565</v>
      </c>
    </row>
    <row r="140" spans="1:6">
      <c r="A140" s="148" t="s">
        <v>545</v>
      </c>
      <c r="B140" s="150">
        <v>43879</v>
      </c>
      <c r="C140" s="148" t="s">
        <v>565</v>
      </c>
    </row>
    <row r="141" spans="1:6">
      <c r="A141" s="148" t="s">
        <v>546</v>
      </c>
      <c r="B141" s="150">
        <v>43879</v>
      </c>
      <c r="C141" s="148" t="s">
        <v>567</v>
      </c>
    </row>
    <row r="142" spans="1:6">
      <c r="A142" s="148" t="s">
        <v>547</v>
      </c>
      <c r="B142" s="150">
        <v>43879</v>
      </c>
      <c r="C142" s="148" t="s">
        <v>565</v>
      </c>
    </row>
    <row r="143" spans="1:6">
      <c r="A143" s="148" t="s">
        <v>548</v>
      </c>
      <c r="B143" s="150">
        <v>43879</v>
      </c>
      <c r="C143" s="148" t="s">
        <v>565</v>
      </c>
    </row>
    <row r="144" spans="1:6">
      <c r="A144" s="148" t="s">
        <v>549</v>
      </c>
      <c r="B144" s="150">
        <v>43879</v>
      </c>
      <c r="C144" s="148" t="s">
        <v>567</v>
      </c>
    </row>
    <row r="145" spans="1:3">
      <c r="A145" s="148" t="s">
        <v>538</v>
      </c>
      <c r="B145" s="150">
        <v>43879</v>
      </c>
      <c r="C145" s="148" t="s">
        <v>566</v>
      </c>
    </row>
    <row r="146" spans="1:3">
      <c r="A146" s="148" t="s">
        <v>539</v>
      </c>
      <c r="B146" s="150">
        <v>43879</v>
      </c>
      <c r="C146" s="148" t="s">
        <v>566</v>
      </c>
    </row>
    <row r="147" spans="1:3">
      <c r="A147" s="148" t="s">
        <v>540</v>
      </c>
      <c r="B147" s="150">
        <v>43879</v>
      </c>
      <c r="C147" s="148" t="s">
        <v>566</v>
      </c>
    </row>
    <row r="148" spans="1:3">
      <c r="A148" s="148" t="s">
        <v>541</v>
      </c>
      <c r="B148" s="150">
        <v>43879</v>
      </c>
      <c r="C148" s="148" t="s">
        <v>566</v>
      </c>
    </row>
    <row r="149" spans="1:3">
      <c r="A149" s="148" t="s">
        <v>542</v>
      </c>
      <c r="B149" s="150">
        <v>43879</v>
      </c>
      <c r="C149" s="148" t="s">
        <v>566</v>
      </c>
    </row>
    <row r="150" spans="1:3">
      <c r="A150" s="148" t="s">
        <v>543</v>
      </c>
      <c r="B150" s="150">
        <v>43879</v>
      </c>
      <c r="C150" s="148" t="s">
        <v>566</v>
      </c>
    </row>
    <row r="151" spans="1:3">
      <c r="A151" s="148" t="s">
        <v>544</v>
      </c>
      <c r="B151" s="150">
        <v>43879</v>
      </c>
      <c r="C151" s="148" t="s">
        <v>566</v>
      </c>
    </row>
    <row r="152" spans="1:3">
      <c r="A152" s="148" t="s">
        <v>545</v>
      </c>
      <c r="B152" s="150">
        <v>43879</v>
      </c>
      <c r="C152" s="148" t="s">
        <v>566</v>
      </c>
    </row>
    <row r="153" spans="1:3">
      <c r="A153" s="148" t="s">
        <v>546</v>
      </c>
      <c r="B153" s="150">
        <v>43879</v>
      </c>
      <c r="C153" s="148" t="s">
        <v>566</v>
      </c>
    </row>
    <row r="154" spans="1:3">
      <c r="A154" s="148" t="s">
        <v>547</v>
      </c>
      <c r="B154" s="150">
        <v>43879</v>
      </c>
      <c r="C154" s="148" t="s">
        <v>566</v>
      </c>
    </row>
    <row r="155" spans="1:3">
      <c r="A155" s="148" t="s">
        <v>548</v>
      </c>
      <c r="B155" s="150">
        <v>43879</v>
      </c>
      <c r="C155" s="148" t="s">
        <v>566</v>
      </c>
    </row>
    <row r="156" spans="1:3">
      <c r="A156" s="148" t="s">
        <v>549</v>
      </c>
      <c r="B156" s="150">
        <v>43879</v>
      </c>
      <c r="C156" s="148" t="s">
        <v>566</v>
      </c>
    </row>
    <row r="157" spans="1:3">
      <c r="A157" s="148" t="s">
        <v>550</v>
      </c>
      <c r="B157" s="150">
        <v>43879</v>
      </c>
      <c r="C157" s="148" t="s">
        <v>565</v>
      </c>
    </row>
    <row r="158" spans="1:3">
      <c r="A158" s="148" t="s">
        <v>551</v>
      </c>
      <c r="B158" s="150">
        <v>43879</v>
      </c>
      <c r="C158" s="148" t="s">
        <v>567</v>
      </c>
    </row>
    <row r="159" spans="1:3">
      <c r="A159" s="148" t="s">
        <v>552</v>
      </c>
      <c r="B159" s="150">
        <v>43879</v>
      </c>
      <c r="C159" s="148" t="s">
        <v>565</v>
      </c>
    </row>
    <row r="160" spans="1:3">
      <c r="A160" s="148" t="s">
        <v>553</v>
      </c>
      <c r="B160" s="150">
        <v>43879</v>
      </c>
      <c r="C160" s="148" t="s">
        <v>565</v>
      </c>
    </row>
    <row r="161" spans="1:3">
      <c r="A161" s="148" t="s">
        <v>554</v>
      </c>
      <c r="B161" s="150">
        <v>43879</v>
      </c>
      <c r="C161" s="148" t="s">
        <v>567</v>
      </c>
    </row>
    <row r="162" spans="1:3">
      <c r="A162" s="148" t="s">
        <v>555</v>
      </c>
      <c r="B162" s="150">
        <v>43879</v>
      </c>
      <c r="C162" s="148" t="s">
        <v>565</v>
      </c>
    </row>
    <row r="163" spans="1:3">
      <c r="A163" s="148" t="s">
        <v>556</v>
      </c>
      <c r="B163" s="150">
        <v>43879</v>
      </c>
      <c r="C163" s="148" t="s">
        <v>565</v>
      </c>
    </row>
    <row r="164" spans="1:3">
      <c r="A164" s="148" t="s">
        <v>557</v>
      </c>
      <c r="B164" s="150">
        <v>43879</v>
      </c>
      <c r="C164" s="148" t="s">
        <v>565</v>
      </c>
    </row>
    <row r="165" spans="1:3">
      <c r="A165" s="148" t="s">
        <v>558</v>
      </c>
      <c r="B165" s="150">
        <v>43879</v>
      </c>
      <c r="C165" s="148" t="s">
        <v>567</v>
      </c>
    </row>
    <row r="166" spans="1:3">
      <c r="A166" s="148" t="s">
        <v>559</v>
      </c>
      <c r="B166" s="150">
        <v>43879</v>
      </c>
      <c r="C166" s="148" t="s">
        <v>565</v>
      </c>
    </row>
    <row r="167" spans="1:3">
      <c r="A167" s="148" t="s">
        <v>560</v>
      </c>
      <c r="B167" s="150">
        <v>43879</v>
      </c>
      <c r="C167" s="148" t="s">
        <v>565</v>
      </c>
    </row>
    <row r="168" spans="1:3">
      <c r="A168" s="148" t="s">
        <v>561</v>
      </c>
      <c r="B168" s="150">
        <v>43879</v>
      </c>
      <c r="C168" s="148" t="s">
        <v>567</v>
      </c>
    </row>
    <row r="169" spans="1:3">
      <c r="A169" s="148" t="s">
        <v>562</v>
      </c>
      <c r="B169" s="150">
        <v>43879</v>
      </c>
      <c r="C169" s="148" t="s">
        <v>565</v>
      </c>
    </row>
    <row r="170" spans="1:3">
      <c r="A170" s="148" t="s">
        <v>550</v>
      </c>
      <c r="B170" s="150">
        <v>43879</v>
      </c>
      <c r="C170" s="148" t="s">
        <v>566</v>
      </c>
    </row>
    <row r="171" spans="1:3">
      <c r="A171" s="148" t="s">
        <v>551</v>
      </c>
      <c r="B171" s="150">
        <v>43879</v>
      </c>
      <c r="C171" s="148" t="s">
        <v>566</v>
      </c>
    </row>
    <row r="172" spans="1:3">
      <c r="A172" s="148" t="s">
        <v>552</v>
      </c>
      <c r="B172" s="150">
        <v>43879</v>
      </c>
      <c r="C172" s="148" t="s">
        <v>566</v>
      </c>
    </row>
    <row r="173" spans="1:3">
      <c r="A173" s="148" t="s">
        <v>553</v>
      </c>
      <c r="B173" s="150">
        <v>43879</v>
      </c>
      <c r="C173" s="148" t="s">
        <v>566</v>
      </c>
    </row>
    <row r="174" spans="1:3">
      <c r="A174" s="148" t="s">
        <v>554</v>
      </c>
      <c r="B174" s="150">
        <v>43879</v>
      </c>
      <c r="C174" s="148" t="s">
        <v>566</v>
      </c>
    </row>
    <row r="175" spans="1:3">
      <c r="A175" s="148" t="s">
        <v>555</v>
      </c>
      <c r="B175" s="150">
        <v>43879</v>
      </c>
      <c r="C175" s="148" t="s">
        <v>566</v>
      </c>
    </row>
    <row r="176" spans="1:3">
      <c r="A176" s="148" t="s">
        <v>556</v>
      </c>
      <c r="B176" s="150">
        <v>43879</v>
      </c>
      <c r="C176" s="148" t="s">
        <v>566</v>
      </c>
    </row>
    <row r="177" spans="1:3">
      <c r="A177" s="148" t="s">
        <v>557</v>
      </c>
      <c r="B177" s="150">
        <v>43879</v>
      </c>
      <c r="C177" s="148" t="s">
        <v>566</v>
      </c>
    </row>
    <row r="178" spans="1:3">
      <c r="A178" s="148" t="s">
        <v>558</v>
      </c>
      <c r="B178" s="150">
        <v>43879</v>
      </c>
      <c r="C178" s="148" t="s">
        <v>566</v>
      </c>
    </row>
    <row r="179" spans="1:3">
      <c r="A179" s="148" t="s">
        <v>559</v>
      </c>
      <c r="B179" s="150">
        <v>43879</v>
      </c>
      <c r="C179" s="148" t="s">
        <v>566</v>
      </c>
    </row>
    <row r="180" spans="1:3">
      <c r="A180" s="148" t="s">
        <v>560</v>
      </c>
      <c r="B180" s="150">
        <v>43879</v>
      </c>
      <c r="C180" s="148" t="s">
        <v>566</v>
      </c>
    </row>
    <row r="181" spans="1:3">
      <c r="A181" s="148" t="s">
        <v>561</v>
      </c>
      <c r="B181" s="150">
        <v>43879</v>
      </c>
      <c r="C181" s="148" t="s">
        <v>566</v>
      </c>
    </row>
    <row r="182" spans="1:3">
      <c r="A182" s="148" t="s">
        <v>562</v>
      </c>
      <c r="B182" s="150">
        <v>43879</v>
      </c>
      <c r="C182" s="148" t="s">
        <v>566</v>
      </c>
    </row>
    <row r="186" spans="1:3">
      <c r="A186" s="146">
        <f>182-133+1</f>
        <v>50</v>
      </c>
    </row>
  </sheetData>
  <mergeCells count="1">
    <mergeCell ref="D2:D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784B-B002-4249-99F6-14757BC42FD8}">
  <dimension ref="A1:AE65"/>
  <sheetViews>
    <sheetView topLeftCell="A37" workbookViewId="0">
      <selection activeCell="M37" sqref="M37"/>
    </sheetView>
  </sheetViews>
  <sheetFormatPr defaultColWidth="8.85546875" defaultRowHeight="15"/>
  <cols>
    <col min="1" max="1" width="9.28515625" bestFit="1" customWidth="1"/>
    <col min="3" max="3" width="9.28515625" bestFit="1" customWidth="1"/>
    <col min="4" max="4" width="9.28515625" customWidth="1"/>
    <col min="5" max="7" width="9.28515625" bestFit="1" customWidth="1"/>
    <col min="8" max="8" width="13.140625" bestFit="1" customWidth="1"/>
    <col min="9" max="9" width="9.28515625" bestFit="1" customWidth="1"/>
    <col min="10" max="14" width="13.140625" bestFit="1" customWidth="1"/>
    <col min="15" max="16" width="9.28515625" bestFit="1" customWidth="1"/>
    <col min="17" max="17" width="10" bestFit="1" customWidth="1"/>
  </cols>
  <sheetData>
    <row r="1" spans="1:31">
      <c r="A1" s="169" t="s">
        <v>701</v>
      </c>
    </row>
    <row r="2" spans="1:31">
      <c r="A2" s="69" t="s">
        <v>702</v>
      </c>
    </row>
    <row r="3" spans="1:31">
      <c r="A3" s="69" t="s">
        <v>703</v>
      </c>
    </row>
    <row r="5" spans="1:31">
      <c r="A5" s="154" t="s">
        <v>0</v>
      </c>
      <c r="B5" s="154" t="s">
        <v>1</v>
      </c>
      <c r="C5" s="154" t="s">
        <v>681</v>
      </c>
      <c r="D5" s="154" t="s">
        <v>682</v>
      </c>
      <c r="E5" s="154" t="s">
        <v>683</v>
      </c>
      <c r="F5" s="154" t="s">
        <v>684</v>
      </c>
      <c r="G5" s="154" t="s">
        <v>685</v>
      </c>
      <c r="H5" s="154" t="s">
        <v>686</v>
      </c>
      <c r="I5" s="154" t="s">
        <v>687</v>
      </c>
      <c r="J5" s="154" t="s">
        <v>688</v>
      </c>
      <c r="K5" s="154" t="s">
        <v>689</v>
      </c>
      <c r="L5" s="154" t="s">
        <v>690</v>
      </c>
      <c r="M5" s="154" t="s">
        <v>691</v>
      </c>
      <c r="N5" s="154" t="s">
        <v>692</v>
      </c>
      <c r="O5" s="154" t="s">
        <v>693</v>
      </c>
      <c r="Q5" s="154" t="s">
        <v>0</v>
      </c>
      <c r="R5" s="154" t="s">
        <v>1</v>
      </c>
      <c r="S5" s="154" t="s">
        <v>681</v>
      </c>
      <c r="T5" s="154" t="s">
        <v>682</v>
      </c>
      <c r="U5" s="154" t="s">
        <v>683</v>
      </c>
      <c r="V5" s="154" t="s">
        <v>684</v>
      </c>
      <c r="W5" s="154" t="s">
        <v>685</v>
      </c>
      <c r="X5" s="154" t="s">
        <v>686</v>
      </c>
      <c r="Y5" s="154" t="s">
        <v>687</v>
      </c>
      <c r="Z5" s="154" t="s">
        <v>688</v>
      </c>
      <c r="AA5" s="154" t="s">
        <v>689</v>
      </c>
      <c r="AB5" s="154" t="s">
        <v>690</v>
      </c>
      <c r="AC5" s="154" t="s">
        <v>691</v>
      </c>
      <c r="AD5" s="154" t="s">
        <v>692</v>
      </c>
      <c r="AE5" s="154" t="s">
        <v>693</v>
      </c>
    </row>
    <row r="6" spans="1:31">
      <c r="A6" s="154"/>
      <c r="B6" s="154"/>
      <c r="C6" s="154" t="s">
        <v>694</v>
      </c>
      <c r="D6" s="154"/>
      <c r="E6" s="154"/>
      <c r="F6" s="154"/>
      <c r="G6" s="154"/>
      <c r="H6" s="154"/>
      <c r="I6" s="154"/>
      <c r="J6" s="154"/>
      <c r="K6" s="154"/>
      <c r="L6" s="154" t="s">
        <v>695</v>
      </c>
      <c r="M6" s="154" t="s">
        <v>696</v>
      </c>
      <c r="N6" s="154" t="s">
        <v>697</v>
      </c>
      <c r="O6" s="154"/>
      <c r="Q6" s="156" t="s">
        <v>9</v>
      </c>
      <c r="R6" s="157" t="s">
        <v>4</v>
      </c>
      <c r="S6" s="157">
        <v>0.91</v>
      </c>
      <c r="T6" s="158">
        <v>0.14169999999999999</v>
      </c>
      <c r="U6" s="158">
        <v>0.48592999999999997</v>
      </c>
      <c r="V6" s="158">
        <v>9.6509999999999999E-2</v>
      </c>
      <c r="W6" s="158">
        <v>1.1521600000000001</v>
      </c>
      <c r="X6" s="158">
        <v>0.13206499097347599</v>
      </c>
      <c r="Y6" s="158">
        <v>0.34422999999999998</v>
      </c>
      <c r="Z6" s="158">
        <v>1.70189476452026</v>
      </c>
      <c r="AA6" s="158">
        <v>3.03592566410761</v>
      </c>
      <c r="AB6" s="158">
        <v>0.34396279977835997</v>
      </c>
      <c r="AC6" s="158">
        <v>0.25508551667113499</v>
      </c>
      <c r="AD6" s="158">
        <v>8.8877283107224897E-2</v>
      </c>
      <c r="AE6" s="158">
        <v>0.65660377358490596</v>
      </c>
    </row>
    <row r="7" spans="1:31">
      <c r="A7" s="154" t="s">
        <v>166</v>
      </c>
      <c r="B7" s="50" t="s">
        <v>4</v>
      </c>
      <c r="C7" s="50">
        <v>1.3</v>
      </c>
      <c r="D7" s="155">
        <v>0.10589999999999999</v>
      </c>
      <c r="E7" s="155">
        <v>0.38150000000000001</v>
      </c>
      <c r="F7" s="155">
        <v>9.8700000000000003E-3</v>
      </c>
      <c r="G7" s="155">
        <v>1.2460100000000001</v>
      </c>
      <c r="H7" s="155">
        <v>0.197438222807201</v>
      </c>
      <c r="I7" s="155">
        <v>0.27560000000000001</v>
      </c>
      <c r="J7" s="155">
        <v>1.39783072688123</v>
      </c>
      <c r="K7" s="155">
        <v>3.43789548024183</v>
      </c>
      <c r="L7" s="155">
        <v>0.30306264258613502</v>
      </c>
      <c r="M7" s="155">
        <v>0.186065322530577</v>
      </c>
      <c r="N7" s="155">
        <v>0.11699732005555701</v>
      </c>
      <c r="O7" s="155">
        <v>0.50943396226415105</v>
      </c>
      <c r="Q7" s="156" t="s">
        <v>9</v>
      </c>
      <c r="R7" s="157" t="s">
        <v>5</v>
      </c>
      <c r="S7" s="157">
        <v>1.32</v>
      </c>
      <c r="T7" s="158">
        <v>0.18729999999999999</v>
      </c>
      <c r="U7" s="158">
        <v>0.38308999999999999</v>
      </c>
      <c r="V7" s="158">
        <v>5.6299999999999996E-3</v>
      </c>
      <c r="W7" s="158">
        <v>1.14039</v>
      </c>
      <c r="X7" s="158">
        <v>0.123107007251905</v>
      </c>
      <c r="Y7" s="158">
        <v>0.19578999999999999</v>
      </c>
      <c r="Z7" s="158">
        <v>1.1480185284163</v>
      </c>
      <c r="AA7" s="158">
        <v>1.87091175436195</v>
      </c>
      <c r="AB7" s="158">
        <v>0.35784602792003201</v>
      </c>
      <c r="AC7" s="158">
        <v>0.29194951088340898</v>
      </c>
      <c r="AD7" s="158">
        <v>6.5896517036622096E-2</v>
      </c>
      <c r="AE7" s="158">
        <v>0.50188679245282997</v>
      </c>
    </row>
    <row r="8" spans="1:31">
      <c r="A8" s="154" t="s">
        <v>166</v>
      </c>
      <c r="B8" s="50" t="s">
        <v>5</v>
      </c>
      <c r="C8" s="50">
        <v>1.37</v>
      </c>
      <c r="D8" s="155">
        <v>2.7879999999999999E-2</v>
      </c>
      <c r="E8" s="155">
        <v>0.34810000000000002</v>
      </c>
      <c r="F8" s="155">
        <v>7.1599999999999997E-3</v>
      </c>
      <c r="G8" s="155">
        <v>1.26047</v>
      </c>
      <c r="H8" s="155">
        <v>0.20664514030480699</v>
      </c>
      <c r="I8" s="155">
        <v>0.32022</v>
      </c>
      <c r="J8" s="155">
        <v>1.3333550056846999</v>
      </c>
      <c r="K8" s="155">
        <v>3.4007149850079599</v>
      </c>
      <c r="L8" s="155">
        <v>0.26804109635825202</v>
      </c>
      <c r="M8" s="155">
        <v>0.12204255152569</v>
      </c>
      <c r="N8" s="155">
        <v>0.145998544832561</v>
      </c>
      <c r="O8" s="155">
        <v>0.48301886792452797</v>
      </c>
      <c r="Q8" s="156">
        <v>11</v>
      </c>
      <c r="R8" s="157" t="s">
        <v>4</v>
      </c>
      <c r="S8" s="157">
        <v>1.27</v>
      </c>
      <c r="T8" s="158">
        <v>0.1671</v>
      </c>
      <c r="U8" s="158">
        <v>0.41443999999999998</v>
      </c>
      <c r="V8" s="158">
        <v>8.9999999999999993E-3</v>
      </c>
      <c r="W8" s="158">
        <v>1.15954</v>
      </c>
      <c r="X8" s="158">
        <v>0.13758904393121399</v>
      </c>
      <c r="Y8" s="158">
        <v>0.24734</v>
      </c>
      <c r="Z8" s="158">
        <v>1.2339304334030501</v>
      </c>
      <c r="AA8" s="158">
        <v>2.1952707904819699</v>
      </c>
      <c r="AB8" s="158">
        <v>0.36754890157856102</v>
      </c>
      <c r="AC8" s="158">
        <v>0.279769471607964</v>
      </c>
      <c r="AD8" s="158">
        <v>8.7779429970597497E-2</v>
      </c>
      <c r="AE8" s="158">
        <v>0.52075471698113196</v>
      </c>
    </row>
    <row r="9" spans="1:31">
      <c r="A9" s="154" t="s">
        <v>8</v>
      </c>
      <c r="B9" s="50" t="s">
        <v>4</v>
      </c>
      <c r="C9" s="50">
        <v>1.34</v>
      </c>
      <c r="D9" s="155">
        <v>5.484E-2</v>
      </c>
      <c r="E9" s="155">
        <v>0.31791999999999998</v>
      </c>
      <c r="F9" s="155">
        <v>8.5100000000000002E-3</v>
      </c>
      <c r="G9" s="155">
        <v>1.47628</v>
      </c>
      <c r="H9" s="155">
        <v>0.32262172487604002</v>
      </c>
      <c r="I9" s="155">
        <v>0.26307999999999998</v>
      </c>
      <c r="J9" s="155">
        <v>1.75491545267682</v>
      </c>
      <c r="K9" s="155">
        <v>10.17167666029</v>
      </c>
      <c r="L9" s="155">
        <v>0.20475035585145601</v>
      </c>
      <c r="M9" s="155">
        <v>8.0703975899574107E-2</v>
      </c>
      <c r="N9" s="155">
        <v>0.124046379951881</v>
      </c>
      <c r="O9" s="155">
        <v>0.49433962264150899</v>
      </c>
      <c r="Q9" s="156">
        <v>11</v>
      </c>
      <c r="R9" s="157" t="s">
        <v>5</v>
      </c>
      <c r="S9" s="157">
        <v>1.34</v>
      </c>
      <c r="T9" s="158">
        <v>0.17330000000000001</v>
      </c>
      <c r="U9" s="158">
        <v>0.39293</v>
      </c>
      <c r="V9" s="158">
        <v>6.6400000000000001E-3</v>
      </c>
      <c r="W9" s="158">
        <v>1.1536900000000001</v>
      </c>
      <c r="X9" s="158">
        <v>0.13321602856920001</v>
      </c>
      <c r="Y9" s="158">
        <v>0.21962999999999999</v>
      </c>
      <c r="Z9" s="158">
        <v>1.1826930684783099</v>
      </c>
      <c r="AA9" s="158">
        <v>2.0359021109847202</v>
      </c>
      <c r="AB9" s="158">
        <v>0.35900329517749102</v>
      </c>
      <c r="AC9" s="158">
        <v>0.28117846764094701</v>
      </c>
      <c r="AD9" s="158">
        <v>7.7824827536544794E-2</v>
      </c>
      <c r="AE9" s="158">
        <v>0.49433962264150899</v>
      </c>
    </row>
    <row r="10" spans="1:31">
      <c r="A10" s="154" t="s">
        <v>8</v>
      </c>
      <c r="B10" s="50" t="s">
        <v>5</v>
      </c>
      <c r="C10" s="50">
        <v>1.4</v>
      </c>
      <c r="D10" s="155">
        <v>5.8630000000000002E-2</v>
      </c>
      <c r="E10" s="155">
        <v>0.31516</v>
      </c>
      <c r="F10" s="155">
        <v>5.62E-3</v>
      </c>
      <c r="G10" s="155">
        <v>1.4570799999999999</v>
      </c>
      <c r="H10" s="155">
        <v>0.31369588492052602</v>
      </c>
      <c r="I10" s="155">
        <v>0.25652999999999998</v>
      </c>
      <c r="J10" s="155">
        <v>1.4847119480729301</v>
      </c>
      <c r="K10" s="155">
        <v>7.6652167889196399</v>
      </c>
      <c r="L10" s="155">
        <v>0.231410989829685</v>
      </c>
      <c r="M10" s="155">
        <v>9.2096763832540701E-2</v>
      </c>
      <c r="N10" s="155">
        <v>0.13931422599714399</v>
      </c>
      <c r="O10" s="155">
        <v>0.47169811320754701</v>
      </c>
      <c r="Q10" s="159">
        <v>9</v>
      </c>
      <c r="R10" s="160" t="s">
        <v>4</v>
      </c>
      <c r="S10" s="160">
        <v>1.2</v>
      </c>
      <c r="T10" s="161">
        <v>0.17199999999999999</v>
      </c>
      <c r="U10" s="161">
        <v>0.41349999999999998</v>
      </c>
      <c r="V10" s="161">
        <v>2.1819999999999999E-2</v>
      </c>
      <c r="W10" s="161">
        <v>1.1315299999999999</v>
      </c>
      <c r="X10" s="161">
        <v>0.116240842045726</v>
      </c>
      <c r="Y10" s="161">
        <v>0.24149999999999999</v>
      </c>
      <c r="Z10" s="161">
        <v>1.3147325779325301</v>
      </c>
      <c r="AA10" s="161">
        <v>2.1479771998400601</v>
      </c>
      <c r="AB10" s="161">
        <v>0.355687545325582</v>
      </c>
      <c r="AC10" s="161">
        <v>0.28443136101164501</v>
      </c>
      <c r="AD10" s="161">
        <v>7.1256184313937002E-2</v>
      </c>
      <c r="AE10" s="161">
        <v>0.54716981132075504</v>
      </c>
    </row>
    <row r="11" spans="1:31">
      <c r="A11" s="154" t="s">
        <v>3</v>
      </c>
      <c r="B11" s="50" t="s">
        <v>4</v>
      </c>
      <c r="C11" s="50">
        <v>1.1499999999999999</v>
      </c>
      <c r="D11" s="155">
        <v>5.6469999999999999E-2</v>
      </c>
      <c r="E11" s="155">
        <v>0.39494000000000001</v>
      </c>
      <c r="F11" s="155">
        <v>1.0829999999999999E-2</v>
      </c>
      <c r="G11" s="155">
        <v>1.35893</v>
      </c>
      <c r="H11" s="155">
        <v>0.264126923388254</v>
      </c>
      <c r="I11" s="155">
        <v>0.33846999999999999</v>
      </c>
      <c r="J11" s="155">
        <v>1.6582023390942999</v>
      </c>
      <c r="K11" s="155">
        <v>6.2631493928881898</v>
      </c>
      <c r="L11" s="155">
        <v>0.26058863620025402</v>
      </c>
      <c r="M11" s="155">
        <v>0.110511501929418</v>
      </c>
      <c r="N11" s="155">
        <v>0.15007713427083599</v>
      </c>
      <c r="O11" s="155">
        <v>0.56603773584905703</v>
      </c>
      <c r="Q11" s="159">
        <v>9</v>
      </c>
      <c r="R11" s="160" t="s">
        <v>5</v>
      </c>
      <c r="S11" s="160">
        <v>1.36</v>
      </c>
      <c r="T11" s="161">
        <v>0.1855</v>
      </c>
      <c r="U11" s="161">
        <v>0.371</v>
      </c>
      <c r="V11" s="161">
        <v>1.179E-2</v>
      </c>
      <c r="W11" s="161">
        <v>1.11208</v>
      </c>
      <c r="X11" s="161">
        <v>0.100784116250629</v>
      </c>
      <c r="Y11" s="161">
        <v>0.1855</v>
      </c>
      <c r="Z11" s="161">
        <v>1.1900894743169299</v>
      </c>
      <c r="AA11" s="161">
        <v>1.7907812058744099</v>
      </c>
      <c r="AB11" s="161">
        <v>0.34137063326181399</v>
      </c>
      <c r="AC11" s="161">
        <v>0.289086077065972</v>
      </c>
      <c r="AD11" s="161">
        <v>5.2284556195842699E-2</v>
      </c>
      <c r="AE11" s="161">
        <v>0.48679245283018902</v>
      </c>
    </row>
    <row r="12" spans="1:31">
      <c r="A12" s="154" t="s">
        <v>3</v>
      </c>
      <c r="B12" s="50" t="s">
        <v>5</v>
      </c>
      <c r="C12" s="50">
        <v>1.24</v>
      </c>
      <c r="D12" s="155">
        <v>0.1053</v>
      </c>
      <c r="E12" s="155">
        <v>0.3654</v>
      </c>
      <c r="F12" s="155">
        <v>1.404E-2</v>
      </c>
      <c r="G12" s="155">
        <v>1.2215100000000001</v>
      </c>
      <c r="H12" s="155">
        <v>0.18134112696580501</v>
      </c>
      <c r="I12" s="155">
        <v>0.2601</v>
      </c>
      <c r="J12" s="155">
        <v>1.44631427892562</v>
      </c>
      <c r="K12" s="155">
        <v>3.28661301277134</v>
      </c>
      <c r="L12" s="155">
        <v>0.28513643236462599</v>
      </c>
      <c r="M12" s="155">
        <v>0.18443922295971099</v>
      </c>
      <c r="N12" s="155">
        <v>0.100697209404915</v>
      </c>
      <c r="O12" s="155">
        <v>0.53207547169811298</v>
      </c>
      <c r="Q12" s="162">
        <v>17</v>
      </c>
      <c r="R12" s="163" t="s">
        <v>4</v>
      </c>
      <c r="S12" s="163">
        <v>0.93</v>
      </c>
      <c r="T12" s="164">
        <v>0.1943</v>
      </c>
      <c r="U12" s="164">
        <v>0.49886999999999998</v>
      </c>
      <c r="V12" s="164">
        <v>0.10337</v>
      </c>
      <c r="W12" s="164">
        <v>1.11442</v>
      </c>
      <c r="X12" s="164">
        <v>0.10267224206313599</v>
      </c>
      <c r="Y12" s="164">
        <v>0.30457000000000001</v>
      </c>
      <c r="Z12" s="164">
        <v>1.50362017209169</v>
      </c>
      <c r="AA12" s="164">
        <v>2.3231861419016799</v>
      </c>
      <c r="AB12" s="164">
        <v>0.39685780392751202</v>
      </c>
      <c r="AC12" s="164">
        <v>0.325400127754158</v>
      </c>
      <c r="AD12" s="164">
        <v>7.1457676173353593E-2</v>
      </c>
      <c r="AE12" s="164">
        <v>0.64905660377358498</v>
      </c>
    </row>
    <row r="13" spans="1:31">
      <c r="A13" s="154" t="s">
        <v>6</v>
      </c>
      <c r="B13" s="50" t="s">
        <v>4</v>
      </c>
      <c r="C13" s="50">
        <v>1.19</v>
      </c>
      <c r="D13" s="155">
        <v>0.1023</v>
      </c>
      <c r="E13" s="155">
        <v>0.40100000000000002</v>
      </c>
      <c r="F13" s="155">
        <v>4.6629999999999998E-2</v>
      </c>
      <c r="G13" s="155">
        <v>1.19126</v>
      </c>
      <c r="H13" s="155">
        <v>0.16055269210751599</v>
      </c>
      <c r="I13" s="155">
        <v>0.29870000000000002</v>
      </c>
      <c r="J13" s="155">
        <v>1.7026976590818601</v>
      </c>
      <c r="K13" s="155">
        <v>3.5141078997635602</v>
      </c>
      <c r="L13" s="155">
        <v>0.27772750376544603</v>
      </c>
      <c r="M13" s="155">
        <v>0.18730023576968099</v>
      </c>
      <c r="N13" s="155">
        <v>9.0427267995765795E-2</v>
      </c>
      <c r="O13" s="155">
        <v>0.55094339622641497</v>
      </c>
      <c r="Q13" s="162">
        <v>17</v>
      </c>
      <c r="R13" s="163" t="s">
        <v>5</v>
      </c>
      <c r="S13" s="163">
        <v>1.2</v>
      </c>
      <c r="T13" s="164">
        <v>0.247</v>
      </c>
      <c r="U13" s="164">
        <v>0.47835</v>
      </c>
      <c r="V13" s="164">
        <v>2.0279999999999999E-2</v>
      </c>
      <c r="W13" s="164">
        <v>1.0963700000000001</v>
      </c>
      <c r="X13" s="164">
        <v>8.7899158130923E-2</v>
      </c>
      <c r="Y13" s="164">
        <v>0.23135</v>
      </c>
      <c r="Z13" s="164">
        <v>1.2153713543260101</v>
      </c>
      <c r="AA13" s="164">
        <v>1.7387168232849399</v>
      </c>
      <c r="AB13" s="164">
        <v>0.43735334276764798</v>
      </c>
      <c r="AC13" s="164">
        <v>0.38005789470818602</v>
      </c>
      <c r="AD13" s="164">
        <v>5.7295448059461497E-2</v>
      </c>
      <c r="AE13" s="164">
        <v>0.54716981132075504</v>
      </c>
    </row>
    <row r="14" spans="1:31">
      <c r="A14" s="154" t="s">
        <v>6</v>
      </c>
      <c r="B14" s="50" t="s">
        <v>5</v>
      </c>
      <c r="C14" s="50">
        <v>1.35</v>
      </c>
      <c r="D14" s="155">
        <v>0.10009999999999999</v>
      </c>
      <c r="E14" s="155">
        <v>0.34182000000000001</v>
      </c>
      <c r="F14" s="155">
        <v>1.3390000000000001E-2</v>
      </c>
      <c r="G14" s="155">
        <v>1.20844</v>
      </c>
      <c r="H14" s="155">
        <v>0.17248684254079599</v>
      </c>
      <c r="I14" s="155">
        <v>0.24171999999999999</v>
      </c>
      <c r="J14" s="155">
        <v>1.40414865243809</v>
      </c>
      <c r="K14" s="155">
        <v>3.0337707335643098</v>
      </c>
      <c r="L14" s="155">
        <v>0.27224701561710701</v>
      </c>
      <c r="M14" s="155">
        <v>0.17977642291677301</v>
      </c>
      <c r="N14" s="155">
        <v>9.2470592700333906E-2</v>
      </c>
      <c r="O14" s="155">
        <v>0.490566037735849</v>
      </c>
    </row>
    <row r="15" spans="1:31">
      <c r="A15" s="154" t="s">
        <v>7</v>
      </c>
      <c r="B15" s="50" t="s">
        <v>4</v>
      </c>
      <c r="C15" s="50">
        <v>1.0900000000000001</v>
      </c>
      <c r="D15" s="155">
        <v>6.787E-2</v>
      </c>
      <c r="E15" s="155">
        <v>0.45267000000000002</v>
      </c>
      <c r="F15" s="155">
        <v>4.2110000000000002E-2</v>
      </c>
      <c r="G15" s="155">
        <v>1.27186</v>
      </c>
      <c r="H15" s="155">
        <v>0.213749941031246</v>
      </c>
      <c r="I15" s="155">
        <v>0.38479999999999998</v>
      </c>
      <c r="J15" s="155">
        <v>2.0700211888363702</v>
      </c>
      <c r="K15" s="155">
        <v>5.8046699482779296</v>
      </c>
      <c r="L15" s="155">
        <v>0.25376181698971401</v>
      </c>
      <c r="M15" s="155">
        <v>0.13416145212884301</v>
      </c>
      <c r="N15" s="155">
        <v>0.119600364860871</v>
      </c>
      <c r="O15" s="155">
        <v>0.58867924528301896</v>
      </c>
    </row>
    <row r="16" spans="1:31">
      <c r="A16" s="154" t="s">
        <v>7</v>
      </c>
      <c r="B16" s="50" t="s">
        <v>5</v>
      </c>
      <c r="C16" s="50">
        <v>0.95</v>
      </c>
      <c r="D16" s="155">
        <v>6.7500000000000004E-2</v>
      </c>
      <c r="E16" s="155">
        <v>0.51141999999999999</v>
      </c>
      <c r="F16" s="155">
        <v>7.1330000000000005E-2</v>
      </c>
      <c r="G16" s="155">
        <v>1.3160499999999999</v>
      </c>
      <c r="H16" s="155">
        <v>0.24015045021085801</v>
      </c>
      <c r="I16" s="155">
        <v>0.44391999999999998</v>
      </c>
      <c r="J16" s="155">
        <v>2.7391049270396</v>
      </c>
      <c r="K16" s="155">
        <v>9.12532962379656</v>
      </c>
      <c r="L16" s="155">
        <v>0.22956754097579801</v>
      </c>
      <c r="M16" s="155">
        <v>0.116147009839773</v>
      </c>
      <c r="N16" s="155">
        <v>0.113420531136025</v>
      </c>
      <c r="O16" s="155">
        <v>0.64150943396226401</v>
      </c>
      <c r="Q16" s="154" t="s">
        <v>0</v>
      </c>
      <c r="R16" s="154" t="s">
        <v>1</v>
      </c>
      <c r="S16" s="154" t="s">
        <v>681</v>
      </c>
      <c r="T16" s="154" t="s">
        <v>682</v>
      </c>
      <c r="U16" s="154" t="s">
        <v>683</v>
      </c>
      <c r="V16" s="154" t="s">
        <v>684</v>
      </c>
      <c r="W16" s="154" t="s">
        <v>685</v>
      </c>
      <c r="X16" s="154" t="s">
        <v>686</v>
      </c>
      <c r="Y16" s="154" t="s">
        <v>687</v>
      </c>
      <c r="Z16" s="154" t="s">
        <v>688</v>
      </c>
      <c r="AA16" s="154" t="s">
        <v>689</v>
      </c>
      <c r="AB16" s="154" t="s">
        <v>690</v>
      </c>
      <c r="AC16" s="154" t="s">
        <v>691</v>
      </c>
      <c r="AD16" s="154" t="s">
        <v>692</v>
      </c>
      <c r="AE16" s="154" t="s">
        <v>693</v>
      </c>
    </row>
    <row r="17" spans="1:31">
      <c r="A17" s="154" t="s">
        <v>10</v>
      </c>
      <c r="B17" s="50" t="s">
        <v>4</v>
      </c>
      <c r="C17" s="50">
        <v>1.06</v>
      </c>
      <c r="D17" s="155">
        <v>0.1216</v>
      </c>
      <c r="E17" s="155">
        <v>0.43567</v>
      </c>
      <c r="F17" s="155">
        <v>5.7700000000000001E-2</v>
      </c>
      <c r="G17" s="155">
        <v>1.1766099999999999</v>
      </c>
      <c r="H17" s="155">
        <v>0.15010071306550199</v>
      </c>
      <c r="I17" s="155">
        <v>0.31407000000000002</v>
      </c>
      <c r="J17" s="155">
        <v>1.6957042071491</v>
      </c>
      <c r="K17" s="155">
        <v>3.3139197991670399</v>
      </c>
      <c r="L17" s="155">
        <v>0.30681508567112098</v>
      </c>
      <c r="M17" s="155">
        <v>0.21637296344918799</v>
      </c>
      <c r="N17" s="155">
        <v>9.0442122221932306E-2</v>
      </c>
      <c r="O17" s="155">
        <v>0.6</v>
      </c>
      <c r="Q17" t="s">
        <v>698</v>
      </c>
      <c r="R17" s="157" t="s">
        <v>4</v>
      </c>
      <c r="S17" s="165">
        <v>0.91</v>
      </c>
      <c r="T17" s="166">
        <v>0.14169999999999999</v>
      </c>
      <c r="U17" s="166">
        <v>0.48592999999999997</v>
      </c>
      <c r="V17" s="166">
        <v>9.6509999999999999E-2</v>
      </c>
      <c r="W17" s="166">
        <v>1.1521600000000001</v>
      </c>
      <c r="X17" s="166">
        <v>0.13206499097347599</v>
      </c>
      <c r="Y17" s="166">
        <v>0.34422999999999998</v>
      </c>
      <c r="Z17" s="166">
        <v>1.70189476452026</v>
      </c>
      <c r="AA17" s="166">
        <v>3.03592566410761</v>
      </c>
      <c r="AB17" s="166">
        <v>0.34396279977835997</v>
      </c>
      <c r="AC17" s="166">
        <v>0.25508551667113499</v>
      </c>
      <c r="AD17" s="166">
        <v>8.8877283107224897E-2</v>
      </c>
      <c r="AE17" s="166">
        <v>0.65660377358490596</v>
      </c>
    </row>
    <row r="18" spans="1:31">
      <c r="A18" s="154" t="s">
        <v>10</v>
      </c>
      <c r="B18" s="50" t="s">
        <v>5</v>
      </c>
      <c r="C18" s="50">
        <v>1.33</v>
      </c>
      <c r="D18" s="155">
        <v>3.6099999999999999E-3</v>
      </c>
      <c r="E18" s="155">
        <v>0.37079000000000001</v>
      </c>
      <c r="F18" s="155">
        <v>2.0979999999999999E-2</v>
      </c>
      <c r="G18" s="155">
        <v>1.1929799999999999</v>
      </c>
      <c r="H18" s="155">
        <v>0.161762980100253</v>
      </c>
      <c r="I18" s="155">
        <v>0.36718000000000001</v>
      </c>
      <c r="J18" s="155">
        <v>1.4797866217926801</v>
      </c>
      <c r="K18" s="155">
        <v>3.04670424640927</v>
      </c>
      <c r="L18" s="155">
        <v>0.25174036865759902</v>
      </c>
      <c r="M18" s="155">
        <v>0.124127113019009</v>
      </c>
      <c r="N18" s="155">
        <v>0.12761325563859</v>
      </c>
      <c r="O18" s="155">
        <v>0.49811320754716998</v>
      </c>
      <c r="R18" s="157" t="s">
        <v>5</v>
      </c>
      <c r="S18" s="165">
        <v>1.32</v>
      </c>
      <c r="T18" s="166">
        <v>0.18729999999999999</v>
      </c>
      <c r="U18" s="166">
        <v>0.38308999999999999</v>
      </c>
      <c r="V18" s="166">
        <v>5.6299999999999996E-3</v>
      </c>
      <c r="W18" s="166">
        <v>1.14039</v>
      </c>
      <c r="X18" s="166">
        <v>0.123107007251905</v>
      </c>
      <c r="Y18" s="166">
        <v>0.19578999999999999</v>
      </c>
      <c r="Z18" s="166">
        <v>1.1480185284163</v>
      </c>
      <c r="AA18" s="166">
        <v>1.87091175436195</v>
      </c>
      <c r="AB18" s="166">
        <v>0.35784602792003201</v>
      </c>
      <c r="AC18" s="166">
        <v>0.29194951088340898</v>
      </c>
      <c r="AD18" s="166">
        <v>6.5896517036622096E-2</v>
      </c>
      <c r="AE18" s="166">
        <v>0.50188679245282997</v>
      </c>
    </row>
    <row r="19" spans="1:31">
      <c r="A19" s="154" t="s">
        <v>160</v>
      </c>
      <c r="B19" s="50" t="s">
        <v>4</v>
      </c>
      <c r="C19" s="50">
        <v>0.9</v>
      </c>
      <c r="D19" s="155">
        <v>3.3329999999999999E-2</v>
      </c>
      <c r="E19" s="155">
        <v>0.45850999999999997</v>
      </c>
      <c r="F19" s="155">
        <v>6.7150000000000001E-2</v>
      </c>
      <c r="G19" s="155">
        <v>1.25421</v>
      </c>
      <c r="H19" s="155">
        <v>0.202685355721929</v>
      </c>
      <c r="I19" s="155">
        <v>0.42518</v>
      </c>
      <c r="J19" s="155">
        <v>2.2171411271879</v>
      </c>
      <c r="K19" s="155">
        <v>5.8304301377681496</v>
      </c>
      <c r="L19" s="155">
        <v>0.225099479527573</v>
      </c>
      <c r="M19" s="155">
        <v>0.106254293740488</v>
      </c>
      <c r="N19" s="155">
        <v>0.118845185787085</v>
      </c>
      <c r="O19" s="155">
        <v>0.660377358490566</v>
      </c>
      <c r="R19" t="s">
        <v>699</v>
      </c>
      <c r="S19" s="167">
        <f>AVERAGE(S6:S7)</f>
        <v>1.115</v>
      </c>
      <c r="T19" s="168">
        <f t="shared" ref="T19:AE19" si="0">AVERAGE(T6:T7)</f>
        <v>0.16449999999999998</v>
      </c>
      <c r="U19" s="168">
        <f t="shared" si="0"/>
        <v>0.43450999999999995</v>
      </c>
      <c r="V19" s="168">
        <f t="shared" si="0"/>
        <v>5.1069999999999997E-2</v>
      </c>
      <c r="W19" s="168">
        <f t="shared" si="0"/>
        <v>1.1462750000000002</v>
      </c>
      <c r="X19" s="168">
        <f t="shared" si="0"/>
        <v>0.1275859991126905</v>
      </c>
      <c r="Y19" s="168">
        <f t="shared" si="0"/>
        <v>0.27000999999999997</v>
      </c>
      <c r="Z19" s="168">
        <f t="shared" si="0"/>
        <v>1.4249566464682801</v>
      </c>
      <c r="AA19" s="168">
        <f t="shared" si="0"/>
        <v>2.4534187092347799</v>
      </c>
      <c r="AB19" s="168">
        <f t="shared" si="0"/>
        <v>0.35090441384919602</v>
      </c>
      <c r="AC19" s="168">
        <f t="shared" si="0"/>
        <v>0.27351751377727196</v>
      </c>
      <c r="AD19" s="168">
        <f t="shared" si="0"/>
        <v>7.7386900071923503E-2</v>
      </c>
      <c r="AE19" s="168">
        <f t="shared" si="0"/>
        <v>0.57924528301886791</v>
      </c>
    </row>
    <row r="20" spans="1:31">
      <c r="A20" s="154" t="s">
        <v>160</v>
      </c>
      <c r="B20" s="50" t="s">
        <v>5</v>
      </c>
      <c r="C20" s="50">
        <v>1.22</v>
      </c>
      <c r="D20" s="155">
        <v>4.4859999999999997E-2</v>
      </c>
      <c r="E20" s="155">
        <v>0.36520000000000002</v>
      </c>
      <c r="F20" s="155">
        <v>2.588E-2</v>
      </c>
      <c r="G20" s="155">
        <v>1.2608299999999999</v>
      </c>
      <c r="H20" s="155">
        <v>0.20687166390393599</v>
      </c>
      <c r="I20" s="155">
        <v>0.32034000000000001</v>
      </c>
      <c r="J20" s="155">
        <v>1.78111379492504</v>
      </c>
      <c r="K20" s="155">
        <v>4.76067103295994</v>
      </c>
      <c r="L20" s="155">
        <v>0.22471375269831201</v>
      </c>
      <c r="M20" s="155">
        <v>0.1121488333981</v>
      </c>
      <c r="N20" s="155">
        <v>0.11256491930021199</v>
      </c>
      <c r="O20" s="155">
        <v>0.53962264150943395</v>
      </c>
      <c r="Q20" t="s">
        <v>700</v>
      </c>
      <c r="R20" s="157" t="s">
        <v>4</v>
      </c>
      <c r="S20" s="167">
        <f>AVERAGE(S8,S10,S12)</f>
        <v>1.1333333333333333</v>
      </c>
      <c r="T20" s="168">
        <f t="shared" ref="T20:AE21" si="1">AVERAGE(T8,T10,T12)</f>
        <v>0.17779999999999999</v>
      </c>
      <c r="U20" s="168">
        <f t="shared" si="1"/>
        <v>0.44226999999999994</v>
      </c>
      <c r="V20" s="168">
        <f t="shared" si="1"/>
        <v>4.4729999999999999E-2</v>
      </c>
      <c r="W20" s="168">
        <f t="shared" si="1"/>
        <v>1.1351633333333333</v>
      </c>
      <c r="X20" s="168">
        <f t="shared" si="1"/>
        <v>0.11883404268002533</v>
      </c>
      <c r="Y20" s="168">
        <f t="shared" si="1"/>
        <v>0.26446999999999998</v>
      </c>
      <c r="Z20" s="168">
        <f t="shared" si="1"/>
        <v>1.3507610611424232</v>
      </c>
      <c r="AA20" s="168">
        <f t="shared" si="1"/>
        <v>2.2221447107412367</v>
      </c>
      <c r="AB20" s="168">
        <f t="shared" si="1"/>
        <v>0.37336475027721833</v>
      </c>
      <c r="AC20" s="168">
        <f t="shared" si="1"/>
        <v>0.29653365345792237</v>
      </c>
      <c r="AD20" s="168">
        <f t="shared" si="1"/>
        <v>7.6831096819296021E-2</v>
      </c>
      <c r="AE20" s="168">
        <f t="shared" si="1"/>
        <v>0.57232704402515733</v>
      </c>
    </row>
    <row r="21" spans="1:31">
      <c r="A21" s="154" t="s">
        <v>11</v>
      </c>
      <c r="B21" s="50" t="s">
        <v>4</v>
      </c>
      <c r="C21" s="50">
        <v>0.82</v>
      </c>
      <c r="D21" s="155">
        <v>3.8190000000000002E-2</v>
      </c>
      <c r="E21" s="155">
        <v>0.50385999999999997</v>
      </c>
      <c r="F21" s="155">
        <v>0.16847000000000001</v>
      </c>
      <c r="G21" s="155">
        <v>1.2279500000000001</v>
      </c>
      <c r="H21" s="155">
        <v>0.185634594242437</v>
      </c>
      <c r="I21" s="155">
        <v>0.46566999999999997</v>
      </c>
      <c r="J21" s="155">
        <v>2.5126409712598101</v>
      </c>
      <c r="K21" s="155">
        <v>5.9931635734092001</v>
      </c>
      <c r="L21" s="155">
        <v>0.22352089499313499</v>
      </c>
      <c r="M21" s="155">
        <v>0.115890198617323</v>
      </c>
      <c r="N21" s="155">
        <v>0.107630696375812</v>
      </c>
      <c r="O21" s="155">
        <v>0.69056603773584901</v>
      </c>
      <c r="R21" s="157" t="s">
        <v>5</v>
      </c>
      <c r="S21" s="167">
        <f>AVERAGE(S9,S11,S13)</f>
        <v>1.3</v>
      </c>
      <c r="T21" s="168">
        <f>AVERAGE(T9,T11,T13)</f>
        <v>0.20193333333333333</v>
      </c>
      <c r="U21" s="168">
        <f t="shared" si="1"/>
        <v>0.41409333333333337</v>
      </c>
      <c r="V21" s="168">
        <f t="shared" si="1"/>
        <v>1.2903333333333334E-2</v>
      </c>
      <c r="W21" s="168">
        <f t="shared" si="1"/>
        <v>1.1207133333333335</v>
      </c>
      <c r="X21" s="168">
        <f t="shared" si="1"/>
        <v>0.10729976765025066</v>
      </c>
      <c r="Y21" s="168">
        <f t="shared" si="1"/>
        <v>0.21215999999999999</v>
      </c>
      <c r="Z21" s="168">
        <f t="shared" si="1"/>
        <v>1.1960512990404166</v>
      </c>
      <c r="AA21" s="168">
        <f t="shared" si="1"/>
        <v>1.8551333800480234</v>
      </c>
      <c r="AB21" s="168">
        <f t="shared" si="1"/>
        <v>0.37924242373565104</v>
      </c>
      <c r="AC21" s="168">
        <f t="shared" si="1"/>
        <v>0.31677414647170171</v>
      </c>
      <c r="AD21" s="168">
        <f t="shared" si="1"/>
        <v>6.2468277263949663E-2</v>
      </c>
      <c r="AE21" s="168">
        <f t="shared" si="1"/>
        <v>0.50943396226415105</v>
      </c>
    </row>
    <row r="22" spans="1:31">
      <c r="A22" s="154" t="s">
        <v>11</v>
      </c>
      <c r="B22" s="50" t="s">
        <v>5</v>
      </c>
      <c r="C22" s="50">
        <v>1.26</v>
      </c>
      <c r="D22" s="155">
        <v>7.6609999999999998E-2</v>
      </c>
      <c r="E22" s="155">
        <v>0.38824999999999998</v>
      </c>
      <c r="F22" s="155">
        <v>2.4389999999999998E-2</v>
      </c>
      <c r="G22" s="155">
        <v>1.4436800000000001</v>
      </c>
      <c r="H22" s="155">
        <v>0.30732572315194501</v>
      </c>
      <c r="I22" s="155">
        <v>0.31163999999999997</v>
      </c>
      <c r="J22" s="155">
        <v>2.5797655933200501</v>
      </c>
      <c r="K22" s="155">
        <v>13.8437498243413</v>
      </c>
      <c r="L22" s="155">
        <v>0.19741167314695099</v>
      </c>
      <c r="M22" s="155">
        <v>9.9121241820626205E-2</v>
      </c>
      <c r="N22" s="155">
        <v>9.8290431326325298E-2</v>
      </c>
      <c r="O22" s="155">
        <v>0.524528301886792</v>
      </c>
      <c r="R22" t="s">
        <v>699</v>
      </c>
      <c r="S22" s="167">
        <f>AVERAGE(S8:S13)</f>
        <v>1.2166666666666668</v>
      </c>
      <c r="T22" s="168">
        <f t="shared" ref="T22:AE22" si="2">AVERAGE(T8:T13)</f>
        <v>0.18986666666666666</v>
      </c>
      <c r="U22" s="168">
        <f t="shared" si="2"/>
        <v>0.42818166666666663</v>
      </c>
      <c r="V22" s="168">
        <f t="shared" si="2"/>
        <v>2.8816666666666668E-2</v>
      </c>
      <c r="W22" s="168">
        <f t="shared" si="2"/>
        <v>1.1279383333333333</v>
      </c>
      <c r="X22" s="168">
        <f t="shared" si="2"/>
        <v>0.113066905165138</v>
      </c>
      <c r="Y22" s="168">
        <f t="shared" si="2"/>
        <v>0.23831499999999997</v>
      </c>
      <c r="Z22" s="168">
        <f t="shared" si="2"/>
        <v>1.2734061800914198</v>
      </c>
      <c r="AA22" s="168">
        <f t="shared" si="2"/>
        <v>2.0386390453946301</v>
      </c>
      <c r="AB22" s="168">
        <f t="shared" si="2"/>
        <v>0.37630358700643463</v>
      </c>
      <c r="AC22" s="168">
        <f t="shared" si="2"/>
        <v>0.30665389996481202</v>
      </c>
      <c r="AD22" s="168">
        <f t="shared" si="2"/>
        <v>6.9649687041622846E-2</v>
      </c>
      <c r="AE22" s="168">
        <f t="shared" si="2"/>
        <v>0.54088050314465408</v>
      </c>
    </row>
    <row r="23" spans="1:31">
      <c r="A23" s="154" t="s">
        <v>158</v>
      </c>
      <c r="B23" s="50" t="s">
        <v>4</v>
      </c>
      <c r="C23" s="50">
        <v>0.62</v>
      </c>
      <c r="D23" s="155">
        <v>5.287E-2</v>
      </c>
      <c r="E23" s="155">
        <v>0.54788999999999999</v>
      </c>
      <c r="F23" s="155">
        <v>0.25933</v>
      </c>
      <c r="G23" s="155">
        <v>1.2273099999999999</v>
      </c>
      <c r="H23" s="155">
        <v>0.18520993066136501</v>
      </c>
      <c r="I23" s="155">
        <v>0.49502000000000002</v>
      </c>
      <c r="J23" s="155">
        <v>2.7628590668917399</v>
      </c>
      <c r="K23" s="155">
        <v>6.5773758829482096</v>
      </c>
      <c r="L23" s="155">
        <v>0.23203947191841601</v>
      </c>
      <c r="M23" s="155">
        <v>0.12813101728248999</v>
      </c>
      <c r="N23" s="155">
        <v>0.103908454635926</v>
      </c>
      <c r="O23" s="155">
        <v>0.76603773584905699</v>
      </c>
    </row>
    <row r="24" spans="1:31">
      <c r="A24" s="154" t="s">
        <v>158</v>
      </c>
      <c r="B24" s="50" t="s">
        <v>5</v>
      </c>
      <c r="C24" s="50">
        <v>1.1599999999999999</v>
      </c>
      <c r="D24" s="155">
        <v>4.4639999999999999E-2</v>
      </c>
      <c r="E24" s="155">
        <v>0.42115999999999998</v>
      </c>
      <c r="F24" s="155">
        <v>3.075E-2</v>
      </c>
      <c r="G24" s="155">
        <v>1.2084999999999999</v>
      </c>
      <c r="H24" s="155">
        <v>0.17252792718245799</v>
      </c>
      <c r="I24" s="155">
        <v>0.37652000000000002</v>
      </c>
      <c r="J24" s="155">
        <v>1.6435636410551</v>
      </c>
      <c r="K24" s="155">
        <v>3.6085035107321701</v>
      </c>
      <c r="L24" s="155">
        <v>0.27372756959255301</v>
      </c>
      <c r="M24" s="155">
        <v>0.148982423079312</v>
      </c>
      <c r="N24" s="155">
        <v>0.12474514651324101</v>
      </c>
      <c r="O24" s="155">
        <v>0.56226415094339599</v>
      </c>
    </row>
    <row r="25" spans="1:31">
      <c r="A25" s="154" t="s">
        <v>163</v>
      </c>
      <c r="B25" s="50" t="s">
        <v>4</v>
      </c>
      <c r="C25" s="50">
        <v>1.02</v>
      </c>
      <c r="D25" s="155">
        <v>1.3729999999999999E-2</v>
      </c>
      <c r="E25" s="155">
        <v>0.48071999999999998</v>
      </c>
      <c r="F25" s="155">
        <v>0.11927</v>
      </c>
      <c r="G25" s="155">
        <v>1.2134</v>
      </c>
      <c r="H25" s="155">
        <v>0.175869457722103</v>
      </c>
      <c r="I25" s="155">
        <v>0.46699000000000002</v>
      </c>
      <c r="J25" s="155">
        <v>2.20249405301819</v>
      </c>
      <c r="K25" s="155">
        <v>4.9660820456243604</v>
      </c>
      <c r="L25" s="155">
        <v>0.22575781426812899</v>
      </c>
      <c r="M25" s="155">
        <v>0.107765901080504</v>
      </c>
      <c r="N25" s="155">
        <v>0.117991913187625</v>
      </c>
      <c r="O25" s="155">
        <v>0.61509433962264104</v>
      </c>
    </row>
    <row r="26" spans="1:31">
      <c r="A26" s="154" t="s">
        <v>163</v>
      </c>
      <c r="B26" s="50" t="s">
        <v>5</v>
      </c>
      <c r="C26" s="50">
        <v>1.26</v>
      </c>
      <c r="D26" s="155">
        <v>7.7960000000000002E-2</v>
      </c>
      <c r="E26" s="155">
        <v>0.38352000000000003</v>
      </c>
      <c r="F26" s="155">
        <v>2.5049999999999999E-2</v>
      </c>
      <c r="G26" s="155">
        <v>1.47624</v>
      </c>
      <c r="H26" s="155">
        <v>0.322603370725627</v>
      </c>
      <c r="I26" s="155">
        <v>0.30556</v>
      </c>
      <c r="J26" s="155">
        <v>2.7957680681243202</v>
      </c>
      <c r="K26" s="155">
        <v>17.002871134396401</v>
      </c>
      <c r="L26" s="155">
        <v>0.187253758478685</v>
      </c>
      <c r="M26" s="155">
        <v>9.5931082506286805E-2</v>
      </c>
      <c r="N26" s="155">
        <v>9.1322675972398598E-2</v>
      </c>
      <c r="O26" s="155">
        <v>0.524528301886792</v>
      </c>
    </row>
    <row r="27" spans="1:31">
      <c r="A27" s="154" t="s">
        <v>164</v>
      </c>
      <c r="B27" s="50" t="s">
        <v>4</v>
      </c>
      <c r="C27" s="50">
        <v>1.1499999999999999</v>
      </c>
      <c r="D27" s="155">
        <v>8.8299999999999993E-3</v>
      </c>
      <c r="E27" s="155">
        <v>0.42538999999999999</v>
      </c>
      <c r="F27" s="155">
        <v>7.5160000000000005E-2</v>
      </c>
      <c r="G27" s="155">
        <v>1.21011</v>
      </c>
      <c r="H27" s="155">
        <v>0.17362884365884099</v>
      </c>
      <c r="I27" s="155">
        <v>0.41655999999999999</v>
      </c>
      <c r="J27" s="155">
        <v>1.9776197588595901</v>
      </c>
      <c r="K27" s="155">
        <v>4.39697119458347</v>
      </c>
      <c r="L27" s="155">
        <v>0.21946705403116201</v>
      </c>
      <c r="M27" s="155">
        <v>0.103567941543295</v>
      </c>
      <c r="N27" s="155">
        <v>0.115899112487867</v>
      </c>
      <c r="O27" s="155">
        <v>0.56603773584905703</v>
      </c>
    </row>
    <row r="28" spans="1:31">
      <c r="A28" s="154" t="s">
        <v>164</v>
      </c>
      <c r="B28" s="50" t="s">
        <v>5</v>
      </c>
      <c r="C28" s="50">
        <v>1.47</v>
      </c>
      <c r="D28" s="155">
        <v>6.5710000000000005E-2</v>
      </c>
      <c r="E28" s="155">
        <v>0.33204</v>
      </c>
      <c r="F28" s="155">
        <v>5.0699999999999999E-3</v>
      </c>
      <c r="G28" s="155">
        <v>1.4377500000000001</v>
      </c>
      <c r="H28" s="155">
        <v>0.304468788036863</v>
      </c>
      <c r="I28" s="155">
        <v>0.26633000000000001</v>
      </c>
      <c r="J28" s="155">
        <v>1.41826580832774</v>
      </c>
      <c r="K28" s="155">
        <v>6.7234688373492197</v>
      </c>
      <c r="L28" s="155">
        <v>0.25349567348671098</v>
      </c>
      <c r="M28" s="155">
        <v>0.10532199292254101</v>
      </c>
      <c r="N28" s="155">
        <v>0.14817368056416999</v>
      </c>
      <c r="O28" s="155">
        <v>0.44528301886792498</v>
      </c>
    </row>
    <row r="29" spans="1:31">
      <c r="A29" s="154" t="s">
        <v>167</v>
      </c>
      <c r="B29" s="50" t="s">
        <v>4</v>
      </c>
      <c r="C29" s="50">
        <v>1.04</v>
      </c>
      <c r="D29" s="155">
        <v>0.158</v>
      </c>
      <c r="E29" s="155">
        <v>0.46971000000000002</v>
      </c>
      <c r="F29" s="155">
        <v>2.196E-2</v>
      </c>
      <c r="G29" s="155">
        <v>1.17204</v>
      </c>
      <c r="H29" s="155">
        <v>0.146786799085355</v>
      </c>
      <c r="I29" s="155">
        <v>0.31170999999999999</v>
      </c>
      <c r="J29" s="155">
        <v>1.4294700094419599</v>
      </c>
      <c r="K29" s="155">
        <v>2.72111698593076</v>
      </c>
      <c r="L29" s="155">
        <v>0.37605983892007999</v>
      </c>
      <c r="M29" s="155">
        <v>0.27255222308032401</v>
      </c>
      <c r="N29" s="155">
        <v>0.103507615839756</v>
      </c>
      <c r="O29" s="155">
        <v>0.60754716981132095</v>
      </c>
    </row>
    <row r="30" spans="1:31">
      <c r="A30" s="154" t="s">
        <v>167</v>
      </c>
      <c r="B30" s="50" t="s">
        <v>5</v>
      </c>
      <c r="C30" s="50">
        <v>1.27</v>
      </c>
      <c r="D30" s="155">
        <v>0.1542</v>
      </c>
      <c r="E30" s="155">
        <v>0.41222999999999999</v>
      </c>
      <c r="F30" s="155">
        <v>1.0880000000000001E-2</v>
      </c>
      <c r="G30" s="155">
        <v>1.1785099999999999</v>
      </c>
      <c r="H30" s="155">
        <v>0.15147092515124999</v>
      </c>
      <c r="I30" s="155">
        <v>0.25802999999999998</v>
      </c>
      <c r="J30" s="155">
        <v>1.29842408115458</v>
      </c>
      <c r="K30" s="155">
        <v>2.4930834686986199</v>
      </c>
      <c r="L30" s="155">
        <v>0.35292551945474998</v>
      </c>
      <c r="M30" s="155">
        <v>0.25769833980275503</v>
      </c>
      <c r="N30" s="155">
        <v>9.5227179651995494E-2</v>
      </c>
      <c r="O30" s="155">
        <v>0.52075471698113196</v>
      </c>
    </row>
    <row r="31" spans="1:31" ht="15.75" thickBot="1"/>
    <row r="32" spans="1:31" ht="15.75">
      <c r="A32" s="848" t="s">
        <v>0</v>
      </c>
      <c r="B32" s="848" t="s">
        <v>1</v>
      </c>
      <c r="C32" s="170" t="s">
        <v>681</v>
      </c>
      <c r="D32" s="848" t="s">
        <v>682</v>
      </c>
      <c r="E32" s="849" t="s">
        <v>683</v>
      </c>
      <c r="F32" s="848" t="s">
        <v>684</v>
      </c>
      <c r="G32" s="848" t="s">
        <v>685</v>
      </c>
      <c r="H32" s="848" t="s">
        <v>686</v>
      </c>
      <c r="I32" s="848" t="s">
        <v>687</v>
      </c>
      <c r="J32" s="848" t="s">
        <v>688</v>
      </c>
      <c r="K32" s="848" t="s">
        <v>689</v>
      </c>
      <c r="L32" s="170" t="s">
        <v>704</v>
      </c>
      <c r="M32" s="170" t="s">
        <v>691</v>
      </c>
      <c r="N32" s="170" t="s">
        <v>692</v>
      </c>
      <c r="O32" s="848" t="s">
        <v>2</v>
      </c>
      <c r="P32" s="848"/>
      <c r="Q32" s="846" t="s">
        <v>693</v>
      </c>
    </row>
    <row r="33" spans="1:17" ht="16.5" thickBot="1">
      <c r="A33" s="847"/>
      <c r="B33" s="847"/>
      <c r="C33" s="171" t="s">
        <v>694</v>
      </c>
      <c r="D33" s="847"/>
      <c r="E33" s="847"/>
      <c r="F33" s="847"/>
      <c r="G33" s="847"/>
      <c r="H33" s="847"/>
      <c r="I33" s="847"/>
      <c r="J33" s="847"/>
      <c r="K33" s="847"/>
      <c r="L33" s="172" t="s">
        <v>695</v>
      </c>
      <c r="M33" s="172" t="s">
        <v>696</v>
      </c>
      <c r="N33" s="172" t="s">
        <v>697</v>
      </c>
      <c r="O33" s="847" t="s">
        <v>705</v>
      </c>
      <c r="P33" s="847"/>
      <c r="Q33" s="846"/>
    </row>
    <row r="34" spans="1:17" ht="15.75">
      <c r="A34" s="173" t="s">
        <v>3</v>
      </c>
      <c r="B34" s="173" t="s">
        <v>4</v>
      </c>
      <c r="C34" s="174">
        <v>1.1499999999999999</v>
      </c>
      <c r="D34" s="173">
        <v>5.6469999999999999E-2</v>
      </c>
      <c r="E34" s="173">
        <v>0.39494000000000001</v>
      </c>
      <c r="F34" s="173">
        <v>1.0829999999999999E-2</v>
      </c>
      <c r="G34" s="173">
        <v>1.35893</v>
      </c>
      <c r="H34" s="173">
        <f>1-1/G34</f>
        <v>0.26412692338825394</v>
      </c>
      <c r="I34" s="173">
        <f>E34-D34</f>
        <v>0.33846999999999999</v>
      </c>
      <c r="J34" s="173">
        <f>(1+(F34*336)^G34)^H34</f>
        <v>1.6582023390942995</v>
      </c>
      <c r="K34" s="173">
        <f>(1+(F34*15310)^G34)^H34</f>
        <v>6.2631493928881898</v>
      </c>
      <c r="L34" s="173">
        <f>D34+I34/J34</f>
        <v>0.2605886362002543</v>
      </c>
      <c r="M34" s="173">
        <f>D34+I34/K34</f>
        <v>0.11051150192941794</v>
      </c>
      <c r="N34" s="173">
        <f>L34-M34</f>
        <v>0.15007713427083635</v>
      </c>
      <c r="O34" s="173">
        <v>1.88</v>
      </c>
      <c r="P34" s="173">
        <v>1.32</v>
      </c>
      <c r="Q34" s="175">
        <f>(2.65-C34)/2.65</f>
        <v>0.56603773584905659</v>
      </c>
    </row>
    <row r="35" spans="1:17" ht="15.75">
      <c r="A35" s="176" t="s">
        <v>3</v>
      </c>
      <c r="B35" s="173" t="s">
        <v>5</v>
      </c>
      <c r="C35" s="173">
        <v>1.24</v>
      </c>
      <c r="D35" s="177">
        <v>0.1053</v>
      </c>
      <c r="E35" s="173">
        <v>0.3654</v>
      </c>
      <c r="F35" s="173">
        <v>1.404E-2</v>
      </c>
      <c r="G35" s="173">
        <v>1.2215100000000001</v>
      </c>
      <c r="H35" s="173">
        <f t="shared" ref="H35:H65" si="3">1-1/G35</f>
        <v>0.18134112696580473</v>
      </c>
      <c r="I35" s="173">
        <f t="shared" ref="I35:I65" si="4">E35-D35</f>
        <v>0.2601</v>
      </c>
      <c r="J35" s="173">
        <f t="shared" ref="J35:J65" si="5">(1+(F35*336)^G35)^H35</f>
        <v>1.4463142789256191</v>
      </c>
      <c r="K35" s="173">
        <f t="shared" ref="K35:K65" si="6">(1+(F35*15310)^G35)^H35</f>
        <v>3.2866130127713387</v>
      </c>
      <c r="L35" s="173">
        <f t="shared" ref="L35:L65" si="7">D35+I35/J35</f>
        <v>0.28513643236462605</v>
      </c>
      <c r="M35" s="173">
        <f t="shared" ref="M35:M65" si="8">D35+I35/K35</f>
        <v>0.18443922295971149</v>
      </c>
      <c r="N35" s="173">
        <f t="shared" ref="N35:N65" si="9">L35-M35</f>
        <v>0.10069720940491456</v>
      </c>
      <c r="O35" s="173">
        <v>0.34799999999999998</v>
      </c>
      <c r="P35" s="173">
        <v>0.34499999999999997</v>
      </c>
      <c r="Q35" s="175">
        <f t="shared" ref="Q35:Q65" si="10">(2.65-C35)/2.65</f>
        <v>0.5320754716981132</v>
      </c>
    </row>
    <row r="36" spans="1:17" ht="15.75">
      <c r="A36" s="176" t="s">
        <v>6</v>
      </c>
      <c r="B36" s="173" t="s">
        <v>4</v>
      </c>
      <c r="C36" s="173">
        <v>1.19</v>
      </c>
      <c r="D36" s="177">
        <v>0.1023</v>
      </c>
      <c r="E36" s="173">
        <v>0.40100000000000002</v>
      </c>
      <c r="F36" s="173">
        <v>4.6629999999999998E-2</v>
      </c>
      <c r="G36" s="173">
        <v>1.19126</v>
      </c>
      <c r="H36" s="173">
        <f t="shared" si="3"/>
        <v>0.16055269210751644</v>
      </c>
      <c r="I36" s="173">
        <f t="shared" si="4"/>
        <v>0.29870000000000002</v>
      </c>
      <c r="J36" s="173">
        <f t="shared" si="5"/>
        <v>1.7026976590818612</v>
      </c>
      <c r="K36" s="173">
        <f t="shared" si="6"/>
        <v>3.5141078997635624</v>
      </c>
      <c r="L36" s="173">
        <f t="shared" si="7"/>
        <v>0.27772750376544642</v>
      </c>
      <c r="M36" s="173">
        <f t="shared" si="8"/>
        <v>0.18730023576968063</v>
      </c>
      <c r="N36" s="173">
        <f t="shared" si="9"/>
        <v>9.0427267995765781E-2</v>
      </c>
      <c r="O36" s="173">
        <v>1.04</v>
      </c>
      <c r="P36" s="173"/>
      <c r="Q36" s="175">
        <f t="shared" si="10"/>
        <v>0.55094339622641508</v>
      </c>
    </row>
    <row r="37" spans="1:17" ht="15.75">
      <c r="A37" s="176" t="s">
        <v>6</v>
      </c>
      <c r="B37" s="173" t="s">
        <v>5</v>
      </c>
      <c r="C37" s="173">
        <v>1.35</v>
      </c>
      <c r="D37" s="177">
        <v>0.10009999999999999</v>
      </c>
      <c r="E37" s="173">
        <v>0.34182000000000001</v>
      </c>
      <c r="F37" s="173">
        <v>1.3390000000000001E-2</v>
      </c>
      <c r="G37" s="173">
        <v>1.20844</v>
      </c>
      <c r="H37" s="173">
        <f t="shared" si="3"/>
        <v>0.17248684254079638</v>
      </c>
      <c r="I37" s="173">
        <f t="shared" si="4"/>
        <v>0.24172000000000002</v>
      </c>
      <c r="J37" s="173">
        <f t="shared" si="5"/>
        <v>1.40414865243809</v>
      </c>
      <c r="K37" s="173">
        <f t="shared" si="6"/>
        <v>3.0337707335643134</v>
      </c>
      <c r="L37" s="173">
        <f t="shared" si="7"/>
        <v>0.27224701561710729</v>
      </c>
      <c r="M37" s="173">
        <f t="shared" si="8"/>
        <v>0.17977642291677337</v>
      </c>
      <c r="N37" s="173">
        <f t="shared" si="9"/>
        <v>9.247059270033392E-2</v>
      </c>
      <c r="O37" s="173">
        <v>0.47499999999999998</v>
      </c>
      <c r="P37" s="173">
        <v>0.56399999999999995</v>
      </c>
      <c r="Q37" s="175">
        <f t="shared" si="10"/>
        <v>0.490566037735849</v>
      </c>
    </row>
    <row r="38" spans="1:17" ht="15.75">
      <c r="A38" s="174" t="s">
        <v>7</v>
      </c>
      <c r="B38" s="173" t="s">
        <v>4</v>
      </c>
      <c r="C38" s="173">
        <v>1.0900000000000001</v>
      </c>
      <c r="D38" s="173">
        <v>6.787E-2</v>
      </c>
      <c r="E38" s="173">
        <v>0.45267000000000002</v>
      </c>
      <c r="F38" s="173">
        <v>4.2110000000000002E-2</v>
      </c>
      <c r="G38" s="173">
        <v>1.27186</v>
      </c>
      <c r="H38" s="173">
        <f t="shared" si="3"/>
        <v>0.21374994103124556</v>
      </c>
      <c r="I38" s="173">
        <f t="shared" si="4"/>
        <v>0.38480000000000003</v>
      </c>
      <c r="J38" s="173">
        <f t="shared" si="5"/>
        <v>2.0700211888363693</v>
      </c>
      <c r="K38" s="173">
        <f t="shared" si="6"/>
        <v>5.8046699482779269</v>
      </c>
      <c r="L38" s="173">
        <f t="shared" si="7"/>
        <v>0.25376181698971373</v>
      </c>
      <c r="M38" s="173">
        <f t="shared" si="8"/>
        <v>0.13416145212884306</v>
      </c>
      <c r="N38" s="173">
        <f t="shared" si="9"/>
        <v>0.11960036486087067</v>
      </c>
      <c r="O38" s="173"/>
      <c r="P38" s="173"/>
      <c r="Q38" s="175">
        <f t="shared" si="10"/>
        <v>0.58867924528301885</v>
      </c>
    </row>
    <row r="39" spans="1:17" ht="15.75">
      <c r="A39" s="174" t="s">
        <v>7</v>
      </c>
      <c r="B39" s="173" t="s">
        <v>5</v>
      </c>
      <c r="C39" s="173">
        <v>0.95</v>
      </c>
      <c r="D39" s="178">
        <v>6.7500000000000004E-2</v>
      </c>
      <c r="E39" s="178">
        <v>0.51141999999999999</v>
      </c>
      <c r="F39" s="178">
        <v>7.1330000000000005E-2</v>
      </c>
      <c r="G39" s="178">
        <v>1.3160499999999999</v>
      </c>
      <c r="H39" s="173">
        <f t="shared" si="3"/>
        <v>0.24015045021085824</v>
      </c>
      <c r="I39" s="173">
        <f t="shared" si="4"/>
        <v>0.44391999999999998</v>
      </c>
      <c r="J39" s="173">
        <f t="shared" si="5"/>
        <v>2.7391049270396031</v>
      </c>
      <c r="K39" s="173">
        <f t="shared" si="6"/>
        <v>9.1253296237965635</v>
      </c>
      <c r="L39" s="173">
        <f t="shared" si="7"/>
        <v>0.22956754097579762</v>
      </c>
      <c r="M39" s="173">
        <f t="shared" si="8"/>
        <v>0.11614700983977262</v>
      </c>
      <c r="N39" s="173">
        <f t="shared" si="9"/>
        <v>0.113420531136025</v>
      </c>
      <c r="O39" s="173"/>
      <c r="P39" s="173"/>
      <c r="Q39" s="175">
        <f t="shared" si="10"/>
        <v>0.64150943396226412</v>
      </c>
    </row>
    <row r="40" spans="1:17" ht="15.75">
      <c r="A40" s="173" t="s">
        <v>8</v>
      </c>
      <c r="B40" s="173" t="s">
        <v>4</v>
      </c>
      <c r="C40" s="173">
        <v>1.34</v>
      </c>
      <c r="D40" s="173">
        <v>5.484E-2</v>
      </c>
      <c r="E40" s="173">
        <v>0.31791999999999998</v>
      </c>
      <c r="F40" s="173">
        <v>8.5100000000000002E-3</v>
      </c>
      <c r="G40" s="173">
        <v>1.47628</v>
      </c>
      <c r="H40" s="173">
        <f t="shared" si="3"/>
        <v>0.32262172487603979</v>
      </c>
      <c r="I40" s="173">
        <f t="shared" si="4"/>
        <v>0.26307999999999998</v>
      </c>
      <c r="J40" s="173">
        <f t="shared" si="5"/>
        <v>1.7549154526768178</v>
      </c>
      <c r="K40" s="173">
        <f t="shared" si="6"/>
        <v>10.17167666028997</v>
      </c>
      <c r="L40" s="173">
        <f t="shared" si="7"/>
        <v>0.20475035585145557</v>
      </c>
      <c r="M40" s="173">
        <f t="shared" si="8"/>
        <v>8.0703975899574079E-2</v>
      </c>
      <c r="N40" s="173">
        <f t="shared" si="9"/>
        <v>0.12404637995188149</v>
      </c>
      <c r="O40" s="173">
        <v>2.9</v>
      </c>
      <c r="P40" s="173"/>
      <c r="Q40" s="175">
        <f t="shared" si="10"/>
        <v>0.49433962264150938</v>
      </c>
    </row>
    <row r="41" spans="1:17" ht="15.75">
      <c r="A41" s="173" t="s">
        <v>8</v>
      </c>
      <c r="B41" s="173" t="s">
        <v>5</v>
      </c>
      <c r="C41" s="173">
        <v>1.4</v>
      </c>
      <c r="D41" s="173">
        <v>5.8630000000000002E-2</v>
      </c>
      <c r="E41" s="173">
        <v>0.31516</v>
      </c>
      <c r="F41" s="173">
        <v>5.62E-3</v>
      </c>
      <c r="G41" s="173">
        <v>1.4570799999999999</v>
      </c>
      <c r="H41" s="173">
        <f t="shared" si="3"/>
        <v>0.31369588492052591</v>
      </c>
      <c r="I41" s="173">
        <f t="shared" si="4"/>
        <v>0.25652999999999998</v>
      </c>
      <c r="J41" s="173">
        <f t="shared" si="5"/>
        <v>1.4847119480729263</v>
      </c>
      <c r="K41" s="173">
        <f t="shared" si="6"/>
        <v>7.6652167889196434</v>
      </c>
      <c r="L41" s="173">
        <f t="shared" si="7"/>
        <v>0.23141098982968494</v>
      </c>
      <c r="M41" s="173">
        <f t="shared" si="8"/>
        <v>9.2096763832540743E-2</v>
      </c>
      <c r="N41" s="173">
        <f t="shared" si="9"/>
        <v>0.13931422599714421</v>
      </c>
      <c r="O41" s="173">
        <v>1.48</v>
      </c>
      <c r="P41" s="173">
        <v>0.80600000000000005</v>
      </c>
      <c r="Q41" s="175">
        <f t="shared" si="10"/>
        <v>0.47169811320754718</v>
      </c>
    </row>
    <row r="42" spans="1:17" ht="15.75">
      <c r="A42" s="174" t="s">
        <v>9</v>
      </c>
      <c r="B42" s="173" t="s">
        <v>4</v>
      </c>
      <c r="C42" s="173">
        <v>0.91</v>
      </c>
      <c r="D42" s="177">
        <v>0.14169999999999999</v>
      </c>
      <c r="E42" s="173">
        <v>0.48592999999999997</v>
      </c>
      <c r="F42" s="173">
        <v>9.6509999999999999E-2</v>
      </c>
      <c r="G42" s="173">
        <v>1.1521600000000001</v>
      </c>
      <c r="H42" s="173">
        <f t="shared" si="3"/>
        <v>0.13206499097347602</v>
      </c>
      <c r="I42" s="173">
        <f t="shared" si="4"/>
        <v>0.34422999999999998</v>
      </c>
      <c r="J42" s="173">
        <f t="shared" si="5"/>
        <v>1.7018947645202565</v>
      </c>
      <c r="K42" s="173">
        <f t="shared" si="6"/>
        <v>3.0359256641076056</v>
      </c>
      <c r="L42" s="173">
        <f t="shared" si="7"/>
        <v>0.34396279977836008</v>
      </c>
      <c r="M42" s="173">
        <f t="shared" si="8"/>
        <v>0.25508551667113516</v>
      </c>
      <c r="N42" s="173">
        <f t="shared" si="9"/>
        <v>8.8877283107224925E-2</v>
      </c>
      <c r="O42" s="173">
        <v>0.02</v>
      </c>
      <c r="P42" s="173"/>
      <c r="Q42" s="175">
        <f t="shared" si="10"/>
        <v>0.65660377358490563</v>
      </c>
    </row>
    <row r="43" spans="1:17" ht="15.75">
      <c r="A43" s="174" t="s">
        <v>9</v>
      </c>
      <c r="B43" s="173" t="s">
        <v>5</v>
      </c>
      <c r="C43" s="173">
        <v>1.32</v>
      </c>
      <c r="D43" s="177">
        <v>0.18729999999999999</v>
      </c>
      <c r="E43" s="173">
        <v>0.38308999999999999</v>
      </c>
      <c r="F43" s="173">
        <v>5.6299999999999996E-3</v>
      </c>
      <c r="G43" s="173">
        <v>1.14039</v>
      </c>
      <c r="H43" s="173">
        <f t="shared" si="3"/>
        <v>0.12310700725190504</v>
      </c>
      <c r="I43" s="173">
        <f t="shared" si="4"/>
        <v>0.19578999999999999</v>
      </c>
      <c r="J43" s="173">
        <f t="shared" si="5"/>
        <v>1.1480185284163005</v>
      </c>
      <c r="K43" s="173">
        <f t="shared" si="6"/>
        <v>1.870911754361954</v>
      </c>
      <c r="L43" s="173">
        <f t="shared" si="7"/>
        <v>0.35784602792003162</v>
      </c>
      <c r="M43" s="173">
        <f t="shared" si="8"/>
        <v>0.29194951088340948</v>
      </c>
      <c r="N43" s="173">
        <f t="shared" si="9"/>
        <v>6.5896517036622138E-2</v>
      </c>
      <c r="O43" s="173">
        <v>0.224</v>
      </c>
      <c r="P43" s="173">
        <v>0.124</v>
      </c>
      <c r="Q43" s="175">
        <f t="shared" si="10"/>
        <v>0.50188679245283019</v>
      </c>
    </row>
    <row r="44" spans="1:17" ht="15.75">
      <c r="A44" s="174">
        <v>17</v>
      </c>
      <c r="B44" s="173" t="s">
        <v>4</v>
      </c>
      <c r="C44" s="173">
        <v>0.93</v>
      </c>
      <c r="D44" s="177">
        <v>0.1943</v>
      </c>
      <c r="E44" s="178">
        <v>0.49886999999999998</v>
      </c>
      <c r="F44" s="178">
        <v>0.10337</v>
      </c>
      <c r="G44" s="178">
        <v>1.11442</v>
      </c>
      <c r="H44" s="173">
        <f t="shared" si="3"/>
        <v>0.10267224206313597</v>
      </c>
      <c r="I44" s="173">
        <f t="shared" si="4"/>
        <v>0.30457000000000001</v>
      </c>
      <c r="J44" s="173">
        <f t="shared" si="5"/>
        <v>1.5036201720916915</v>
      </c>
      <c r="K44" s="173">
        <f t="shared" si="6"/>
        <v>2.323186141901683</v>
      </c>
      <c r="L44" s="173">
        <f t="shared" si="7"/>
        <v>0.39685780392751158</v>
      </c>
      <c r="M44" s="173">
        <f t="shared" si="8"/>
        <v>0.32540012775415794</v>
      </c>
      <c r="N44" s="173">
        <f t="shared" si="9"/>
        <v>7.1457676173353635E-2</v>
      </c>
      <c r="O44" s="173"/>
      <c r="P44" s="173"/>
      <c r="Q44" s="175">
        <f t="shared" si="10"/>
        <v>0.64905660377358487</v>
      </c>
    </row>
    <row r="45" spans="1:17" ht="15.75">
      <c r="A45" s="173">
        <v>17</v>
      </c>
      <c r="B45" s="173" t="s">
        <v>5</v>
      </c>
      <c r="C45" s="173">
        <v>1.2</v>
      </c>
      <c r="D45" s="177">
        <v>0.247</v>
      </c>
      <c r="E45" s="173">
        <v>0.47835</v>
      </c>
      <c r="F45" s="173">
        <v>2.0279999999999999E-2</v>
      </c>
      <c r="G45" s="173">
        <v>1.0963700000000001</v>
      </c>
      <c r="H45" s="173">
        <f t="shared" si="3"/>
        <v>8.7899158130922972E-2</v>
      </c>
      <c r="I45" s="173">
        <f t="shared" si="4"/>
        <v>0.23135</v>
      </c>
      <c r="J45" s="173">
        <f t="shared" si="5"/>
        <v>1.2153713543260136</v>
      </c>
      <c r="K45" s="173">
        <f t="shared" si="6"/>
        <v>1.7387168232849421</v>
      </c>
      <c r="L45" s="173">
        <f t="shared" si="7"/>
        <v>0.43735334276764781</v>
      </c>
      <c r="M45" s="173">
        <f t="shared" si="8"/>
        <v>0.38005789470818629</v>
      </c>
      <c r="N45" s="173">
        <f t="shared" si="9"/>
        <v>5.7295448059461518E-2</v>
      </c>
      <c r="O45" s="173"/>
      <c r="P45" s="173"/>
      <c r="Q45" s="175">
        <f t="shared" si="10"/>
        <v>0.54716981132075471</v>
      </c>
    </row>
    <row r="46" spans="1:17" ht="15.75">
      <c r="A46" s="174" t="s">
        <v>10</v>
      </c>
      <c r="B46" s="173" t="s">
        <v>4</v>
      </c>
      <c r="C46" s="173">
        <v>1.06</v>
      </c>
      <c r="D46" s="177">
        <v>0.1216</v>
      </c>
      <c r="E46" s="178">
        <v>0.43567</v>
      </c>
      <c r="F46" s="178">
        <v>5.7700000000000001E-2</v>
      </c>
      <c r="G46" s="178">
        <v>1.1766099999999999</v>
      </c>
      <c r="H46" s="173">
        <f t="shared" si="3"/>
        <v>0.15010071306550166</v>
      </c>
      <c r="I46" s="173">
        <f t="shared" si="4"/>
        <v>0.31407000000000002</v>
      </c>
      <c r="J46" s="173">
        <f t="shared" si="5"/>
        <v>1.6957042071490969</v>
      </c>
      <c r="K46" s="173">
        <f t="shared" si="6"/>
        <v>3.3139197991670413</v>
      </c>
      <c r="L46" s="173">
        <f t="shared" si="7"/>
        <v>0.30681508567112081</v>
      </c>
      <c r="M46" s="173">
        <f t="shared" si="8"/>
        <v>0.21637296344918849</v>
      </c>
      <c r="N46" s="173">
        <f t="shared" si="9"/>
        <v>9.044212222193232E-2</v>
      </c>
      <c r="O46" s="173">
        <v>7.93</v>
      </c>
      <c r="P46" s="173">
        <v>6.05</v>
      </c>
      <c r="Q46" s="175">
        <f t="shared" si="10"/>
        <v>0.6</v>
      </c>
    </row>
    <row r="47" spans="1:17" ht="15.75">
      <c r="A47" s="174" t="s">
        <v>10</v>
      </c>
      <c r="B47" s="173" t="s">
        <v>5</v>
      </c>
      <c r="C47" s="173">
        <v>1.33</v>
      </c>
      <c r="D47" s="173">
        <v>3.6099999999999999E-3</v>
      </c>
      <c r="E47" s="178">
        <v>0.37079000000000001</v>
      </c>
      <c r="F47" s="178">
        <v>2.0979999999999999E-2</v>
      </c>
      <c r="G47" s="178">
        <v>1.1929799999999999</v>
      </c>
      <c r="H47" s="173">
        <f t="shared" si="3"/>
        <v>0.16176298010025314</v>
      </c>
      <c r="I47" s="173">
        <f t="shared" si="4"/>
        <v>0.36718000000000001</v>
      </c>
      <c r="J47" s="173">
        <f t="shared" si="5"/>
        <v>1.4797866217926763</v>
      </c>
      <c r="K47" s="173">
        <f t="shared" si="6"/>
        <v>3.0467042464092682</v>
      </c>
      <c r="L47" s="173">
        <f t="shared" si="7"/>
        <v>0.25174036865759913</v>
      </c>
      <c r="M47" s="173">
        <f t="shared" si="8"/>
        <v>0.12412711301900886</v>
      </c>
      <c r="N47" s="173">
        <f t="shared" si="9"/>
        <v>0.12761325563859027</v>
      </c>
      <c r="O47" s="173">
        <v>5.99</v>
      </c>
      <c r="P47" s="173">
        <v>6.35</v>
      </c>
      <c r="Q47" s="175">
        <f t="shared" si="10"/>
        <v>0.49811320754716976</v>
      </c>
    </row>
    <row r="48" spans="1:17" ht="15.75">
      <c r="A48" s="174" t="s">
        <v>160</v>
      </c>
      <c r="B48" s="173" t="s">
        <v>4</v>
      </c>
      <c r="C48" s="173">
        <v>0.9</v>
      </c>
      <c r="D48" s="178">
        <v>3.3329999999999999E-2</v>
      </c>
      <c r="E48" s="178">
        <v>0.45850999999999997</v>
      </c>
      <c r="F48" s="178">
        <v>6.7150000000000001E-2</v>
      </c>
      <c r="G48" s="178">
        <v>1.25421</v>
      </c>
      <c r="H48" s="173">
        <f t="shared" si="3"/>
        <v>0.20268535572192858</v>
      </c>
      <c r="I48" s="173">
        <f t="shared" si="4"/>
        <v>0.42518</v>
      </c>
      <c r="J48" s="173">
        <f t="shared" si="5"/>
        <v>2.2171411271878996</v>
      </c>
      <c r="K48" s="173">
        <f t="shared" si="6"/>
        <v>5.8304301377681478</v>
      </c>
      <c r="L48" s="173">
        <f t="shared" si="7"/>
        <v>0.22509947952757298</v>
      </c>
      <c r="M48" s="173">
        <f t="shared" si="8"/>
        <v>0.10625429374048828</v>
      </c>
      <c r="N48" s="173">
        <f t="shared" si="9"/>
        <v>0.1188451857870847</v>
      </c>
      <c r="O48" s="173">
        <v>0.02</v>
      </c>
      <c r="P48" s="173">
        <v>0.01</v>
      </c>
      <c r="Q48" s="175">
        <f t="shared" si="10"/>
        <v>0.66037735849056611</v>
      </c>
    </row>
    <row r="49" spans="1:17" ht="15.75">
      <c r="A49" s="173" t="s">
        <v>160</v>
      </c>
      <c r="B49" s="173" t="s">
        <v>5</v>
      </c>
      <c r="C49" s="173">
        <v>1.22</v>
      </c>
      <c r="D49" s="173">
        <v>4.4859999999999997E-2</v>
      </c>
      <c r="E49" s="173">
        <v>0.36520000000000002</v>
      </c>
      <c r="F49" s="173">
        <v>2.588E-2</v>
      </c>
      <c r="G49" s="173">
        <v>1.2608299999999999</v>
      </c>
      <c r="H49" s="173">
        <f t="shared" si="3"/>
        <v>0.20687166390393619</v>
      </c>
      <c r="I49" s="173">
        <f t="shared" si="4"/>
        <v>0.32034000000000001</v>
      </c>
      <c r="J49" s="173">
        <f t="shared" si="5"/>
        <v>1.7811137949250393</v>
      </c>
      <c r="K49" s="173">
        <f t="shared" si="6"/>
        <v>4.7606710329599355</v>
      </c>
      <c r="L49" s="173">
        <f t="shared" si="7"/>
        <v>0.22471375269831201</v>
      </c>
      <c r="M49" s="173">
        <f t="shared" si="8"/>
        <v>0.11214883339809964</v>
      </c>
      <c r="N49" s="173">
        <f t="shared" si="9"/>
        <v>0.11256491930021237</v>
      </c>
      <c r="O49" s="173">
        <v>0.1</v>
      </c>
      <c r="P49" s="173">
        <v>0.14000000000000001</v>
      </c>
      <c r="Q49" s="175">
        <f t="shared" si="10"/>
        <v>0.53962264150943395</v>
      </c>
    </row>
    <row r="50" spans="1:17" ht="15.75">
      <c r="A50" s="174" t="s">
        <v>11</v>
      </c>
      <c r="B50" s="173" t="s">
        <v>4</v>
      </c>
      <c r="C50" s="173">
        <v>0.82</v>
      </c>
      <c r="D50" s="176">
        <v>3.8190000000000002E-2</v>
      </c>
      <c r="E50" s="176">
        <v>0.50385999999999997</v>
      </c>
      <c r="F50" s="176">
        <v>0.16847000000000001</v>
      </c>
      <c r="G50" s="176">
        <v>1.2279500000000001</v>
      </c>
      <c r="H50" s="173">
        <f t="shared" si="3"/>
        <v>0.18563459424243667</v>
      </c>
      <c r="I50" s="173">
        <f t="shared" si="4"/>
        <v>0.46566999999999997</v>
      </c>
      <c r="J50" s="173">
        <f t="shared" si="5"/>
        <v>2.5126409712598115</v>
      </c>
      <c r="K50" s="173">
        <f t="shared" si="6"/>
        <v>5.9931635734091966</v>
      </c>
      <c r="L50" s="173">
        <f t="shared" si="7"/>
        <v>0.22352089499313466</v>
      </c>
      <c r="M50" s="173">
        <f t="shared" si="8"/>
        <v>0.11589019861732303</v>
      </c>
      <c r="N50" s="173">
        <f t="shared" si="9"/>
        <v>0.10763069637581163</v>
      </c>
      <c r="O50" s="173">
        <v>0.2</v>
      </c>
      <c r="P50" s="173"/>
      <c r="Q50" s="175">
        <f t="shared" si="10"/>
        <v>0.69056603773584913</v>
      </c>
    </row>
    <row r="51" spans="1:17" ht="15.75">
      <c r="A51" s="174" t="s">
        <v>11</v>
      </c>
      <c r="B51" s="173" t="s">
        <v>5</v>
      </c>
      <c r="C51" s="173">
        <v>1.26</v>
      </c>
      <c r="D51" s="176">
        <v>7.6609999999999998E-2</v>
      </c>
      <c r="E51" s="176">
        <v>0.38824999999999998</v>
      </c>
      <c r="F51" s="176">
        <v>2.4389999999999998E-2</v>
      </c>
      <c r="G51" s="176">
        <v>1.4436800000000001</v>
      </c>
      <c r="H51" s="173">
        <f t="shared" si="3"/>
        <v>0.30732572315194506</v>
      </c>
      <c r="I51" s="173">
        <f t="shared" si="4"/>
        <v>0.31163999999999997</v>
      </c>
      <c r="J51" s="173">
        <f t="shared" si="5"/>
        <v>2.5797655933200492</v>
      </c>
      <c r="K51" s="173">
        <f t="shared" si="6"/>
        <v>13.843749824341341</v>
      </c>
      <c r="L51" s="173">
        <f t="shared" si="7"/>
        <v>0.19741167314695149</v>
      </c>
      <c r="M51" s="173">
        <f t="shared" si="8"/>
        <v>9.9121241820626232E-2</v>
      </c>
      <c r="N51" s="173">
        <f t="shared" si="9"/>
        <v>9.8290431326325256E-2</v>
      </c>
      <c r="O51" s="173">
        <v>0.02</v>
      </c>
      <c r="P51" s="173"/>
      <c r="Q51" s="175">
        <f t="shared" si="10"/>
        <v>0.52452830188679245</v>
      </c>
    </row>
    <row r="52" spans="1:17" ht="15.75">
      <c r="A52" s="174" t="s">
        <v>158</v>
      </c>
      <c r="B52" s="173" t="s">
        <v>4</v>
      </c>
      <c r="C52" s="173">
        <v>0.62</v>
      </c>
      <c r="D52" s="176">
        <v>5.287E-2</v>
      </c>
      <c r="E52" s="176">
        <v>0.54788999999999999</v>
      </c>
      <c r="F52" s="176">
        <v>0.25933</v>
      </c>
      <c r="G52" s="176">
        <v>1.2273099999999999</v>
      </c>
      <c r="H52" s="173">
        <f t="shared" si="3"/>
        <v>0.18520993066136504</v>
      </c>
      <c r="I52" s="173">
        <f t="shared" si="4"/>
        <v>0.49502000000000002</v>
      </c>
      <c r="J52" s="173">
        <f t="shared" si="5"/>
        <v>2.7628590668917368</v>
      </c>
      <c r="K52" s="173">
        <f t="shared" si="6"/>
        <v>6.5773758829482132</v>
      </c>
      <c r="L52" s="173">
        <f t="shared" si="7"/>
        <v>0.23203947191841598</v>
      </c>
      <c r="M52" s="173">
        <f t="shared" si="8"/>
        <v>0.12813101728249027</v>
      </c>
      <c r="N52" s="173">
        <f t="shared" si="9"/>
        <v>0.10390845463592571</v>
      </c>
      <c r="O52" s="173">
        <v>5.35</v>
      </c>
      <c r="P52" s="173">
        <v>4.42</v>
      </c>
      <c r="Q52" s="175">
        <f t="shared" si="10"/>
        <v>0.76603773584905654</v>
      </c>
    </row>
    <row r="53" spans="1:17" ht="15.75">
      <c r="A53" s="174" t="s">
        <v>158</v>
      </c>
      <c r="B53" s="173" t="s">
        <v>5</v>
      </c>
      <c r="C53" s="173">
        <v>1.1599999999999999</v>
      </c>
      <c r="D53" s="176">
        <v>4.4639999999999999E-2</v>
      </c>
      <c r="E53" s="176">
        <v>0.42115999999999998</v>
      </c>
      <c r="F53" s="176">
        <v>3.075E-2</v>
      </c>
      <c r="G53" s="176">
        <v>1.2084999999999999</v>
      </c>
      <c r="H53" s="173">
        <f t="shared" si="3"/>
        <v>0.17252792718245757</v>
      </c>
      <c r="I53" s="173">
        <f t="shared" si="4"/>
        <v>0.37651999999999997</v>
      </c>
      <c r="J53" s="173">
        <f t="shared" si="5"/>
        <v>1.6435636410550973</v>
      </c>
      <c r="K53" s="173">
        <f t="shared" si="6"/>
        <v>3.6085035107321737</v>
      </c>
      <c r="L53" s="173">
        <f t="shared" si="7"/>
        <v>0.27372756959255334</v>
      </c>
      <c r="M53" s="173">
        <f t="shared" si="8"/>
        <v>0.14898242307931223</v>
      </c>
      <c r="N53" s="173">
        <f t="shared" si="9"/>
        <v>0.12474514651324112</v>
      </c>
      <c r="O53" s="173">
        <v>0.02</v>
      </c>
      <c r="P53" s="173">
        <v>5.71</v>
      </c>
      <c r="Q53" s="175">
        <f t="shared" si="10"/>
        <v>0.56226415094339621</v>
      </c>
    </row>
    <row r="54" spans="1:17" ht="15.75">
      <c r="A54" s="173" t="s">
        <v>163</v>
      </c>
      <c r="B54" s="173" t="s">
        <v>4</v>
      </c>
      <c r="C54" s="173">
        <v>1.02</v>
      </c>
      <c r="D54" s="173">
        <v>1.3729999999999999E-2</v>
      </c>
      <c r="E54" s="173">
        <v>0.48071999999999998</v>
      </c>
      <c r="F54" s="173">
        <v>0.11927</v>
      </c>
      <c r="G54" s="173">
        <v>1.2134</v>
      </c>
      <c r="H54" s="173">
        <f t="shared" si="3"/>
        <v>0.17586945772210316</v>
      </c>
      <c r="I54" s="173">
        <f t="shared" si="4"/>
        <v>0.46698999999999996</v>
      </c>
      <c r="J54" s="173">
        <f t="shared" si="5"/>
        <v>2.2024940530181891</v>
      </c>
      <c r="K54" s="173">
        <f t="shared" si="6"/>
        <v>4.9660820456243648</v>
      </c>
      <c r="L54" s="173">
        <f t="shared" si="7"/>
        <v>0.2257578142681293</v>
      </c>
      <c r="M54" s="173">
        <f t="shared" si="8"/>
        <v>0.10776590108050405</v>
      </c>
      <c r="N54" s="173">
        <f t="shared" si="9"/>
        <v>0.11799191318762525</v>
      </c>
      <c r="O54" s="173">
        <v>0.02</v>
      </c>
      <c r="P54" s="173">
        <v>0.11</v>
      </c>
      <c r="Q54" s="175">
        <f t="shared" si="10"/>
        <v>0.61509433962264148</v>
      </c>
    </row>
    <row r="55" spans="1:17" ht="15.75">
      <c r="A55" s="173" t="s">
        <v>163</v>
      </c>
      <c r="B55" s="173" t="s">
        <v>5</v>
      </c>
      <c r="C55" s="173">
        <v>1.26</v>
      </c>
      <c r="D55" s="173">
        <v>7.7960000000000002E-2</v>
      </c>
      <c r="E55" s="173">
        <v>0.38352000000000003</v>
      </c>
      <c r="F55" s="173">
        <v>2.5049999999999999E-2</v>
      </c>
      <c r="G55" s="173">
        <v>1.47624</v>
      </c>
      <c r="H55" s="173">
        <f t="shared" si="3"/>
        <v>0.32260337072562728</v>
      </c>
      <c r="I55" s="173">
        <f t="shared" si="4"/>
        <v>0.30556000000000005</v>
      </c>
      <c r="J55" s="173">
        <f t="shared" si="5"/>
        <v>2.7957680681243162</v>
      </c>
      <c r="K55" s="173">
        <f t="shared" si="6"/>
        <v>17.002871134396369</v>
      </c>
      <c r="L55" s="173">
        <f t="shared" si="7"/>
        <v>0.18725375847868547</v>
      </c>
      <c r="M55" s="173">
        <f t="shared" si="8"/>
        <v>9.5931082506286847E-2</v>
      </c>
      <c r="N55" s="173">
        <f t="shared" si="9"/>
        <v>9.1322675972398626E-2</v>
      </c>
      <c r="O55" s="173">
        <v>3.94</v>
      </c>
      <c r="P55" s="173">
        <v>4.16</v>
      </c>
      <c r="Q55" s="175">
        <f t="shared" si="10"/>
        <v>0.52452830188679245</v>
      </c>
    </row>
    <row r="56" spans="1:17" ht="15.75">
      <c r="A56" s="173" t="s">
        <v>164</v>
      </c>
      <c r="B56" s="173" t="s">
        <v>4</v>
      </c>
      <c r="C56" s="173">
        <v>1.1499999999999999</v>
      </c>
      <c r="D56" s="173">
        <v>8.8299999999999993E-3</v>
      </c>
      <c r="E56" s="173">
        <v>0.42538999999999999</v>
      </c>
      <c r="F56" s="173">
        <v>7.5160000000000005E-2</v>
      </c>
      <c r="G56" s="173">
        <v>1.21011</v>
      </c>
      <c r="H56" s="173">
        <f t="shared" si="3"/>
        <v>0.1736288436588409</v>
      </c>
      <c r="I56" s="173">
        <f t="shared" si="4"/>
        <v>0.41655999999999999</v>
      </c>
      <c r="J56" s="173">
        <f t="shared" si="5"/>
        <v>1.9776197588595896</v>
      </c>
      <c r="K56" s="173">
        <f t="shared" si="6"/>
        <v>4.3969711945834691</v>
      </c>
      <c r="L56" s="173">
        <f t="shared" si="7"/>
        <v>0.21946705403116151</v>
      </c>
      <c r="M56" s="173">
        <f t="shared" si="8"/>
        <v>0.10356794154329485</v>
      </c>
      <c r="N56" s="173">
        <f t="shared" si="9"/>
        <v>0.11589911248786666</v>
      </c>
      <c r="O56" s="173">
        <v>0.14000000000000001</v>
      </c>
      <c r="P56" s="179"/>
      <c r="Q56" s="175">
        <f t="shared" si="10"/>
        <v>0.56603773584905659</v>
      </c>
    </row>
    <row r="57" spans="1:17" ht="15.75">
      <c r="A57" s="173" t="s">
        <v>164</v>
      </c>
      <c r="B57" s="173" t="s">
        <v>5</v>
      </c>
      <c r="C57" s="173">
        <v>1.47</v>
      </c>
      <c r="D57" s="173">
        <v>6.5710000000000005E-2</v>
      </c>
      <c r="E57" s="173">
        <v>0.33204</v>
      </c>
      <c r="F57" s="173">
        <v>5.0699999999999999E-3</v>
      </c>
      <c r="G57" s="173">
        <v>1.4377500000000001</v>
      </c>
      <c r="H57" s="173">
        <f t="shared" si="3"/>
        <v>0.30446878803686317</v>
      </c>
      <c r="I57" s="173">
        <f t="shared" si="4"/>
        <v>0.26633000000000001</v>
      </c>
      <c r="J57" s="173">
        <f t="shared" si="5"/>
        <v>1.4182658083277437</v>
      </c>
      <c r="K57" s="173">
        <f t="shared" si="6"/>
        <v>6.7234688373492233</v>
      </c>
      <c r="L57" s="173">
        <f t="shared" si="7"/>
        <v>0.25349567348671104</v>
      </c>
      <c r="M57" s="173">
        <f t="shared" si="8"/>
        <v>0.10532199292254066</v>
      </c>
      <c r="N57" s="173">
        <f t="shared" si="9"/>
        <v>0.14817368056417038</v>
      </c>
      <c r="O57" s="173">
        <v>1.03</v>
      </c>
      <c r="P57" s="173"/>
      <c r="Q57" s="175">
        <f t="shared" si="10"/>
        <v>0.44528301886792454</v>
      </c>
    </row>
    <row r="58" spans="1:17" ht="15.75">
      <c r="A58" s="173" t="s">
        <v>166</v>
      </c>
      <c r="B58" s="173" t="s">
        <v>4</v>
      </c>
      <c r="C58" s="173">
        <v>1.3</v>
      </c>
      <c r="D58" s="177">
        <v>0.10589999999999999</v>
      </c>
      <c r="E58" s="173">
        <v>0.38150000000000001</v>
      </c>
      <c r="F58" s="173">
        <v>9.8700000000000003E-3</v>
      </c>
      <c r="G58" s="173">
        <v>1.2460100000000001</v>
      </c>
      <c r="H58" s="173">
        <f t="shared" si="3"/>
        <v>0.19743822280720058</v>
      </c>
      <c r="I58" s="173">
        <f t="shared" si="4"/>
        <v>0.27560000000000001</v>
      </c>
      <c r="J58" s="173">
        <f t="shared" si="5"/>
        <v>1.3978307268812262</v>
      </c>
      <c r="K58" s="173">
        <f t="shared" si="6"/>
        <v>3.4378954802418331</v>
      </c>
      <c r="L58" s="173">
        <f t="shared" si="7"/>
        <v>0.30306264258613463</v>
      </c>
      <c r="M58" s="173">
        <f t="shared" si="8"/>
        <v>0.18606532253057717</v>
      </c>
      <c r="N58" s="173">
        <f t="shared" si="9"/>
        <v>0.11699732005555746</v>
      </c>
      <c r="O58" s="173">
        <v>0.02</v>
      </c>
      <c r="P58" s="173"/>
      <c r="Q58" s="175">
        <f t="shared" si="10"/>
        <v>0.50943396226415094</v>
      </c>
    </row>
    <row r="59" spans="1:17" ht="16.5" thickBot="1">
      <c r="A59" s="173" t="s">
        <v>166</v>
      </c>
      <c r="B59" s="171" t="s">
        <v>5</v>
      </c>
      <c r="C59" s="171">
        <v>1.37</v>
      </c>
      <c r="D59" s="171">
        <v>2.7879999999999999E-2</v>
      </c>
      <c r="E59" s="171">
        <v>0.34810000000000002</v>
      </c>
      <c r="F59" s="171">
        <v>7.1599999999999997E-3</v>
      </c>
      <c r="G59" s="171">
        <v>1.26047</v>
      </c>
      <c r="H59" s="173">
        <f t="shared" si="3"/>
        <v>0.20664514030480696</v>
      </c>
      <c r="I59" s="173">
        <f t="shared" si="4"/>
        <v>0.32022</v>
      </c>
      <c r="J59" s="173">
        <f t="shared" si="5"/>
        <v>1.3333550056846983</v>
      </c>
      <c r="K59" s="173">
        <f t="shared" si="6"/>
        <v>3.4007149850079625</v>
      </c>
      <c r="L59" s="173">
        <f t="shared" si="7"/>
        <v>0.26804109635825163</v>
      </c>
      <c r="M59" s="173">
        <f t="shared" si="8"/>
        <v>0.12204255152569048</v>
      </c>
      <c r="N59" s="173">
        <f t="shared" si="9"/>
        <v>0.14599854483256114</v>
      </c>
      <c r="O59" s="171">
        <v>2.99</v>
      </c>
      <c r="P59" s="171"/>
      <c r="Q59" s="175">
        <f t="shared" si="10"/>
        <v>0.48301886792452825</v>
      </c>
    </row>
    <row r="60" spans="1:17" ht="15.75">
      <c r="A60" s="173" t="s">
        <v>167</v>
      </c>
      <c r="B60" s="173" t="s">
        <v>4</v>
      </c>
      <c r="C60" s="180">
        <v>1.04</v>
      </c>
      <c r="D60" s="177">
        <v>0.158</v>
      </c>
      <c r="E60" s="173">
        <v>0.46971000000000002</v>
      </c>
      <c r="F60" s="173">
        <v>2.196E-2</v>
      </c>
      <c r="G60" s="173">
        <v>1.17204</v>
      </c>
      <c r="H60" s="173">
        <f t="shared" si="3"/>
        <v>0.14678679908535541</v>
      </c>
      <c r="I60" s="173">
        <f t="shared" si="4"/>
        <v>0.31171000000000004</v>
      </c>
      <c r="J60" s="173">
        <f t="shared" si="5"/>
        <v>1.4294700094419635</v>
      </c>
      <c r="K60" s="173">
        <f t="shared" si="6"/>
        <v>2.7211169859307609</v>
      </c>
      <c r="L60" s="173">
        <f t="shared" si="7"/>
        <v>0.37605983892008021</v>
      </c>
      <c r="M60" s="173">
        <f t="shared" si="8"/>
        <v>0.27255222308032423</v>
      </c>
      <c r="N60" s="173">
        <f t="shared" si="9"/>
        <v>0.10350761583975598</v>
      </c>
      <c r="O60" s="126"/>
      <c r="P60" s="126"/>
      <c r="Q60" s="175">
        <f t="shared" si="10"/>
        <v>0.60754716981132073</v>
      </c>
    </row>
    <row r="61" spans="1:17" ht="16.5" thickBot="1">
      <c r="A61" s="173" t="s">
        <v>167</v>
      </c>
      <c r="B61" s="171" t="s">
        <v>5</v>
      </c>
      <c r="C61" s="180">
        <v>1.27</v>
      </c>
      <c r="D61" s="177">
        <v>0.1542</v>
      </c>
      <c r="E61" s="173">
        <v>0.41222999999999999</v>
      </c>
      <c r="F61" s="173">
        <v>1.0880000000000001E-2</v>
      </c>
      <c r="G61" s="173">
        <v>1.1785099999999999</v>
      </c>
      <c r="H61" s="173">
        <f t="shared" si="3"/>
        <v>0.15147092515125027</v>
      </c>
      <c r="I61" s="173">
        <f t="shared" si="4"/>
        <v>0.25802999999999998</v>
      </c>
      <c r="J61" s="173">
        <f t="shared" si="5"/>
        <v>1.2984240811545764</v>
      </c>
      <c r="K61" s="173">
        <f t="shared" si="6"/>
        <v>2.4930834686986172</v>
      </c>
      <c r="L61" s="173">
        <f t="shared" si="7"/>
        <v>0.35292551945475026</v>
      </c>
      <c r="M61" s="173">
        <f t="shared" si="8"/>
        <v>0.25769833980275475</v>
      </c>
      <c r="N61" s="173">
        <f t="shared" si="9"/>
        <v>9.5227179651995508E-2</v>
      </c>
      <c r="O61" s="126"/>
      <c r="P61" s="126"/>
      <c r="Q61" s="175">
        <f t="shared" si="10"/>
        <v>0.52075471698113207</v>
      </c>
    </row>
    <row r="62" spans="1:17" ht="15.75">
      <c r="A62" s="173">
        <v>11</v>
      </c>
      <c r="B62" s="173" t="s">
        <v>4</v>
      </c>
      <c r="C62" s="180">
        <v>1.27</v>
      </c>
      <c r="D62" s="177">
        <v>0.1671</v>
      </c>
      <c r="E62" s="173">
        <v>0.41443999999999998</v>
      </c>
      <c r="F62" s="173">
        <v>8.9999999999999993E-3</v>
      </c>
      <c r="G62" s="173">
        <v>1.15954</v>
      </c>
      <c r="H62" s="173">
        <f t="shared" si="3"/>
        <v>0.13758904393121407</v>
      </c>
      <c r="I62" s="173">
        <f t="shared" si="4"/>
        <v>0.24733999999999998</v>
      </c>
      <c r="J62" s="173">
        <f t="shared" si="5"/>
        <v>1.233930433403053</v>
      </c>
      <c r="K62" s="173">
        <f t="shared" si="6"/>
        <v>2.1952707904819655</v>
      </c>
      <c r="L62" s="173">
        <f t="shared" si="7"/>
        <v>0.36754890157856124</v>
      </c>
      <c r="M62" s="173">
        <f t="shared" si="8"/>
        <v>0.27976947160796373</v>
      </c>
      <c r="N62" s="173">
        <f t="shared" si="9"/>
        <v>8.7779429970597511E-2</v>
      </c>
      <c r="O62" s="126"/>
      <c r="P62" s="126"/>
      <c r="Q62" s="175">
        <f t="shared" si="10"/>
        <v>0.52075471698113207</v>
      </c>
    </row>
    <row r="63" spans="1:17" ht="16.5" thickBot="1">
      <c r="A63" s="173">
        <v>11</v>
      </c>
      <c r="B63" s="171" t="s">
        <v>5</v>
      </c>
      <c r="C63" s="180">
        <v>1.34</v>
      </c>
      <c r="D63" s="177">
        <v>0.17330000000000001</v>
      </c>
      <c r="E63" s="173">
        <v>0.39293</v>
      </c>
      <c r="F63" s="173">
        <v>6.6400000000000001E-3</v>
      </c>
      <c r="G63" s="173">
        <v>1.1536900000000001</v>
      </c>
      <c r="H63" s="173">
        <f t="shared" si="3"/>
        <v>0.13321602856919978</v>
      </c>
      <c r="I63" s="173">
        <f t="shared" si="4"/>
        <v>0.21962999999999999</v>
      </c>
      <c r="J63" s="173">
        <f t="shared" si="5"/>
        <v>1.182693068478307</v>
      </c>
      <c r="K63" s="173">
        <f t="shared" si="6"/>
        <v>2.0359021109847215</v>
      </c>
      <c r="L63" s="173">
        <f t="shared" si="7"/>
        <v>0.3590032951774913</v>
      </c>
      <c r="M63" s="173">
        <f t="shared" si="8"/>
        <v>0.28117846764094656</v>
      </c>
      <c r="N63" s="173">
        <f t="shared" si="9"/>
        <v>7.7824827536544738E-2</v>
      </c>
      <c r="O63" s="126"/>
      <c r="P63" s="126"/>
      <c r="Q63" s="175">
        <f t="shared" si="10"/>
        <v>0.49433962264150938</v>
      </c>
    </row>
    <row r="64" spans="1:17" ht="15.75">
      <c r="A64" s="173">
        <v>9</v>
      </c>
      <c r="B64" s="173" t="s">
        <v>4</v>
      </c>
      <c r="C64" s="180">
        <v>1.2</v>
      </c>
      <c r="D64" s="177">
        <v>0.17199999999999999</v>
      </c>
      <c r="E64" s="173">
        <v>0.41349999999999998</v>
      </c>
      <c r="F64" s="173">
        <v>2.1819999999999999E-2</v>
      </c>
      <c r="G64" s="173">
        <v>1.1315299999999999</v>
      </c>
      <c r="H64" s="173">
        <f t="shared" si="3"/>
        <v>0.1162408420457256</v>
      </c>
      <c r="I64" s="173">
        <f t="shared" si="4"/>
        <v>0.24149999999999999</v>
      </c>
      <c r="J64" s="173">
        <f t="shared" si="5"/>
        <v>1.3147325779325261</v>
      </c>
      <c r="K64" s="173">
        <f t="shared" si="6"/>
        <v>2.147977199840061</v>
      </c>
      <c r="L64" s="173">
        <f t="shared" si="7"/>
        <v>0.35568754532558189</v>
      </c>
      <c r="M64" s="173">
        <f t="shared" si="8"/>
        <v>0.2844313610116449</v>
      </c>
      <c r="N64" s="173">
        <f t="shared" si="9"/>
        <v>7.1256184313936988E-2</v>
      </c>
      <c r="O64" s="126"/>
      <c r="P64" s="126"/>
      <c r="Q64" s="175">
        <f t="shared" si="10"/>
        <v>0.54716981132075471</v>
      </c>
    </row>
    <row r="65" spans="1:17" ht="16.5" thickBot="1">
      <c r="A65" s="173">
        <v>9</v>
      </c>
      <c r="B65" s="171" t="s">
        <v>5</v>
      </c>
      <c r="C65" s="180">
        <v>1.36</v>
      </c>
      <c r="D65" s="177">
        <v>0.1855</v>
      </c>
      <c r="E65" s="173">
        <v>0.371</v>
      </c>
      <c r="F65" s="173">
        <v>1.179E-2</v>
      </c>
      <c r="G65" s="173">
        <v>1.11208</v>
      </c>
      <c r="H65" s="173">
        <f t="shared" si="3"/>
        <v>0.10078411625062944</v>
      </c>
      <c r="I65" s="173">
        <f t="shared" si="4"/>
        <v>0.1855</v>
      </c>
      <c r="J65" s="173">
        <f t="shared" si="5"/>
        <v>1.1900894743169326</v>
      </c>
      <c r="K65" s="173">
        <f t="shared" si="6"/>
        <v>1.790781205874407</v>
      </c>
      <c r="L65" s="173">
        <f t="shared" si="7"/>
        <v>0.34137063326181433</v>
      </c>
      <c r="M65" s="173">
        <f t="shared" si="8"/>
        <v>0.28908607706597167</v>
      </c>
      <c r="N65" s="173">
        <f t="shared" si="9"/>
        <v>5.2284556195842657E-2</v>
      </c>
      <c r="O65" s="126"/>
      <c r="P65" s="126"/>
      <c r="Q65" s="175">
        <f t="shared" si="10"/>
        <v>0.48679245283018863</v>
      </c>
    </row>
  </sheetData>
  <mergeCells count="13">
    <mergeCell ref="Q32:Q33"/>
    <mergeCell ref="O33:P33"/>
    <mergeCell ref="A32:A33"/>
    <mergeCell ref="B32:B33"/>
    <mergeCell ref="D32:D33"/>
    <mergeCell ref="E32:E33"/>
    <mergeCell ref="F32:F33"/>
    <mergeCell ref="G32:G33"/>
    <mergeCell ref="H32:H33"/>
    <mergeCell ref="I32:I33"/>
    <mergeCell ref="J32:J33"/>
    <mergeCell ref="K32:K33"/>
    <mergeCell ref="O32:P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796-7D35-4004-9F18-5224C0B0E691}">
  <dimension ref="A1:J47"/>
  <sheetViews>
    <sheetView topLeftCell="A43" workbookViewId="0">
      <selection activeCell="J6" sqref="J6"/>
    </sheetView>
  </sheetViews>
  <sheetFormatPr defaultColWidth="8.85546875" defaultRowHeight="15"/>
  <cols>
    <col min="3" max="3" width="9.42578125"/>
    <col min="4" max="9" width="9"/>
    <col min="10" max="10" width="12.42578125"/>
  </cols>
  <sheetData>
    <row r="1" spans="1:10" ht="30">
      <c r="B1" s="181" t="s">
        <v>0</v>
      </c>
      <c r="C1" s="154" t="s">
        <v>38</v>
      </c>
      <c r="D1" s="637" t="s">
        <v>1040</v>
      </c>
      <c r="E1" s="637" t="s">
        <v>1041</v>
      </c>
      <c r="F1" s="637" t="s">
        <v>1042</v>
      </c>
      <c r="G1" s="637" t="s">
        <v>1043</v>
      </c>
      <c r="H1" s="183" t="s">
        <v>43</v>
      </c>
      <c r="I1" s="183" t="s">
        <v>42</v>
      </c>
      <c r="J1" s="183" t="s">
        <v>44</v>
      </c>
    </row>
    <row r="2" spans="1:10" ht="15.75">
      <c r="A2" s="181">
        <v>1</v>
      </c>
      <c r="B2" s="182">
        <v>9</v>
      </c>
      <c r="C2" s="182" t="s">
        <v>45</v>
      </c>
      <c r="D2" s="182">
        <v>194.17</v>
      </c>
      <c r="E2" s="182">
        <v>191.24</v>
      </c>
      <c r="F2" s="182">
        <v>190.42</v>
      </c>
      <c r="G2" s="182">
        <v>190.84</v>
      </c>
      <c r="H2" s="182">
        <v>3.75</v>
      </c>
      <c r="I2" s="182">
        <v>0.40000000000000568</v>
      </c>
      <c r="J2" s="184">
        <v>9.6385542168675933</v>
      </c>
    </row>
    <row r="3" spans="1:10" ht="15.75">
      <c r="A3" s="181">
        <v>2</v>
      </c>
      <c r="B3" s="182">
        <v>1</v>
      </c>
      <c r="C3" s="182" t="s">
        <v>45</v>
      </c>
      <c r="D3" s="182">
        <v>193.99</v>
      </c>
      <c r="E3" s="182">
        <v>190.73</v>
      </c>
      <c r="F3" s="182">
        <v>189.97</v>
      </c>
      <c r="G3" s="182">
        <v>190.33</v>
      </c>
      <c r="H3" s="182">
        <v>4.0200000000000102</v>
      </c>
      <c r="I3" s="182">
        <v>0.39999999999997726</v>
      </c>
      <c r="J3" s="184">
        <v>9.0497737556556199</v>
      </c>
    </row>
    <row r="4" spans="1:10" ht="15.75">
      <c r="A4" s="181">
        <v>3</v>
      </c>
      <c r="B4" s="181" t="s">
        <v>39</v>
      </c>
      <c r="C4" s="181" t="s">
        <v>4</v>
      </c>
      <c r="D4" s="181">
        <v>193.86</v>
      </c>
      <c r="E4" s="181">
        <v>192.15</v>
      </c>
      <c r="F4" s="181">
        <v>190.84</v>
      </c>
      <c r="G4" s="181">
        <v>190.68</v>
      </c>
      <c r="H4" s="181">
        <v>3.0200000000000102</v>
      </c>
      <c r="I4" s="181">
        <v>1.4699999999999989</v>
      </c>
      <c r="J4" s="185">
        <v>32.739420935411935</v>
      </c>
    </row>
    <row r="5" spans="1:10" ht="15.75">
      <c r="A5" s="181">
        <v>4</v>
      </c>
      <c r="B5" s="182" t="s">
        <v>706</v>
      </c>
      <c r="C5" s="182" t="s">
        <v>5</v>
      </c>
      <c r="D5" s="182">
        <v>192.21</v>
      </c>
      <c r="E5" s="182">
        <v>191.31</v>
      </c>
      <c r="F5" s="182">
        <v>189.5</v>
      </c>
      <c r="G5" s="182">
        <v>189.87</v>
      </c>
      <c r="H5" s="182">
        <v>2.710000000000008</v>
      </c>
      <c r="I5" s="182">
        <v>1.4399999999999977</v>
      </c>
      <c r="J5" s="184">
        <v>34.69879518072279</v>
      </c>
    </row>
    <row r="6" spans="1:10" ht="15.75">
      <c r="A6" s="181">
        <v>5</v>
      </c>
      <c r="B6" s="182" t="s">
        <v>707</v>
      </c>
      <c r="C6" s="182" t="s">
        <v>45</v>
      </c>
      <c r="D6" s="182">
        <v>193.57</v>
      </c>
      <c r="E6" s="182">
        <v>190.14</v>
      </c>
      <c r="F6" s="182">
        <v>189.8</v>
      </c>
      <c r="G6" s="182">
        <v>189.7</v>
      </c>
      <c r="H6" s="182">
        <v>3.7699999999999818</v>
      </c>
      <c r="I6" s="182">
        <v>0.43999999999999773</v>
      </c>
      <c r="J6" s="184">
        <v>10.45130641330166</v>
      </c>
    </row>
    <row r="7" spans="1:10" ht="15.75">
      <c r="A7" s="181">
        <v>6</v>
      </c>
      <c r="B7" s="182" t="s">
        <v>708</v>
      </c>
      <c r="C7" s="182" t="s">
        <v>4</v>
      </c>
      <c r="D7" s="182">
        <v>194.73</v>
      </c>
      <c r="E7" s="182">
        <v>191.19</v>
      </c>
      <c r="F7" s="182">
        <v>190.75</v>
      </c>
      <c r="G7" s="182">
        <v>190.66</v>
      </c>
      <c r="H7" s="182">
        <v>3.9799999999999898</v>
      </c>
      <c r="I7" s="182">
        <v>0.53000000000000114</v>
      </c>
      <c r="J7" s="184">
        <v>11.751662971175215</v>
      </c>
    </row>
    <row r="8" spans="1:10" ht="15.75">
      <c r="A8" s="181">
        <v>7</v>
      </c>
      <c r="B8" s="182" t="s">
        <v>31</v>
      </c>
      <c r="C8" s="182" t="s">
        <v>5</v>
      </c>
      <c r="D8" s="182">
        <v>193.71</v>
      </c>
      <c r="E8" s="182">
        <v>192.07</v>
      </c>
      <c r="F8" s="182">
        <v>190.63</v>
      </c>
      <c r="G8" s="182">
        <v>190.74</v>
      </c>
      <c r="H8" s="182">
        <v>3.0800000000000125</v>
      </c>
      <c r="I8" s="182">
        <v>1.3299999999999841</v>
      </c>
      <c r="J8" s="184">
        <v>30.158730158729821</v>
      </c>
    </row>
    <row r="9" spans="1:10" ht="15.75">
      <c r="A9" s="181">
        <v>8</v>
      </c>
      <c r="B9" s="182" t="s">
        <v>17</v>
      </c>
      <c r="C9" s="182" t="s">
        <v>45</v>
      </c>
      <c r="D9" s="182">
        <v>194.25</v>
      </c>
      <c r="E9" s="182">
        <v>191.08</v>
      </c>
      <c r="F9" s="182">
        <v>190.38</v>
      </c>
      <c r="G9" s="182">
        <v>190.79</v>
      </c>
      <c r="H9" s="182">
        <v>3.8700000000000045</v>
      </c>
      <c r="I9" s="182">
        <v>0.29000000000002046</v>
      </c>
      <c r="J9" s="184">
        <v>6.9711538461542961</v>
      </c>
    </row>
    <row r="10" spans="1:10" ht="15.75">
      <c r="A10" s="181">
        <v>1</v>
      </c>
      <c r="B10" s="182">
        <v>3</v>
      </c>
      <c r="C10" s="182" t="s">
        <v>45</v>
      </c>
      <c r="D10" s="182">
        <v>191.78</v>
      </c>
      <c r="E10" s="182">
        <v>187.67</v>
      </c>
      <c r="F10" s="182">
        <v>187.64</v>
      </c>
      <c r="G10" s="182">
        <v>187.4</v>
      </c>
      <c r="H10" s="182">
        <v>4.1400000000000148</v>
      </c>
      <c r="I10" s="182">
        <v>0.26999999999998181</v>
      </c>
      <c r="J10" s="184">
        <v>6.1224489795914288</v>
      </c>
    </row>
    <row r="11" spans="1:10" ht="15.75">
      <c r="A11" s="181">
        <v>2</v>
      </c>
      <c r="B11" s="181" t="s">
        <v>39</v>
      </c>
      <c r="C11" s="181" t="s">
        <v>45</v>
      </c>
      <c r="D11" s="181">
        <v>191.56</v>
      </c>
      <c r="E11" s="181">
        <v>188.02</v>
      </c>
      <c r="F11" s="181">
        <v>187.58</v>
      </c>
      <c r="G11" s="181">
        <v>187.49</v>
      </c>
      <c r="H11" s="181">
        <v>3.9799999999999898</v>
      </c>
      <c r="I11" s="181">
        <v>0.53000000000000114</v>
      </c>
      <c r="J11" s="185">
        <v>11.751662971175215</v>
      </c>
    </row>
    <row r="12" spans="1:10" ht="15.75">
      <c r="A12" s="181">
        <v>3</v>
      </c>
      <c r="B12" s="182">
        <v>16</v>
      </c>
      <c r="C12" s="182" t="s">
        <v>45</v>
      </c>
      <c r="D12" s="182">
        <v>190.46</v>
      </c>
      <c r="E12" s="182">
        <v>187.86</v>
      </c>
      <c r="F12" s="182">
        <v>186.46</v>
      </c>
      <c r="G12" s="182">
        <v>187.36</v>
      </c>
      <c r="H12" s="182">
        <v>4</v>
      </c>
      <c r="I12" s="182">
        <v>0.5</v>
      </c>
      <c r="J12" s="184">
        <v>11.111111111111111</v>
      </c>
    </row>
    <row r="13" spans="1:10" ht="15.75">
      <c r="A13" s="181">
        <v>4</v>
      </c>
      <c r="B13" s="182" t="s">
        <v>709</v>
      </c>
      <c r="C13" s="182" t="s">
        <v>4</v>
      </c>
      <c r="D13" s="182">
        <v>184.27</v>
      </c>
      <c r="E13" s="182">
        <v>181.21</v>
      </c>
      <c r="F13" s="182">
        <v>180.58</v>
      </c>
      <c r="G13" s="182">
        <v>180.63</v>
      </c>
      <c r="H13" s="182">
        <v>3.6899999999999977</v>
      </c>
      <c r="I13" s="182">
        <v>0.58000000000001251</v>
      </c>
      <c r="J13" s="184">
        <v>13.583138173302368</v>
      </c>
    </row>
    <row r="14" spans="1:10" ht="15.75">
      <c r="A14" s="181">
        <v>5</v>
      </c>
      <c r="B14" s="182">
        <v>10</v>
      </c>
      <c r="C14" s="182" t="s">
        <v>45</v>
      </c>
      <c r="D14" s="182">
        <v>192.97</v>
      </c>
      <c r="E14" s="182">
        <v>188.56</v>
      </c>
      <c r="F14" s="182">
        <v>188.62</v>
      </c>
      <c r="G14" s="182">
        <v>188.14</v>
      </c>
      <c r="H14" s="182">
        <v>4.3499999999999943</v>
      </c>
      <c r="I14" s="182">
        <v>0.42000000000001592</v>
      </c>
      <c r="J14" s="184">
        <v>8.8050314465411947</v>
      </c>
    </row>
    <row r="15" spans="1:10" ht="15.75">
      <c r="A15" s="181">
        <v>6</v>
      </c>
      <c r="B15" s="182" t="s">
        <v>706</v>
      </c>
      <c r="C15" s="182" t="s">
        <v>45</v>
      </c>
      <c r="D15" s="182">
        <v>191.18</v>
      </c>
      <c r="E15" s="182">
        <v>188.14</v>
      </c>
      <c r="F15" s="182">
        <v>187.36</v>
      </c>
      <c r="G15" s="182">
        <v>187.7</v>
      </c>
      <c r="H15" s="182">
        <v>3.8199999999999932</v>
      </c>
      <c r="I15" s="182">
        <v>0.43999999999999773</v>
      </c>
      <c r="J15" s="184">
        <v>10.32863849765255</v>
      </c>
    </row>
    <row r="16" spans="1:10" ht="15.75">
      <c r="A16" s="181">
        <v>7</v>
      </c>
      <c r="B16" s="181" t="s">
        <v>3</v>
      </c>
      <c r="C16" s="181" t="s">
        <v>5</v>
      </c>
      <c r="D16" s="181">
        <v>192.93</v>
      </c>
      <c r="E16" s="181">
        <v>190.74</v>
      </c>
      <c r="F16" s="181">
        <v>189.75</v>
      </c>
      <c r="G16" s="181">
        <v>189.45</v>
      </c>
      <c r="H16" s="181">
        <v>3.1800000000000068</v>
      </c>
      <c r="I16" s="181">
        <v>1.2900000000000205</v>
      </c>
      <c r="J16" s="185">
        <v>28.859060402684847</v>
      </c>
    </row>
    <row r="17" spans="1:10" ht="15.75">
      <c r="A17" s="181">
        <v>8</v>
      </c>
      <c r="B17" s="182">
        <v>18</v>
      </c>
      <c r="C17" s="182" t="s">
        <v>4</v>
      </c>
      <c r="D17" s="182">
        <v>193.65</v>
      </c>
      <c r="E17" s="182">
        <v>189.25</v>
      </c>
      <c r="F17" s="182">
        <v>190.13</v>
      </c>
      <c r="G17" s="182">
        <v>188.63</v>
      </c>
      <c r="H17" s="182">
        <v>3.5200000000000102</v>
      </c>
      <c r="I17" s="182">
        <v>0.62000000000000455</v>
      </c>
      <c r="J17" s="184">
        <v>14.975845410628075</v>
      </c>
    </row>
    <row r="18" spans="1:10" ht="15.75">
      <c r="A18" s="181">
        <v>1</v>
      </c>
      <c r="B18" s="181" t="s">
        <v>710</v>
      </c>
      <c r="C18" s="181" t="s">
        <v>5</v>
      </c>
      <c r="D18" s="181">
        <v>192.5</v>
      </c>
      <c r="E18" s="181">
        <v>188.15</v>
      </c>
      <c r="F18" s="181">
        <v>188.39</v>
      </c>
      <c r="G18" s="181">
        <v>187.34</v>
      </c>
      <c r="H18" s="181">
        <v>4.1100000000000136</v>
      </c>
      <c r="I18" s="181">
        <v>0.81000000000000227</v>
      </c>
      <c r="J18" s="185">
        <v>16.463414634146336</v>
      </c>
    </row>
    <row r="19" spans="1:10" ht="15.75">
      <c r="A19" s="181">
        <v>2</v>
      </c>
      <c r="B19" s="182">
        <v>11</v>
      </c>
      <c r="C19" s="182" t="s">
        <v>4</v>
      </c>
      <c r="D19" s="182">
        <v>190.9</v>
      </c>
      <c r="E19" s="182">
        <v>188.45</v>
      </c>
      <c r="F19" s="182">
        <v>187.32</v>
      </c>
      <c r="G19" s="182">
        <v>187.22</v>
      </c>
      <c r="H19" s="182">
        <v>3.5800000000000125</v>
      </c>
      <c r="I19" s="182">
        <v>1.2299999999999898</v>
      </c>
      <c r="J19" s="184">
        <v>25.571725571725349</v>
      </c>
    </row>
    <row r="20" spans="1:10" ht="15.75">
      <c r="A20" s="181">
        <v>3</v>
      </c>
      <c r="B20" s="181" t="s">
        <v>7</v>
      </c>
      <c r="C20" s="181" t="s">
        <v>5</v>
      </c>
      <c r="D20" s="181">
        <v>191.1</v>
      </c>
      <c r="E20" s="181">
        <v>189.53</v>
      </c>
      <c r="F20" s="181">
        <v>187.08</v>
      </c>
      <c r="G20" s="181">
        <v>188.48</v>
      </c>
      <c r="H20" s="181">
        <v>4.0199999999999818</v>
      </c>
      <c r="I20" s="181">
        <v>1.0500000000000114</v>
      </c>
      <c r="J20" s="185">
        <v>20.710059171597884</v>
      </c>
    </row>
    <row r="21" spans="1:10" ht="15.75">
      <c r="A21" s="181">
        <v>4</v>
      </c>
      <c r="B21" s="182">
        <v>6</v>
      </c>
      <c r="C21" s="182" t="s">
        <v>4</v>
      </c>
      <c r="D21" s="182">
        <v>191.4</v>
      </c>
      <c r="E21" s="182">
        <v>189.16</v>
      </c>
      <c r="F21" s="182">
        <v>187.23</v>
      </c>
      <c r="G21" s="182">
        <v>188.53</v>
      </c>
      <c r="H21" s="182">
        <v>4.1700000000000159</v>
      </c>
      <c r="I21" s="182">
        <v>0.62999999999999545</v>
      </c>
      <c r="J21" s="184">
        <v>13.124999999999874</v>
      </c>
    </row>
    <row r="22" spans="1:10" ht="15.75">
      <c r="A22" s="181">
        <v>5</v>
      </c>
      <c r="B22" s="181" t="s">
        <v>8</v>
      </c>
      <c r="C22" s="181" t="s">
        <v>5</v>
      </c>
      <c r="D22" s="181">
        <v>191.77</v>
      </c>
      <c r="E22" s="181">
        <v>188.53</v>
      </c>
      <c r="F22" s="181">
        <v>187.66</v>
      </c>
      <c r="G22" s="181">
        <v>188.01</v>
      </c>
      <c r="H22" s="181">
        <v>4.1100000000000136</v>
      </c>
      <c r="I22" s="181">
        <v>0.52000000000001023</v>
      </c>
      <c r="J22" s="185">
        <v>11.231101511879213</v>
      </c>
    </row>
    <row r="23" spans="1:10" ht="15.75">
      <c r="A23" s="181">
        <v>6</v>
      </c>
      <c r="B23" s="181" t="s">
        <v>158</v>
      </c>
      <c r="C23" s="181" t="s">
        <v>45</v>
      </c>
      <c r="D23" s="181">
        <v>191.5</v>
      </c>
      <c r="E23" s="181">
        <v>189.24</v>
      </c>
      <c r="F23" s="181">
        <v>187.37</v>
      </c>
      <c r="G23" s="181">
        <v>188.57</v>
      </c>
      <c r="H23" s="181">
        <v>4.1299999999999955</v>
      </c>
      <c r="I23" s="181">
        <v>0.67000000000001592</v>
      </c>
      <c r="J23" s="185">
        <v>13.958333333333632</v>
      </c>
    </row>
    <row r="24" spans="1:10" ht="15.75">
      <c r="A24" s="181">
        <v>7</v>
      </c>
      <c r="B24" s="181" t="s">
        <v>166</v>
      </c>
      <c r="C24" s="181" t="s">
        <v>5</v>
      </c>
      <c r="D24" s="181">
        <v>191.77</v>
      </c>
      <c r="E24" s="181">
        <v>188.18</v>
      </c>
      <c r="F24" s="181">
        <v>187.45</v>
      </c>
      <c r="G24" s="181">
        <v>187.53</v>
      </c>
      <c r="H24" s="181">
        <v>4.3200000000000216</v>
      </c>
      <c r="I24" s="181">
        <v>0.65000000000000568</v>
      </c>
      <c r="J24" s="185">
        <v>13.07847082494974</v>
      </c>
    </row>
    <row r="25" spans="1:10" ht="15.75">
      <c r="A25" s="181">
        <v>8</v>
      </c>
      <c r="B25" s="182">
        <v>12</v>
      </c>
      <c r="C25" s="182" t="s">
        <v>4</v>
      </c>
      <c r="D25" s="182">
        <v>192.77</v>
      </c>
      <c r="E25" s="182">
        <v>189.24</v>
      </c>
      <c r="F25" s="182">
        <v>188.47</v>
      </c>
      <c r="G25" s="182">
        <v>188.56</v>
      </c>
      <c r="H25" s="182">
        <v>4.3000000000000114</v>
      </c>
      <c r="I25" s="182">
        <v>0.68000000000000682</v>
      </c>
      <c r="J25" s="184">
        <v>13.654618473895669</v>
      </c>
    </row>
    <row r="26" spans="1:10" ht="15.75">
      <c r="A26" s="181"/>
      <c r="B26" s="181"/>
      <c r="C26" s="181"/>
      <c r="D26" s="181"/>
      <c r="E26" s="181"/>
      <c r="F26" s="181"/>
      <c r="G26" s="181"/>
      <c r="H26" s="181"/>
      <c r="I26" s="181"/>
      <c r="J26" s="181"/>
    </row>
    <row r="27" spans="1:10" ht="15.75">
      <c r="A27" s="181"/>
      <c r="B27" s="181" t="s">
        <v>709</v>
      </c>
      <c r="C27" s="181" t="s">
        <v>4</v>
      </c>
      <c r="D27" s="181">
        <v>184.27</v>
      </c>
      <c r="E27" s="181">
        <v>181.21</v>
      </c>
      <c r="F27" s="181">
        <v>180.58</v>
      </c>
      <c r="G27" s="181">
        <v>180.63</v>
      </c>
      <c r="H27" s="181">
        <v>3.69</v>
      </c>
      <c r="I27" s="181">
        <v>0.58000000000001295</v>
      </c>
      <c r="J27" s="185">
        <v>13.5831381733024</v>
      </c>
    </row>
    <row r="28" spans="1:10" ht="15.75">
      <c r="B28" s="181" t="s">
        <v>708</v>
      </c>
      <c r="C28" s="181" t="s">
        <v>4</v>
      </c>
      <c r="D28" s="181">
        <v>194.73</v>
      </c>
      <c r="E28" s="181">
        <v>191.19</v>
      </c>
      <c r="F28" s="181">
        <v>190.75</v>
      </c>
      <c r="G28" s="181">
        <v>190.66</v>
      </c>
      <c r="H28" s="181">
        <v>3.9799999999999902</v>
      </c>
      <c r="I28" s="181">
        <v>0.53000000000000103</v>
      </c>
      <c r="J28" s="185">
        <v>11.7516629711752</v>
      </c>
    </row>
    <row r="29" spans="1:10">
      <c r="J29" s="6"/>
    </row>
    <row r="30" spans="1:10" ht="15.75">
      <c r="B30" s="181" t="s">
        <v>31</v>
      </c>
      <c r="C30" s="181" t="s">
        <v>5</v>
      </c>
      <c r="D30" s="181">
        <v>193.71</v>
      </c>
      <c r="E30" s="181">
        <v>192.07</v>
      </c>
      <c r="F30" s="181">
        <v>190.63</v>
      </c>
      <c r="G30" s="181">
        <v>190.74</v>
      </c>
      <c r="H30" s="181">
        <v>3.0800000000000098</v>
      </c>
      <c r="I30" s="181">
        <v>1.3299999999999801</v>
      </c>
      <c r="J30" s="185">
        <v>30.158730158729799</v>
      </c>
    </row>
    <row r="31" spans="1:10" ht="15.75">
      <c r="B31" s="181" t="s">
        <v>706</v>
      </c>
      <c r="C31" s="181" t="s">
        <v>5</v>
      </c>
      <c r="D31" s="181">
        <v>192.21</v>
      </c>
      <c r="E31" s="181">
        <v>191.31</v>
      </c>
      <c r="F31" s="181">
        <v>189.5</v>
      </c>
      <c r="G31" s="181">
        <v>189.87</v>
      </c>
      <c r="H31" s="181">
        <v>2.7100000000000102</v>
      </c>
      <c r="I31" s="181">
        <v>1.44</v>
      </c>
      <c r="J31" s="185">
        <v>34.698795180722797</v>
      </c>
    </row>
    <row r="32" spans="1:10" ht="15.75">
      <c r="B32" s="181"/>
      <c r="C32" s="181"/>
      <c r="D32" s="181"/>
      <c r="E32" s="181"/>
      <c r="F32" s="181"/>
      <c r="G32" s="181"/>
      <c r="H32" s="181"/>
      <c r="I32" s="181"/>
      <c r="J32" s="185"/>
    </row>
    <row r="33" spans="2:10" ht="15.75">
      <c r="B33" s="181" t="s">
        <v>17</v>
      </c>
      <c r="C33" s="181" t="s">
        <v>45</v>
      </c>
      <c r="D33" s="181">
        <v>194.25</v>
      </c>
      <c r="E33" s="181">
        <v>191.08</v>
      </c>
      <c r="F33" s="181">
        <v>190.38</v>
      </c>
      <c r="G33" s="181">
        <v>190.79</v>
      </c>
      <c r="H33" s="181">
        <v>3.87</v>
      </c>
      <c r="I33" s="181">
        <v>0.29000000000002002</v>
      </c>
      <c r="J33" s="185">
        <v>6.9711538461542997</v>
      </c>
    </row>
    <row r="34" spans="2:10" ht="15.75">
      <c r="B34" s="181" t="s">
        <v>707</v>
      </c>
      <c r="C34" s="181" t="s">
        <v>45</v>
      </c>
      <c r="D34" s="181">
        <v>193.57</v>
      </c>
      <c r="E34" s="181">
        <v>190.14</v>
      </c>
      <c r="F34" s="181">
        <v>189.8</v>
      </c>
      <c r="G34" s="181">
        <v>189.7</v>
      </c>
      <c r="H34" s="181">
        <v>3.76999999999998</v>
      </c>
      <c r="I34" s="181">
        <v>0.439999999999998</v>
      </c>
      <c r="J34" s="185">
        <v>10.451306413301699</v>
      </c>
    </row>
    <row r="35" spans="2:10" ht="15.75">
      <c r="B35" s="181" t="s">
        <v>706</v>
      </c>
      <c r="C35" s="181" t="s">
        <v>45</v>
      </c>
      <c r="D35" s="181">
        <v>191.18</v>
      </c>
      <c r="E35" s="181">
        <v>188.14</v>
      </c>
      <c r="F35" s="181">
        <v>187.36</v>
      </c>
      <c r="G35" s="181">
        <v>187.7</v>
      </c>
      <c r="H35" s="181">
        <v>3.8199999999999901</v>
      </c>
      <c r="I35" s="181">
        <v>0.439999999999998</v>
      </c>
      <c r="J35" s="185">
        <v>10.3286384976526</v>
      </c>
    </row>
    <row r="36" spans="2:10" ht="15.75">
      <c r="B36" s="181"/>
      <c r="C36" s="181"/>
      <c r="D36" s="181"/>
      <c r="E36" s="181"/>
      <c r="F36" s="181"/>
      <c r="G36" s="181"/>
      <c r="H36" s="181"/>
      <c r="I36" s="181"/>
      <c r="J36" s="185"/>
    </row>
    <row r="37" spans="2:10" ht="15.75">
      <c r="B37" s="181">
        <v>11</v>
      </c>
      <c r="C37" s="181" t="s">
        <v>4</v>
      </c>
      <c r="D37" s="181">
        <v>190.9</v>
      </c>
      <c r="E37" s="181">
        <v>188.45</v>
      </c>
      <c r="F37" s="181">
        <v>187.32</v>
      </c>
      <c r="G37" s="181">
        <v>187.22</v>
      </c>
      <c r="H37" s="181">
        <v>3.5800000000000098</v>
      </c>
      <c r="I37" s="181">
        <v>1.22999999999999</v>
      </c>
      <c r="J37" s="185">
        <v>25.571725571725299</v>
      </c>
    </row>
    <row r="38" spans="2:10" ht="15.75">
      <c r="B38" s="181">
        <v>12</v>
      </c>
      <c r="C38" s="181" t="s">
        <v>4</v>
      </c>
      <c r="D38" s="181">
        <v>192.77</v>
      </c>
      <c r="E38" s="181">
        <v>189.24</v>
      </c>
      <c r="F38" s="181">
        <v>188.47</v>
      </c>
      <c r="G38" s="181">
        <v>188.56</v>
      </c>
      <c r="H38" s="181">
        <v>4.3000000000000096</v>
      </c>
      <c r="I38" s="181">
        <v>0.68000000000000704</v>
      </c>
      <c r="J38" s="185">
        <v>13.654618473895701</v>
      </c>
    </row>
    <row r="39" spans="2:10" ht="15.75">
      <c r="B39" s="181">
        <v>18</v>
      </c>
      <c r="C39" s="181" t="s">
        <v>4</v>
      </c>
      <c r="D39" s="181">
        <v>193.65</v>
      </c>
      <c r="E39" s="181">
        <v>189.25</v>
      </c>
      <c r="F39" s="181">
        <v>190.13</v>
      </c>
      <c r="G39" s="181">
        <v>188.63</v>
      </c>
      <c r="H39" s="181">
        <v>3.5200000000000098</v>
      </c>
      <c r="I39" s="181">
        <v>0.62000000000000499</v>
      </c>
      <c r="J39" s="185">
        <v>14.9758454106281</v>
      </c>
    </row>
    <row r="40" spans="2:10" ht="15.75">
      <c r="B40" s="182">
        <v>6</v>
      </c>
      <c r="C40" s="182" t="s">
        <v>4</v>
      </c>
      <c r="D40" s="182">
        <v>191.4</v>
      </c>
      <c r="E40" s="182">
        <v>189.16</v>
      </c>
      <c r="F40" s="182">
        <v>187.23</v>
      </c>
      <c r="G40" s="182">
        <v>188.53</v>
      </c>
      <c r="H40" s="182">
        <v>4.1700000000000204</v>
      </c>
      <c r="I40" s="182">
        <v>0.62999999999999501</v>
      </c>
      <c r="J40" s="184">
        <v>13.124999999999901</v>
      </c>
    </row>
    <row r="41" spans="2:10" ht="15.75">
      <c r="B41" s="181"/>
      <c r="C41" s="181"/>
      <c r="D41" s="181"/>
      <c r="E41" s="181"/>
      <c r="F41" s="181"/>
      <c r="G41" s="181"/>
      <c r="H41" s="181"/>
      <c r="I41" s="181"/>
      <c r="J41" s="185"/>
    </row>
    <row r="42" spans="2:10" ht="15.75">
      <c r="B42" s="182">
        <v>1</v>
      </c>
      <c r="C42" s="182" t="s">
        <v>45</v>
      </c>
      <c r="D42" s="182">
        <v>193.99</v>
      </c>
      <c r="E42" s="182">
        <v>190.73</v>
      </c>
      <c r="F42" s="182">
        <v>189.97</v>
      </c>
      <c r="G42" s="182">
        <v>190.33</v>
      </c>
      <c r="H42" s="182">
        <v>4.0200000000000102</v>
      </c>
      <c r="I42" s="182">
        <v>0.39999999999997699</v>
      </c>
      <c r="J42" s="184">
        <v>9.0497737556556199</v>
      </c>
    </row>
    <row r="43" spans="2:10" ht="15.75">
      <c r="B43" s="182">
        <v>3</v>
      </c>
      <c r="C43" s="182" t="s">
        <v>45</v>
      </c>
      <c r="D43" s="182">
        <v>191.78</v>
      </c>
      <c r="E43" s="182">
        <v>187.67</v>
      </c>
      <c r="F43" s="182">
        <v>187.64</v>
      </c>
      <c r="G43" s="182">
        <v>187.4</v>
      </c>
      <c r="H43" s="182">
        <v>4.1400000000000103</v>
      </c>
      <c r="I43" s="182">
        <v>0.26999999999998198</v>
      </c>
      <c r="J43" s="184">
        <v>6.1224489795914296</v>
      </c>
    </row>
    <row r="44" spans="2:10" ht="15.75">
      <c r="B44" s="182">
        <v>9</v>
      </c>
      <c r="C44" s="182" t="s">
        <v>45</v>
      </c>
      <c r="D44" s="182">
        <v>194.17</v>
      </c>
      <c r="E44" s="182">
        <v>191.24</v>
      </c>
      <c r="F44" s="182">
        <v>190.42</v>
      </c>
      <c r="G44" s="182">
        <v>190.84</v>
      </c>
      <c r="H44" s="182">
        <v>3.75</v>
      </c>
      <c r="I44" s="182">
        <v>0.40000000000000602</v>
      </c>
      <c r="J44" s="184">
        <v>9.6385542168675897</v>
      </c>
    </row>
    <row r="45" spans="2:10" ht="15.75">
      <c r="B45" s="181">
        <v>16</v>
      </c>
      <c r="C45" s="181" t="s">
        <v>45</v>
      </c>
      <c r="D45" s="181">
        <v>190.46</v>
      </c>
      <c r="E45" s="181">
        <v>187.86</v>
      </c>
      <c r="F45" s="181">
        <v>186.46</v>
      </c>
      <c r="G45" s="181">
        <v>187.36</v>
      </c>
      <c r="H45" s="181">
        <v>4</v>
      </c>
      <c r="I45" s="181">
        <v>0.5</v>
      </c>
      <c r="J45" s="185">
        <v>11.1111111111111</v>
      </c>
    </row>
    <row r="46" spans="2:10" ht="15.75">
      <c r="B46" s="181">
        <v>10</v>
      </c>
      <c r="C46" s="181" t="s">
        <v>45</v>
      </c>
      <c r="D46" s="181">
        <v>192.97</v>
      </c>
      <c r="E46" s="181">
        <v>188.56</v>
      </c>
      <c r="F46" s="181">
        <v>188.62</v>
      </c>
      <c r="G46" s="181">
        <v>188.14</v>
      </c>
      <c r="H46" s="181">
        <v>4.3499999999999899</v>
      </c>
      <c r="I46" s="181">
        <v>0.42000000000001603</v>
      </c>
      <c r="J46" s="185">
        <v>8.8050314465411894</v>
      </c>
    </row>
    <row r="47" spans="2:10" ht="15.75">
      <c r="B47" s="181"/>
      <c r="C47" s="181"/>
      <c r="D47" s="181"/>
      <c r="E47" s="181"/>
      <c r="F47" s="181"/>
      <c r="G47" s="181"/>
      <c r="H47" s="181"/>
      <c r="I47" s="181"/>
      <c r="J47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3F9C-D4AE-4013-A457-47E1D80D29B9}">
  <dimension ref="A1:AM86"/>
  <sheetViews>
    <sheetView zoomScale="85" zoomScaleNormal="85" workbookViewId="0">
      <selection activeCell="F6" sqref="F6"/>
    </sheetView>
  </sheetViews>
  <sheetFormatPr defaultRowHeight="15"/>
  <cols>
    <col min="1" max="1" width="9.140625" style="491"/>
    <col min="2" max="2" width="10.5703125" style="491" customWidth="1"/>
    <col min="3" max="3" width="14.7109375" style="491" customWidth="1"/>
    <col min="4" max="4" width="15.5703125" style="491" customWidth="1"/>
    <col min="5" max="5" width="18" style="491" customWidth="1"/>
    <col min="6" max="6" width="16.85546875" style="492" customWidth="1"/>
    <col min="7" max="7" width="9.140625" style="492"/>
    <col min="8" max="13" width="9.140625" style="491"/>
    <col min="14" max="14" width="13.140625" style="491" customWidth="1"/>
    <col min="15" max="16" width="9.140625" style="491"/>
    <col min="17" max="17" width="15.28515625" style="492" customWidth="1"/>
    <col min="18" max="18" width="21.7109375" style="492" customWidth="1"/>
    <col min="19" max="19" width="9.140625" style="491"/>
    <col min="20" max="20" width="9.140625" style="503"/>
    <col min="21" max="24" width="9.140625" style="491"/>
    <col min="25" max="25" width="11.85546875" style="737" customWidth="1"/>
    <col min="26" max="26" width="12" style="737" customWidth="1"/>
    <col min="27" max="28" width="11.140625" style="511" customWidth="1"/>
    <col min="29" max="31" width="9.140625" style="511"/>
    <col min="32" max="32" width="11.42578125" style="511" customWidth="1"/>
    <col min="33" max="35" width="9.140625" style="511"/>
    <col min="36" max="36" width="12" style="492" customWidth="1"/>
    <col min="37" max="37" width="21.7109375" style="733" customWidth="1"/>
    <col min="38" max="38" width="9.140625" style="735"/>
    <col min="39" max="16384" width="9.140625" style="491"/>
  </cols>
  <sheetData>
    <row r="1" spans="1:39">
      <c r="A1" s="519"/>
      <c r="B1" s="496"/>
      <c r="C1" s="497"/>
      <c r="D1" s="495"/>
    </row>
    <row r="2" spans="1:39">
      <c r="A2" s="496"/>
      <c r="B2" s="496"/>
      <c r="C2" s="497"/>
      <c r="D2" s="496"/>
      <c r="E2" s="492"/>
    </row>
    <row r="3" spans="1:39">
      <c r="A3" s="494"/>
      <c r="B3" s="494"/>
      <c r="C3" s="494"/>
      <c r="D3" s="494"/>
      <c r="V3" s="508"/>
      <c r="W3" s="508"/>
      <c r="X3" s="508"/>
      <c r="Y3" s="738"/>
      <c r="Z3" s="738"/>
      <c r="AA3" s="512"/>
      <c r="AB3" s="512"/>
      <c r="AC3" s="512"/>
      <c r="AD3" s="512"/>
      <c r="AE3" s="512"/>
      <c r="AF3" s="512"/>
      <c r="AG3" s="512"/>
      <c r="AH3" s="512"/>
      <c r="AI3" s="512"/>
      <c r="AM3" s="508"/>
    </row>
    <row r="4" spans="1:39">
      <c r="V4" s="508"/>
      <c r="W4" s="508"/>
      <c r="X4" s="508"/>
      <c r="Y4" s="738"/>
      <c r="Z4" s="738"/>
      <c r="AA4" s="512"/>
      <c r="AB4" s="512"/>
      <c r="AC4" s="512"/>
      <c r="AD4" s="512"/>
      <c r="AE4" s="512"/>
      <c r="AF4" s="512"/>
      <c r="AG4" s="512"/>
      <c r="AH4" s="512"/>
      <c r="AI4" s="512"/>
      <c r="AM4" s="508"/>
    </row>
    <row r="5" spans="1:39" ht="33.75" customHeight="1" thickBot="1">
      <c r="A5" s="491" t="s">
        <v>935</v>
      </c>
      <c r="B5" s="491" t="s">
        <v>936</v>
      </c>
      <c r="C5" s="491" t="s">
        <v>937</v>
      </c>
      <c r="D5" s="491" t="s">
        <v>938</v>
      </c>
      <c r="E5" s="508" t="s">
        <v>939</v>
      </c>
      <c r="F5" s="492" t="s">
        <v>940</v>
      </c>
      <c r="G5" s="492" t="s">
        <v>941</v>
      </c>
      <c r="H5" s="491" t="s">
        <v>942</v>
      </c>
      <c r="I5" s="491" t="s">
        <v>943</v>
      </c>
      <c r="J5" s="491" t="s">
        <v>944</v>
      </c>
      <c r="K5" s="491" t="s">
        <v>945</v>
      </c>
      <c r="L5" s="491" t="s">
        <v>946</v>
      </c>
      <c r="M5" s="491" t="s">
        <v>947</v>
      </c>
      <c r="N5" s="491" t="s">
        <v>948</v>
      </c>
      <c r="O5" s="491" t="s">
        <v>949</v>
      </c>
      <c r="P5" s="491" t="s">
        <v>950</v>
      </c>
      <c r="Q5" s="492" t="s">
        <v>951</v>
      </c>
      <c r="R5" s="492" t="s">
        <v>952</v>
      </c>
      <c r="S5" s="491" t="s">
        <v>953</v>
      </c>
      <c r="U5" s="491" t="s">
        <v>936</v>
      </c>
      <c r="V5" s="789" t="s">
        <v>119</v>
      </c>
      <c r="W5" s="789"/>
      <c r="X5" s="509" t="s">
        <v>1</v>
      </c>
      <c r="Y5" s="739" t="s">
        <v>968</v>
      </c>
      <c r="Z5" s="739" t="s">
        <v>970</v>
      </c>
      <c r="AA5" s="512" t="s">
        <v>969</v>
      </c>
      <c r="AB5" s="512" t="s">
        <v>971</v>
      </c>
      <c r="AC5" s="512" t="s">
        <v>972</v>
      </c>
      <c r="AD5" s="512" t="s">
        <v>973</v>
      </c>
      <c r="AE5" s="512" t="s">
        <v>974</v>
      </c>
      <c r="AF5" s="512" t="s">
        <v>975</v>
      </c>
      <c r="AG5" s="512" t="s">
        <v>976</v>
      </c>
      <c r="AH5" s="512" t="s">
        <v>977</v>
      </c>
      <c r="AI5" s="512" t="s">
        <v>978</v>
      </c>
      <c r="AJ5" s="510" t="s">
        <v>951</v>
      </c>
      <c r="AK5" s="734" t="s">
        <v>952</v>
      </c>
      <c r="AL5" s="736" t="s">
        <v>953</v>
      </c>
      <c r="AM5" s="508"/>
    </row>
    <row r="6" spans="1:39">
      <c r="A6" s="491" t="s">
        <v>954</v>
      </c>
      <c r="B6" s="491" t="s">
        <v>104</v>
      </c>
      <c r="C6" s="491">
        <v>1</v>
      </c>
      <c r="D6" s="491">
        <v>6.54</v>
      </c>
      <c r="E6" s="491" t="s">
        <v>955</v>
      </c>
      <c r="F6" s="492">
        <v>12</v>
      </c>
      <c r="G6" s="492">
        <v>264</v>
      </c>
      <c r="H6" s="491">
        <v>2075</v>
      </c>
      <c r="I6" s="491">
        <v>213</v>
      </c>
      <c r="J6" s="491">
        <v>38</v>
      </c>
      <c r="K6" s="491">
        <v>56</v>
      </c>
      <c r="L6" s="491">
        <v>2</v>
      </c>
      <c r="M6" s="491">
        <v>97</v>
      </c>
      <c r="N6" s="491">
        <v>228</v>
      </c>
      <c r="O6" s="491">
        <v>2.17</v>
      </c>
      <c r="P6" s="491">
        <v>3.17</v>
      </c>
      <c r="Q6" s="492">
        <v>10.9</v>
      </c>
      <c r="R6" s="492">
        <v>18.97</v>
      </c>
      <c r="S6" s="491">
        <v>1.0900000000000001</v>
      </c>
      <c r="U6" s="112" t="s">
        <v>104</v>
      </c>
      <c r="V6" s="113" t="s">
        <v>17</v>
      </c>
      <c r="W6" s="112" t="s">
        <v>19</v>
      </c>
      <c r="X6" s="504" t="s">
        <v>112</v>
      </c>
      <c r="Y6" s="737">
        <f>F6*0.4535923*1000000/758785.215</f>
        <v>7.1734497357068312</v>
      </c>
      <c r="Z6" s="737">
        <f t="shared" ref="Z6:AH6" si="0">G6*0.4535923*1000000/758785.215</f>
        <v>157.81589418555026</v>
      </c>
      <c r="AA6" s="511">
        <f t="shared" si="0"/>
        <v>1240.4090167993063</v>
      </c>
      <c r="AB6" s="511">
        <f t="shared" si="0"/>
        <v>127.32873280879622</v>
      </c>
      <c r="AC6" s="511">
        <f t="shared" si="0"/>
        <v>22.71592416307163</v>
      </c>
      <c r="AD6" s="511">
        <f t="shared" si="0"/>
        <v>33.476098766631871</v>
      </c>
      <c r="AE6" s="511">
        <f t="shared" si="0"/>
        <v>1.1955749559511384</v>
      </c>
      <c r="AF6" s="511">
        <f t="shared" si="0"/>
        <v>57.985385363630215</v>
      </c>
      <c r="AG6" s="511">
        <f t="shared" si="0"/>
        <v>136.29554497842977</v>
      </c>
      <c r="AH6" s="511">
        <f t="shared" si="0"/>
        <v>1.297198827206985</v>
      </c>
      <c r="AI6" s="511">
        <f>P6*0.4535923*1000000/758785.215</f>
        <v>1.8949863051825544</v>
      </c>
      <c r="AJ6" s="492">
        <v>10.9</v>
      </c>
      <c r="AK6" s="733">
        <v>18.97</v>
      </c>
      <c r="AL6" s="735">
        <v>1.0900000000000001</v>
      </c>
    </row>
    <row r="7" spans="1:39">
      <c r="A7" s="491" t="s">
        <v>954</v>
      </c>
      <c r="B7" s="491" t="s">
        <v>104</v>
      </c>
      <c r="C7" s="491">
        <v>2</v>
      </c>
      <c r="D7" s="491">
        <v>5.08</v>
      </c>
      <c r="E7" s="491" t="s">
        <v>955</v>
      </c>
      <c r="F7" s="492">
        <v>10</v>
      </c>
      <c r="G7" s="492">
        <v>163</v>
      </c>
      <c r="H7" s="491">
        <v>1654</v>
      </c>
      <c r="I7" s="491">
        <v>154</v>
      </c>
      <c r="J7" s="491">
        <v>39</v>
      </c>
      <c r="K7" s="491">
        <v>42</v>
      </c>
      <c r="L7" s="491">
        <v>2</v>
      </c>
      <c r="M7" s="491">
        <v>73</v>
      </c>
      <c r="N7" s="491">
        <v>183</v>
      </c>
      <c r="O7" s="491">
        <v>2.14</v>
      </c>
      <c r="P7" s="491">
        <v>3.27</v>
      </c>
      <c r="Q7" s="492">
        <v>11.02</v>
      </c>
      <c r="R7" s="492">
        <v>18.95</v>
      </c>
      <c r="S7" s="491">
        <v>0.9</v>
      </c>
      <c r="U7" s="112" t="s">
        <v>104</v>
      </c>
      <c r="V7" s="113" t="s">
        <v>17</v>
      </c>
      <c r="W7" s="112" t="s">
        <v>19</v>
      </c>
      <c r="X7" s="504" t="s">
        <v>114</v>
      </c>
      <c r="Y7" s="737">
        <f t="shared" ref="Y7:Y70" si="1">F7*0.4535923*1000000/758785.215</f>
        <v>5.9778747797556919</v>
      </c>
      <c r="Z7" s="737">
        <f t="shared" ref="Z7:Z70" si="2">G7*0.4535923*1000000/758785.215</f>
        <v>97.439358910017759</v>
      </c>
      <c r="AA7" s="511">
        <f t="shared" ref="AA7:AA70" si="3">H7*0.4535923*1000000/758785.215</f>
        <v>988.74048857159153</v>
      </c>
      <c r="AB7" s="511">
        <f t="shared" ref="AB7:AB70" si="4">I7*0.4535923*1000000/758785.215</f>
        <v>92.059271608237651</v>
      </c>
      <c r="AC7" s="511">
        <f t="shared" ref="AC7:AC70" si="5">J7*0.4535923*1000000/758785.215</f>
        <v>23.313711641047195</v>
      </c>
      <c r="AD7" s="511">
        <f t="shared" ref="AD7:AD70" si="6">K7*0.4535923*1000000/758785.215</f>
        <v>25.107074074973902</v>
      </c>
      <c r="AE7" s="511">
        <f t="shared" ref="AE7:AE70" si="7">L7*0.4535923*1000000/758785.215</f>
        <v>1.1955749559511384</v>
      </c>
      <c r="AF7" s="511">
        <f t="shared" ref="AF7:AF70" si="8">M7*0.4535923*1000000/758785.215</f>
        <v>43.638485892216551</v>
      </c>
      <c r="AG7" s="511">
        <f t="shared" ref="AG7:AG70" si="9">N7*0.4535923*1000000/758785.215</f>
        <v>109.39510846952916</v>
      </c>
      <c r="AH7" s="511">
        <f t="shared" ref="AH7:AH70" si="10">O7*0.4535923*1000000/758785.215</f>
        <v>1.2792652028677183</v>
      </c>
      <c r="AI7" s="511">
        <f t="shared" ref="AI7:AI70" si="11">P7*0.4535923*1000000/758785.215</f>
        <v>1.9547650529801113</v>
      </c>
      <c r="AJ7" s="492">
        <v>11.02</v>
      </c>
      <c r="AK7" s="733">
        <v>18.95</v>
      </c>
      <c r="AL7" s="735">
        <v>0.9</v>
      </c>
    </row>
    <row r="8" spans="1:39">
      <c r="A8" s="491" t="s">
        <v>954</v>
      </c>
      <c r="B8" s="491" t="s">
        <v>104</v>
      </c>
      <c r="C8" s="491">
        <v>3</v>
      </c>
      <c r="D8" s="491">
        <v>5.16</v>
      </c>
      <c r="E8" s="491" t="s">
        <v>955</v>
      </c>
      <c r="F8" s="492">
        <v>5</v>
      </c>
      <c r="G8" s="492">
        <v>124</v>
      </c>
      <c r="H8" s="491">
        <v>1738</v>
      </c>
      <c r="I8" s="491">
        <v>136</v>
      </c>
      <c r="J8" s="491">
        <v>50</v>
      </c>
      <c r="K8" s="491">
        <v>43</v>
      </c>
      <c r="L8" s="491">
        <v>1</v>
      </c>
      <c r="M8" s="491">
        <v>30</v>
      </c>
      <c r="N8" s="491">
        <v>173</v>
      </c>
      <c r="O8" s="491">
        <v>1.58</v>
      </c>
      <c r="P8" s="491">
        <v>3.53</v>
      </c>
      <c r="Q8" s="492">
        <v>5.75</v>
      </c>
      <c r="R8" s="492">
        <v>9.89</v>
      </c>
      <c r="S8" s="491">
        <v>0.44</v>
      </c>
      <c r="U8" s="112" t="s">
        <v>104</v>
      </c>
      <c r="V8" s="113" t="s">
        <v>17</v>
      </c>
      <c r="W8" s="112" t="s">
        <v>19</v>
      </c>
      <c r="X8" s="504" t="s">
        <v>817</v>
      </c>
      <c r="Y8" s="737">
        <f t="shared" si="1"/>
        <v>2.988937389877846</v>
      </c>
      <c r="Z8" s="737">
        <f t="shared" si="2"/>
        <v>74.125647268970567</v>
      </c>
      <c r="AA8" s="511">
        <f t="shared" si="3"/>
        <v>1038.9546367215391</v>
      </c>
      <c r="AB8" s="511">
        <f t="shared" si="4"/>
        <v>81.299097004677407</v>
      </c>
      <c r="AC8" s="511">
        <f t="shared" si="5"/>
        <v>29.889373898778459</v>
      </c>
      <c r="AD8" s="511">
        <f t="shared" si="6"/>
        <v>25.704861552949474</v>
      </c>
      <c r="AE8" s="511">
        <f t="shared" si="7"/>
        <v>0.59778747797556919</v>
      </c>
      <c r="AF8" s="511">
        <f t="shared" si="8"/>
        <v>17.933624339267077</v>
      </c>
      <c r="AG8" s="511">
        <f t="shared" si="9"/>
        <v>103.41723368977347</v>
      </c>
      <c r="AH8" s="511">
        <f t="shared" si="10"/>
        <v>0.94450421520139938</v>
      </c>
      <c r="AI8" s="511">
        <f t="shared" si="11"/>
        <v>2.1101897972537591</v>
      </c>
      <c r="AJ8" s="492">
        <v>5.75</v>
      </c>
      <c r="AK8" s="733">
        <v>9.89</v>
      </c>
      <c r="AL8" s="735">
        <v>0.44</v>
      </c>
    </row>
    <row r="9" spans="1:39">
      <c r="A9" s="491" t="s">
        <v>954</v>
      </c>
      <c r="B9" s="491" t="s">
        <v>104</v>
      </c>
      <c r="C9" s="491">
        <v>4</v>
      </c>
      <c r="D9" s="491">
        <v>3.5</v>
      </c>
      <c r="E9" s="491" t="s">
        <v>955</v>
      </c>
      <c r="F9" s="492">
        <v>4</v>
      </c>
      <c r="G9" s="492">
        <v>91</v>
      </c>
      <c r="H9" s="491">
        <v>1026</v>
      </c>
      <c r="I9" s="491">
        <v>92</v>
      </c>
      <c r="J9" s="491">
        <v>103</v>
      </c>
      <c r="K9" s="491">
        <v>35</v>
      </c>
      <c r="L9" s="491">
        <v>2</v>
      </c>
      <c r="M9" s="491">
        <v>15</v>
      </c>
      <c r="N9" s="491">
        <v>156</v>
      </c>
      <c r="O9" s="491">
        <v>1.54</v>
      </c>
      <c r="P9" s="491">
        <v>3.56</v>
      </c>
      <c r="Q9" s="492">
        <v>10.78</v>
      </c>
      <c r="R9" s="492">
        <v>18.54</v>
      </c>
      <c r="S9" s="491">
        <v>0.94</v>
      </c>
      <c r="U9" s="112" t="s">
        <v>104</v>
      </c>
      <c r="V9" s="113" t="s">
        <v>17</v>
      </c>
      <c r="W9" s="112" t="s">
        <v>21</v>
      </c>
      <c r="X9" s="504" t="s">
        <v>112</v>
      </c>
      <c r="Y9" s="737">
        <f t="shared" si="1"/>
        <v>2.3911499119022768</v>
      </c>
      <c r="Z9" s="737">
        <f t="shared" si="2"/>
        <v>54.398660495776802</v>
      </c>
      <c r="AA9" s="511">
        <f t="shared" si="3"/>
        <v>613.32995240293394</v>
      </c>
      <c r="AB9" s="511">
        <f t="shared" si="4"/>
        <v>54.996447973752367</v>
      </c>
      <c r="AC9" s="511">
        <f t="shared" si="5"/>
        <v>61.57211023148362</v>
      </c>
      <c r="AD9" s="511">
        <f t="shared" si="6"/>
        <v>20.92256172914492</v>
      </c>
      <c r="AE9" s="511">
        <f t="shared" si="7"/>
        <v>1.1955749559511384</v>
      </c>
      <c r="AF9" s="511">
        <f t="shared" si="8"/>
        <v>8.9668121696335383</v>
      </c>
      <c r="AG9" s="511">
        <f t="shared" si="9"/>
        <v>93.254846564188782</v>
      </c>
      <c r="AH9" s="511">
        <f t="shared" si="10"/>
        <v>0.92059271608237647</v>
      </c>
      <c r="AI9" s="511">
        <f t="shared" si="11"/>
        <v>2.1281234215930267</v>
      </c>
      <c r="AJ9" s="492">
        <v>10.78</v>
      </c>
      <c r="AK9" s="733">
        <v>18.54</v>
      </c>
      <c r="AL9" s="735">
        <v>0.94</v>
      </c>
    </row>
    <row r="10" spans="1:39">
      <c r="A10" s="491" t="s">
        <v>954</v>
      </c>
      <c r="B10" s="491" t="s">
        <v>104</v>
      </c>
      <c r="C10" s="491">
        <v>5</v>
      </c>
      <c r="D10" s="491">
        <v>7.1</v>
      </c>
      <c r="E10" s="491" t="s">
        <v>955</v>
      </c>
      <c r="F10" s="492">
        <v>27</v>
      </c>
      <c r="G10" s="492">
        <v>355</v>
      </c>
      <c r="H10" s="491">
        <v>2090</v>
      </c>
      <c r="I10" s="491">
        <v>326</v>
      </c>
      <c r="J10" s="491">
        <v>41</v>
      </c>
      <c r="K10" s="491">
        <v>30</v>
      </c>
      <c r="L10" s="491">
        <v>6</v>
      </c>
      <c r="M10" s="491">
        <v>100</v>
      </c>
      <c r="N10" s="491">
        <v>469</v>
      </c>
      <c r="O10" s="491">
        <v>2.78</v>
      </c>
      <c r="P10" s="491">
        <v>2.1</v>
      </c>
      <c r="Q10" s="492">
        <v>10.44</v>
      </c>
      <c r="R10" s="492">
        <v>17.96</v>
      </c>
      <c r="S10" s="491">
        <v>0.86</v>
      </c>
      <c r="U10" s="112" t="s">
        <v>104</v>
      </c>
      <c r="V10" s="113" t="s">
        <v>17</v>
      </c>
      <c r="W10" s="112" t="s">
        <v>21</v>
      </c>
      <c r="X10" s="504" t="s">
        <v>114</v>
      </c>
      <c r="Y10" s="737">
        <f t="shared" si="1"/>
        <v>16.140261905340367</v>
      </c>
      <c r="Z10" s="737">
        <f t="shared" si="2"/>
        <v>212.21455468132709</v>
      </c>
      <c r="AA10" s="511">
        <f t="shared" si="3"/>
        <v>1249.3758289689395</v>
      </c>
      <c r="AB10" s="511">
        <f t="shared" si="4"/>
        <v>194.87871782003552</v>
      </c>
      <c r="AC10" s="511">
        <f t="shared" si="5"/>
        <v>24.509286596998336</v>
      </c>
      <c r="AD10" s="511">
        <f t="shared" si="6"/>
        <v>17.933624339267077</v>
      </c>
      <c r="AE10" s="511">
        <f t="shared" si="7"/>
        <v>3.5867248678534156</v>
      </c>
      <c r="AF10" s="511">
        <f t="shared" si="8"/>
        <v>59.778747797556917</v>
      </c>
      <c r="AG10" s="511">
        <f t="shared" si="9"/>
        <v>280.3623271705419</v>
      </c>
      <c r="AH10" s="511">
        <f t="shared" si="10"/>
        <v>1.6618491887720823</v>
      </c>
      <c r="AI10" s="511">
        <f t="shared" si="11"/>
        <v>1.2553537037486953</v>
      </c>
      <c r="AJ10" s="492">
        <v>10.44</v>
      </c>
      <c r="AK10" s="733">
        <v>17.96</v>
      </c>
      <c r="AL10" s="735">
        <v>0.86</v>
      </c>
    </row>
    <row r="11" spans="1:39">
      <c r="A11" s="491" t="s">
        <v>954</v>
      </c>
      <c r="B11" s="491" t="s">
        <v>104</v>
      </c>
      <c r="C11" s="491">
        <v>6</v>
      </c>
      <c r="D11" s="491">
        <v>7.41</v>
      </c>
      <c r="E11" s="491" t="s">
        <v>955</v>
      </c>
      <c r="F11" s="492">
        <v>24</v>
      </c>
      <c r="G11" s="492">
        <v>233</v>
      </c>
      <c r="H11" s="491">
        <v>2340</v>
      </c>
      <c r="I11" s="491">
        <v>256</v>
      </c>
      <c r="J11" s="491">
        <v>45</v>
      </c>
      <c r="K11" s="491">
        <v>36</v>
      </c>
      <c r="L11" s="491">
        <v>4</v>
      </c>
      <c r="M11" s="491">
        <v>80</v>
      </c>
      <c r="N11" s="491">
        <v>487</v>
      </c>
      <c r="O11" s="491">
        <v>2.46</v>
      </c>
      <c r="P11" s="491">
        <v>3.26</v>
      </c>
      <c r="Q11" s="492">
        <v>5.74</v>
      </c>
      <c r="R11" s="492">
        <v>9.8699999999999992</v>
      </c>
      <c r="S11" s="491">
        <v>0.47</v>
      </c>
      <c r="U11" s="112" t="s">
        <v>104</v>
      </c>
      <c r="V11" s="113" t="s">
        <v>17</v>
      </c>
      <c r="W11" s="112" t="s">
        <v>21</v>
      </c>
      <c r="X11" s="504" t="s">
        <v>817</v>
      </c>
      <c r="Y11" s="737">
        <f t="shared" si="1"/>
        <v>14.346899471413662</v>
      </c>
      <c r="Z11" s="737">
        <f t="shared" si="2"/>
        <v>139.28448236830764</v>
      </c>
      <c r="AA11" s="511">
        <f t="shared" si="3"/>
        <v>1398.8226984628318</v>
      </c>
      <c r="AB11" s="511">
        <f t="shared" si="4"/>
        <v>153.03359436174571</v>
      </c>
      <c r="AC11" s="511">
        <f t="shared" si="5"/>
        <v>26.900436508900611</v>
      </c>
      <c r="AD11" s="511">
        <f t="shared" si="6"/>
        <v>21.520349207120493</v>
      </c>
      <c r="AE11" s="511">
        <f t="shared" si="7"/>
        <v>2.3911499119022768</v>
      </c>
      <c r="AF11" s="511">
        <f t="shared" si="8"/>
        <v>47.822998238045535</v>
      </c>
      <c r="AG11" s="511">
        <f t="shared" si="9"/>
        <v>291.1225017741022</v>
      </c>
      <c r="AH11" s="511">
        <f t="shared" si="10"/>
        <v>1.4705571958199004</v>
      </c>
      <c r="AI11" s="511">
        <f t="shared" si="11"/>
        <v>1.9487871782003552</v>
      </c>
      <c r="AJ11" s="492">
        <v>5.74</v>
      </c>
      <c r="AK11" s="733">
        <v>9.8699999999999992</v>
      </c>
      <c r="AL11" s="735">
        <v>0.47</v>
      </c>
    </row>
    <row r="12" spans="1:39">
      <c r="A12" s="491" t="s">
        <v>954</v>
      </c>
      <c r="B12" s="491" t="s">
        <v>104</v>
      </c>
      <c r="C12" s="491">
        <v>7</v>
      </c>
      <c r="D12" s="491">
        <v>6.86</v>
      </c>
      <c r="E12" s="491" t="s">
        <v>955</v>
      </c>
      <c r="F12" s="492">
        <v>10</v>
      </c>
      <c r="G12" s="492">
        <v>165</v>
      </c>
      <c r="H12" s="491">
        <v>2333</v>
      </c>
      <c r="I12" s="491">
        <v>178</v>
      </c>
      <c r="J12" s="491">
        <v>61</v>
      </c>
      <c r="K12" s="491">
        <v>32</v>
      </c>
      <c r="L12" s="491">
        <v>3</v>
      </c>
      <c r="M12" s="491">
        <v>72</v>
      </c>
      <c r="N12" s="491">
        <v>240</v>
      </c>
      <c r="O12" s="491">
        <v>2</v>
      </c>
      <c r="P12" s="491">
        <v>3.58</v>
      </c>
      <c r="Q12" s="492">
        <v>12.35</v>
      </c>
      <c r="R12" s="492">
        <v>21.24</v>
      </c>
      <c r="S12" s="491">
        <v>1.0900000000000001</v>
      </c>
      <c r="U12" s="112" t="s">
        <v>104</v>
      </c>
      <c r="V12" s="113" t="s">
        <v>17</v>
      </c>
      <c r="W12" s="112" t="s">
        <v>20</v>
      </c>
      <c r="X12" s="504" t="s">
        <v>112</v>
      </c>
      <c r="Y12" s="737">
        <f t="shared" si="1"/>
        <v>5.9778747797556919</v>
      </c>
      <c r="Z12" s="737">
        <f t="shared" si="2"/>
        <v>98.634933865968918</v>
      </c>
      <c r="AA12" s="511">
        <f t="shared" si="3"/>
        <v>1394.638186117003</v>
      </c>
      <c r="AB12" s="511">
        <f t="shared" si="4"/>
        <v>106.40617107965132</v>
      </c>
      <c r="AC12" s="511">
        <f t="shared" si="5"/>
        <v>36.465036156509719</v>
      </c>
      <c r="AD12" s="511">
        <f t="shared" si="6"/>
        <v>19.129199295218214</v>
      </c>
      <c r="AE12" s="511">
        <f t="shared" si="7"/>
        <v>1.7933624339267078</v>
      </c>
      <c r="AF12" s="511">
        <f t="shared" si="8"/>
        <v>43.040698414240985</v>
      </c>
      <c r="AG12" s="511">
        <f t="shared" si="9"/>
        <v>143.46899471413661</v>
      </c>
      <c r="AH12" s="511">
        <f t="shared" si="10"/>
        <v>1.1955749559511384</v>
      </c>
      <c r="AI12" s="511">
        <f t="shared" si="11"/>
        <v>2.140079171152538</v>
      </c>
      <c r="AJ12" s="492">
        <v>12.35</v>
      </c>
      <c r="AK12" s="733">
        <v>21.24</v>
      </c>
      <c r="AL12" s="735">
        <v>1.0900000000000001</v>
      </c>
    </row>
    <row r="13" spans="1:39">
      <c r="A13" s="491" t="s">
        <v>954</v>
      </c>
      <c r="B13" s="491" t="s">
        <v>104</v>
      </c>
      <c r="C13" s="491">
        <v>8</v>
      </c>
      <c r="D13" s="491">
        <v>6.74</v>
      </c>
      <c r="E13" s="491" t="s">
        <v>955</v>
      </c>
      <c r="F13" s="492">
        <v>10</v>
      </c>
      <c r="G13" s="492">
        <v>128</v>
      </c>
      <c r="H13" s="491">
        <v>2365</v>
      </c>
      <c r="I13" s="491">
        <v>144</v>
      </c>
      <c r="J13" s="491">
        <v>36</v>
      </c>
      <c r="K13" s="491">
        <v>31</v>
      </c>
      <c r="L13" s="491">
        <v>1</v>
      </c>
      <c r="M13" s="491">
        <v>66</v>
      </c>
      <c r="N13" s="491">
        <v>163</v>
      </c>
      <c r="O13" s="491">
        <v>1.69</v>
      </c>
      <c r="P13" s="491">
        <v>3.46</v>
      </c>
      <c r="Q13" s="492">
        <v>8.7799999999999994</v>
      </c>
      <c r="R13" s="492">
        <v>15.1</v>
      </c>
      <c r="S13" s="491">
        <v>0.67</v>
      </c>
      <c r="U13" s="112" t="s">
        <v>104</v>
      </c>
      <c r="V13" s="113" t="s">
        <v>17</v>
      </c>
      <c r="W13" s="112" t="s">
        <v>20</v>
      </c>
      <c r="X13" s="504" t="s">
        <v>114</v>
      </c>
      <c r="Y13" s="737">
        <f t="shared" si="1"/>
        <v>5.9778747797556919</v>
      </c>
      <c r="Z13" s="737">
        <f t="shared" si="2"/>
        <v>76.516797180872857</v>
      </c>
      <c r="AA13" s="511">
        <f t="shared" si="3"/>
        <v>1413.7673854122211</v>
      </c>
      <c r="AB13" s="511">
        <f t="shared" si="4"/>
        <v>86.081396828481971</v>
      </c>
      <c r="AC13" s="511">
        <f t="shared" si="5"/>
        <v>21.520349207120493</v>
      </c>
      <c r="AD13" s="511">
        <f t="shared" si="6"/>
        <v>18.531411817242642</v>
      </c>
      <c r="AE13" s="511">
        <f t="shared" si="7"/>
        <v>0.59778747797556919</v>
      </c>
      <c r="AF13" s="511">
        <f t="shared" si="8"/>
        <v>39.453973546387566</v>
      </c>
      <c r="AG13" s="511">
        <f t="shared" si="9"/>
        <v>97.439358910017759</v>
      </c>
      <c r="AH13" s="511">
        <f t="shared" si="10"/>
        <v>1.0102608377787121</v>
      </c>
      <c r="AI13" s="511">
        <f t="shared" si="11"/>
        <v>2.0683446737954694</v>
      </c>
      <c r="AJ13" s="492">
        <v>8.7799999999999994</v>
      </c>
      <c r="AK13" s="733">
        <v>15.1</v>
      </c>
      <c r="AL13" s="735">
        <v>0.67</v>
      </c>
    </row>
    <row r="14" spans="1:39">
      <c r="A14" s="491" t="s">
        <v>954</v>
      </c>
      <c r="B14" s="491" t="s">
        <v>104</v>
      </c>
      <c r="C14" s="491">
        <v>9</v>
      </c>
      <c r="D14" s="491">
        <v>9.48</v>
      </c>
      <c r="E14" s="491" t="s">
        <v>955</v>
      </c>
      <c r="F14" s="492">
        <v>12</v>
      </c>
      <c r="G14" s="492">
        <v>124</v>
      </c>
      <c r="H14" s="491">
        <v>3465</v>
      </c>
      <c r="I14" s="491">
        <v>139</v>
      </c>
      <c r="J14" s="491">
        <v>31</v>
      </c>
      <c r="K14" s="491">
        <v>37</v>
      </c>
      <c r="L14" s="491">
        <v>2</v>
      </c>
      <c r="M14" s="491">
        <v>50</v>
      </c>
      <c r="N14" s="491">
        <v>141</v>
      </c>
      <c r="O14" s="491">
        <v>1.41</v>
      </c>
      <c r="P14" s="491">
        <v>3.07</v>
      </c>
      <c r="Q14" s="492">
        <v>5.62</v>
      </c>
      <c r="R14" s="492">
        <v>9.67</v>
      </c>
      <c r="S14" s="491">
        <v>0.44</v>
      </c>
      <c r="U14" s="112" t="s">
        <v>104</v>
      </c>
      <c r="V14" s="113" t="s">
        <v>17</v>
      </c>
      <c r="W14" s="112" t="s">
        <v>20</v>
      </c>
      <c r="X14" s="504" t="s">
        <v>817</v>
      </c>
      <c r="Y14" s="737">
        <f t="shared" si="1"/>
        <v>7.1734497357068312</v>
      </c>
      <c r="Z14" s="737">
        <f t="shared" si="2"/>
        <v>74.125647268970567</v>
      </c>
      <c r="AA14" s="511">
        <f t="shared" si="3"/>
        <v>2071.3336111853473</v>
      </c>
      <c r="AB14" s="511">
        <f t="shared" si="4"/>
        <v>83.092459438604124</v>
      </c>
      <c r="AC14" s="511">
        <f t="shared" si="5"/>
        <v>18.531411817242642</v>
      </c>
      <c r="AD14" s="511">
        <f t="shared" si="6"/>
        <v>22.118136685096061</v>
      </c>
      <c r="AE14" s="511">
        <f t="shared" si="7"/>
        <v>1.1955749559511384</v>
      </c>
      <c r="AF14" s="511">
        <f t="shared" si="8"/>
        <v>29.889373898778459</v>
      </c>
      <c r="AG14" s="511">
        <f t="shared" si="9"/>
        <v>84.288034394555254</v>
      </c>
      <c r="AH14" s="511">
        <f t="shared" si="10"/>
        <v>0.84288034394555256</v>
      </c>
      <c r="AI14" s="511">
        <f t="shared" si="11"/>
        <v>1.8352075573849971</v>
      </c>
      <c r="AJ14" s="492">
        <v>5.62</v>
      </c>
      <c r="AK14" s="733">
        <v>9.67</v>
      </c>
      <c r="AL14" s="735">
        <v>0.44</v>
      </c>
    </row>
    <row r="15" spans="1:39">
      <c r="A15" s="491" t="s">
        <v>954</v>
      </c>
      <c r="B15" s="491" t="s">
        <v>104</v>
      </c>
      <c r="C15" s="491">
        <v>10</v>
      </c>
      <c r="D15" s="491">
        <v>63.08</v>
      </c>
      <c r="E15" s="491" t="s">
        <v>955</v>
      </c>
      <c r="F15" s="492">
        <v>660</v>
      </c>
      <c r="G15" s="492">
        <v>2627</v>
      </c>
      <c r="H15" s="491">
        <v>22062</v>
      </c>
      <c r="I15" s="491">
        <v>994</v>
      </c>
      <c r="J15" s="491">
        <v>185</v>
      </c>
      <c r="K15" s="491">
        <v>79</v>
      </c>
      <c r="L15" s="491">
        <v>22</v>
      </c>
      <c r="M15" s="491">
        <v>200</v>
      </c>
      <c r="N15" s="491">
        <v>226</v>
      </c>
      <c r="O15" s="491">
        <v>2.2200000000000002</v>
      </c>
      <c r="P15" s="491">
        <v>12.91</v>
      </c>
      <c r="Q15" s="492">
        <v>7.03</v>
      </c>
      <c r="R15" s="492">
        <v>12.09</v>
      </c>
      <c r="S15" s="491">
        <v>0.55000000000000004</v>
      </c>
      <c r="U15" s="112" t="s">
        <v>104</v>
      </c>
      <c r="V15" s="113" t="s">
        <v>24</v>
      </c>
      <c r="W15" s="112" t="s">
        <v>25</v>
      </c>
      <c r="X15" s="504" t="s">
        <v>112</v>
      </c>
      <c r="Y15" s="737">
        <f t="shared" si="1"/>
        <v>394.53973546387567</v>
      </c>
      <c r="Z15" s="737">
        <f t="shared" si="2"/>
        <v>1570.3877046418202</v>
      </c>
      <c r="AA15" s="511">
        <f t="shared" si="3"/>
        <v>13188.387339097006</v>
      </c>
      <c r="AB15" s="511">
        <f t="shared" si="4"/>
        <v>594.20075310771574</v>
      </c>
      <c r="AC15" s="511">
        <f t="shared" si="5"/>
        <v>110.59068342548029</v>
      </c>
      <c r="AD15" s="511">
        <f t="shared" si="6"/>
        <v>47.225210760069956</v>
      </c>
      <c r="AE15" s="511">
        <f t="shared" si="7"/>
        <v>13.151324515462521</v>
      </c>
      <c r="AF15" s="511">
        <f t="shared" si="8"/>
        <v>119.55749559511383</v>
      </c>
      <c r="AG15" s="511">
        <f t="shared" si="9"/>
        <v>135.09997002247863</v>
      </c>
      <c r="AH15" s="511">
        <f t="shared" si="10"/>
        <v>1.3270882011057639</v>
      </c>
      <c r="AI15" s="511">
        <f t="shared" si="11"/>
        <v>7.717436340664598</v>
      </c>
      <c r="AJ15" s="492">
        <v>7.03</v>
      </c>
      <c r="AK15" s="733">
        <v>12.09</v>
      </c>
      <c r="AL15" s="735">
        <v>0.55000000000000004</v>
      </c>
    </row>
    <row r="16" spans="1:39">
      <c r="A16" s="491" t="s">
        <v>954</v>
      </c>
      <c r="B16" s="491" t="s">
        <v>104</v>
      </c>
      <c r="C16" s="491">
        <v>11</v>
      </c>
      <c r="D16" s="491">
        <v>12.78</v>
      </c>
      <c r="E16" s="491" t="s">
        <v>955</v>
      </c>
      <c r="F16" s="492">
        <v>562</v>
      </c>
      <c r="G16" s="492">
        <v>295</v>
      </c>
      <c r="H16" s="491">
        <v>4307</v>
      </c>
      <c r="I16" s="491">
        <v>264</v>
      </c>
      <c r="J16" s="491">
        <v>117</v>
      </c>
      <c r="K16" s="491">
        <v>247</v>
      </c>
      <c r="L16" s="491">
        <v>22</v>
      </c>
      <c r="M16" s="491">
        <v>89</v>
      </c>
      <c r="N16" s="491">
        <v>908</v>
      </c>
      <c r="O16" s="491">
        <v>10.029999999999999</v>
      </c>
      <c r="P16" s="491">
        <v>3.58</v>
      </c>
      <c r="Q16" s="492">
        <v>5.97</v>
      </c>
      <c r="R16" s="492">
        <v>10.27</v>
      </c>
      <c r="S16" s="491">
        <v>0.44</v>
      </c>
      <c r="U16" s="112" t="s">
        <v>104</v>
      </c>
      <c r="V16" s="113" t="s">
        <v>24</v>
      </c>
      <c r="W16" s="112" t="s">
        <v>25</v>
      </c>
      <c r="X16" s="504" t="s">
        <v>114</v>
      </c>
      <c r="Y16" s="737">
        <f t="shared" si="1"/>
        <v>335.95656262226993</v>
      </c>
      <c r="Z16" s="737">
        <f t="shared" si="2"/>
        <v>176.34730600279292</v>
      </c>
      <c r="AA16" s="511">
        <f t="shared" si="3"/>
        <v>2574.6706676407766</v>
      </c>
      <c r="AB16" s="511">
        <f t="shared" si="4"/>
        <v>157.81589418555026</v>
      </c>
      <c r="AC16" s="511">
        <f t="shared" si="5"/>
        <v>69.94113492314159</v>
      </c>
      <c r="AD16" s="511">
        <f t="shared" si="6"/>
        <v>147.65350705996559</v>
      </c>
      <c r="AE16" s="511">
        <f t="shared" si="7"/>
        <v>13.151324515462521</v>
      </c>
      <c r="AF16" s="511">
        <f t="shared" si="8"/>
        <v>53.203085539825658</v>
      </c>
      <c r="AG16" s="511">
        <f t="shared" si="9"/>
        <v>542.79103000181681</v>
      </c>
      <c r="AH16" s="511">
        <f t="shared" si="10"/>
        <v>5.9958084040949577</v>
      </c>
      <c r="AI16" s="511">
        <f t="shared" si="11"/>
        <v>2.140079171152538</v>
      </c>
      <c r="AJ16" s="492">
        <v>5.97</v>
      </c>
      <c r="AK16" s="733">
        <v>10.27</v>
      </c>
      <c r="AL16" s="735">
        <v>0.44</v>
      </c>
    </row>
    <row r="17" spans="1:38">
      <c r="A17" s="491" t="s">
        <v>954</v>
      </c>
      <c r="B17" s="491" t="s">
        <v>104</v>
      </c>
      <c r="C17" s="491">
        <v>12</v>
      </c>
      <c r="D17" s="491">
        <v>13.72</v>
      </c>
      <c r="E17" s="491" t="s">
        <v>955</v>
      </c>
      <c r="F17" s="492">
        <v>1124</v>
      </c>
      <c r="G17" s="492">
        <v>574</v>
      </c>
      <c r="H17" s="491">
        <v>4607</v>
      </c>
      <c r="I17" s="491">
        <v>289</v>
      </c>
      <c r="J17" s="491">
        <v>203</v>
      </c>
      <c r="K17" s="491">
        <v>123</v>
      </c>
      <c r="L17" s="491">
        <v>20</v>
      </c>
      <c r="M17" s="491">
        <v>81</v>
      </c>
      <c r="N17" s="491">
        <v>958</v>
      </c>
      <c r="O17" s="491">
        <v>6.57</v>
      </c>
      <c r="P17" s="491">
        <v>4.25</v>
      </c>
      <c r="Q17" s="546" t="s">
        <v>989</v>
      </c>
      <c r="R17" s="516"/>
      <c r="S17" s="515" t="s">
        <v>956</v>
      </c>
      <c r="U17" s="112" t="s">
        <v>104</v>
      </c>
      <c r="V17" s="113" t="s">
        <v>24</v>
      </c>
      <c r="W17" s="112" t="s">
        <v>25</v>
      </c>
      <c r="X17" s="504" t="s">
        <v>817</v>
      </c>
      <c r="Y17" s="737">
        <f t="shared" si="1"/>
        <v>671.91312524453986</v>
      </c>
      <c r="Z17" s="737">
        <f t="shared" si="2"/>
        <v>343.13001235797674</v>
      </c>
      <c r="AA17" s="511">
        <f t="shared" si="3"/>
        <v>2754.0069110334475</v>
      </c>
      <c r="AB17" s="511">
        <f t="shared" si="4"/>
        <v>172.76058113493949</v>
      </c>
      <c r="AC17" s="511">
        <f t="shared" si="5"/>
        <v>121.35085802904052</v>
      </c>
      <c r="AD17" s="511">
        <f t="shared" si="6"/>
        <v>73.527859790995009</v>
      </c>
      <c r="AE17" s="511">
        <f t="shared" si="7"/>
        <v>11.955749559511384</v>
      </c>
      <c r="AF17" s="511">
        <f t="shared" si="8"/>
        <v>48.420785716021101</v>
      </c>
      <c r="AG17" s="511">
        <f t="shared" si="9"/>
        <v>572.68040390059525</v>
      </c>
      <c r="AH17" s="511">
        <f t="shared" si="10"/>
        <v>3.9274637302994897</v>
      </c>
      <c r="AI17" s="511">
        <f t="shared" si="11"/>
        <v>2.540596781396169</v>
      </c>
      <c r="AJ17" s="527" t="s">
        <v>989</v>
      </c>
      <c r="AL17" s="735" t="s">
        <v>956</v>
      </c>
    </row>
    <row r="18" spans="1:38">
      <c r="A18" s="491" t="s">
        <v>954</v>
      </c>
      <c r="B18" s="491" t="s">
        <v>104</v>
      </c>
      <c r="C18" s="491">
        <v>13</v>
      </c>
      <c r="D18" s="491">
        <v>11.74</v>
      </c>
      <c r="E18" s="491" t="s">
        <v>955</v>
      </c>
      <c r="F18" s="492">
        <v>663</v>
      </c>
      <c r="G18" s="492">
        <v>264</v>
      </c>
      <c r="H18" s="491">
        <v>4209</v>
      </c>
      <c r="I18" s="491">
        <v>179</v>
      </c>
      <c r="J18" s="491">
        <v>70</v>
      </c>
      <c r="K18" s="491">
        <v>62</v>
      </c>
      <c r="L18" s="491">
        <v>16</v>
      </c>
      <c r="M18" s="491">
        <v>61</v>
      </c>
      <c r="N18" s="491">
        <v>1044</v>
      </c>
      <c r="O18" s="491">
        <v>6.66</v>
      </c>
      <c r="P18" s="491">
        <v>3.66</v>
      </c>
      <c r="Q18" s="492">
        <v>10.48</v>
      </c>
      <c r="R18" s="492">
        <v>18.03</v>
      </c>
      <c r="S18" s="491">
        <v>0.89</v>
      </c>
      <c r="U18" s="112" t="s">
        <v>104</v>
      </c>
      <c r="V18" s="113" t="s">
        <v>24</v>
      </c>
      <c r="W18" s="112" t="s">
        <v>18</v>
      </c>
      <c r="X18" s="504" t="s">
        <v>112</v>
      </c>
      <c r="Y18" s="737">
        <f t="shared" si="1"/>
        <v>396.3330978978023</v>
      </c>
      <c r="Z18" s="737">
        <f t="shared" si="2"/>
        <v>157.81589418555026</v>
      </c>
      <c r="AA18" s="511">
        <f t="shared" si="3"/>
        <v>2516.0874947991706</v>
      </c>
      <c r="AB18" s="511">
        <f t="shared" si="4"/>
        <v>107.00395855762689</v>
      </c>
      <c r="AC18" s="511">
        <f t="shared" si="5"/>
        <v>41.845123458289841</v>
      </c>
      <c r="AD18" s="511">
        <f t="shared" si="6"/>
        <v>37.062823634485284</v>
      </c>
      <c r="AE18" s="511">
        <f t="shared" si="7"/>
        <v>9.5645996476091071</v>
      </c>
      <c r="AF18" s="511">
        <f t="shared" si="8"/>
        <v>36.465036156509719</v>
      </c>
      <c r="AG18" s="511">
        <f t="shared" si="9"/>
        <v>624.09012700649419</v>
      </c>
      <c r="AH18" s="511">
        <f t="shared" si="10"/>
        <v>3.9812646033172912</v>
      </c>
      <c r="AI18" s="511">
        <f t="shared" si="11"/>
        <v>2.1879021693905831</v>
      </c>
      <c r="AJ18" s="492">
        <v>10.48</v>
      </c>
      <c r="AK18" s="733">
        <v>18.03</v>
      </c>
      <c r="AL18" s="735">
        <v>0.89</v>
      </c>
    </row>
    <row r="19" spans="1:38">
      <c r="A19" s="491" t="s">
        <v>954</v>
      </c>
      <c r="B19" s="491" t="s">
        <v>104</v>
      </c>
      <c r="C19" s="491">
        <v>14</v>
      </c>
      <c r="D19" s="491">
        <v>7.94</v>
      </c>
      <c r="E19" s="491" t="s">
        <v>955</v>
      </c>
      <c r="F19" s="492">
        <v>566</v>
      </c>
      <c r="G19" s="492">
        <v>89</v>
      </c>
      <c r="H19" s="491">
        <v>2971</v>
      </c>
      <c r="I19" s="491">
        <v>78</v>
      </c>
      <c r="J19" s="491">
        <v>31</v>
      </c>
      <c r="K19" s="491">
        <v>33</v>
      </c>
      <c r="L19" s="491">
        <v>6</v>
      </c>
      <c r="M19" s="491">
        <v>33</v>
      </c>
      <c r="N19" s="491">
        <v>1183</v>
      </c>
      <c r="O19" s="491">
        <v>2.86</v>
      </c>
      <c r="P19" s="491">
        <v>3.28</v>
      </c>
      <c r="Q19" s="492">
        <v>7.05</v>
      </c>
      <c r="R19" s="492">
        <v>12.13</v>
      </c>
      <c r="S19" s="491">
        <v>0.56000000000000005</v>
      </c>
      <c r="U19" s="112" t="s">
        <v>104</v>
      </c>
      <c r="V19" s="113" t="s">
        <v>24</v>
      </c>
      <c r="W19" s="112" t="s">
        <v>18</v>
      </c>
      <c r="X19" s="504" t="s">
        <v>114</v>
      </c>
      <c r="Y19" s="737">
        <f t="shared" si="1"/>
        <v>338.34771253417222</v>
      </c>
      <c r="Z19" s="737">
        <f t="shared" si="2"/>
        <v>53.203085539825658</v>
      </c>
      <c r="AA19" s="511">
        <f t="shared" si="3"/>
        <v>1776.0265970654159</v>
      </c>
      <c r="AB19" s="511">
        <f t="shared" si="4"/>
        <v>46.627423282094391</v>
      </c>
      <c r="AC19" s="511">
        <f t="shared" si="5"/>
        <v>18.531411817242642</v>
      </c>
      <c r="AD19" s="511">
        <f t="shared" si="6"/>
        <v>19.726986773193783</v>
      </c>
      <c r="AE19" s="511">
        <f t="shared" si="7"/>
        <v>3.5867248678534156</v>
      </c>
      <c r="AF19" s="511">
        <f t="shared" si="8"/>
        <v>19.726986773193783</v>
      </c>
      <c r="AG19" s="511">
        <f t="shared" si="9"/>
        <v>707.18258644509842</v>
      </c>
      <c r="AH19" s="511">
        <f t="shared" si="10"/>
        <v>1.7096721870101277</v>
      </c>
      <c r="AI19" s="511">
        <f t="shared" si="11"/>
        <v>1.9607429277598669</v>
      </c>
      <c r="AJ19" s="492">
        <v>7.05</v>
      </c>
      <c r="AK19" s="733">
        <v>12.13</v>
      </c>
      <c r="AL19" s="735">
        <v>0.56000000000000005</v>
      </c>
    </row>
    <row r="20" spans="1:38">
      <c r="A20" s="491" t="s">
        <v>954</v>
      </c>
      <c r="B20" s="491" t="s">
        <v>104</v>
      </c>
      <c r="C20" s="491">
        <v>15</v>
      </c>
      <c r="D20" s="491">
        <v>13.16</v>
      </c>
      <c r="E20" s="491" t="s">
        <v>955</v>
      </c>
      <c r="F20" s="492">
        <v>1057</v>
      </c>
      <c r="G20" s="492">
        <v>459</v>
      </c>
      <c r="H20" s="491">
        <v>4060</v>
      </c>
      <c r="I20" s="491">
        <v>332</v>
      </c>
      <c r="J20" s="491">
        <v>247</v>
      </c>
      <c r="K20" s="491">
        <v>478</v>
      </c>
      <c r="L20" s="491">
        <v>23</v>
      </c>
      <c r="M20" s="491">
        <v>64</v>
      </c>
      <c r="N20" s="491">
        <v>1067</v>
      </c>
      <c r="O20" s="491">
        <v>5.33</v>
      </c>
      <c r="P20" s="491">
        <v>4.7699999999999996</v>
      </c>
      <c r="Q20" s="492">
        <v>4.08</v>
      </c>
      <c r="R20" s="492">
        <v>7.02</v>
      </c>
      <c r="S20" s="491">
        <v>0.31</v>
      </c>
      <c r="U20" s="112" t="s">
        <v>104</v>
      </c>
      <c r="V20" s="113" t="s">
        <v>24</v>
      </c>
      <c r="W20" s="112" t="s">
        <v>18</v>
      </c>
      <c r="X20" s="504" t="s">
        <v>817</v>
      </c>
      <c r="Y20" s="737">
        <f t="shared" si="1"/>
        <v>631.8613642201766</v>
      </c>
      <c r="Z20" s="737">
        <f t="shared" si="2"/>
        <v>274.38445239078624</v>
      </c>
      <c r="AA20" s="511">
        <f t="shared" si="3"/>
        <v>2427.0171605808109</v>
      </c>
      <c r="AB20" s="511">
        <f t="shared" si="4"/>
        <v>198.46544268788895</v>
      </c>
      <c r="AC20" s="511">
        <f t="shared" si="5"/>
        <v>147.65350705996559</v>
      </c>
      <c r="AD20" s="511">
        <f t="shared" si="6"/>
        <v>285.74241447232208</v>
      </c>
      <c r="AE20" s="511">
        <f t="shared" si="7"/>
        <v>13.749111993438092</v>
      </c>
      <c r="AF20" s="511">
        <f t="shared" si="8"/>
        <v>38.258398590436428</v>
      </c>
      <c r="AG20" s="511">
        <f t="shared" si="9"/>
        <v>637.83923899993238</v>
      </c>
      <c r="AH20" s="511">
        <f t="shared" si="10"/>
        <v>3.1862072576097842</v>
      </c>
      <c r="AI20" s="511">
        <f t="shared" si="11"/>
        <v>2.8514462699434651</v>
      </c>
      <c r="AJ20" s="492">
        <v>4.08</v>
      </c>
      <c r="AK20" s="733">
        <v>7.02</v>
      </c>
      <c r="AL20" s="735">
        <v>0.31</v>
      </c>
    </row>
    <row r="21" spans="1:38">
      <c r="A21" s="491" t="s">
        <v>954</v>
      </c>
      <c r="B21" s="491" t="s">
        <v>104</v>
      </c>
      <c r="C21" s="491">
        <v>16</v>
      </c>
      <c r="D21" s="491">
        <v>9.94</v>
      </c>
      <c r="E21" s="491" t="s">
        <v>955</v>
      </c>
      <c r="F21" s="492">
        <v>654</v>
      </c>
      <c r="G21" s="492">
        <v>217</v>
      </c>
      <c r="H21" s="491">
        <v>3408</v>
      </c>
      <c r="I21" s="491">
        <v>147</v>
      </c>
      <c r="J21" s="491">
        <v>70</v>
      </c>
      <c r="K21" s="491">
        <v>133</v>
      </c>
      <c r="L21" s="491">
        <v>19</v>
      </c>
      <c r="M21" s="491">
        <v>41</v>
      </c>
      <c r="N21" s="491">
        <v>1063</v>
      </c>
      <c r="O21" s="491">
        <v>5.24</v>
      </c>
      <c r="P21" s="491">
        <v>3.56</v>
      </c>
      <c r="Q21" s="492">
        <v>5.61</v>
      </c>
      <c r="R21" s="492">
        <v>9.65</v>
      </c>
      <c r="S21" s="491">
        <v>0.53</v>
      </c>
      <c r="U21" s="112" t="s">
        <v>104</v>
      </c>
      <c r="V21" s="113" t="s">
        <v>26</v>
      </c>
      <c r="W21" s="112" t="s">
        <v>25</v>
      </c>
      <c r="X21" s="504" t="s">
        <v>112</v>
      </c>
      <c r="Y21" s="737">
        <f t="shared" si="1"/>
        <v>390.95301059602224</v>
      </c>
      <c r="Z21" s="737">
        <f t="shared" si="2"/>
        <v>129.71988272069851</v>
      </c>
      <c r="AA21" s="511">
        <f t="shared" si="3"/>
        <v>2037.2597249407395</v>
      </c>
      <c r="AB21" s="511">
        <f t="shared" si="4"/>
        <v>87.874759262408674</v>
      </c>
      <c r="AC21" s="511">
        <f t="shared" si="5"/>
        <v>41.845123458289841</v>
      </c>
      <c r="AD21" s="511">
        <f t="shared" si="6"/>
        <v>79.505734570750704</v>
      </c>
      <c r="AE21" s="511">
        <f t="shared" si="7"/>
        <v>11.357962081535815</v>
      </c>
      <c r="AF21" s="511">
        <f t="shared" si="8"/>
        <v>24.509286596998336</v>
      </c>
      <c r="AG21" s="511">
        <f t="shared" si="9"/>
        <v>635.44808908803009</v>
      </c>
      <c r="AH21" s="511">
        <f t="shared" si="10"/>
        <v>3.1324063845919827</v>
      </c>
      <c r="AI21" s="511">
        <f t="shared" si="11"/>
        <v>2.1281234215930267</v>
      </c>
      <c r="AJ21" s="492">
        <v>5.61</v>
      </c>
      <c r="AK21" s="733">
        <v>9.65</v>
      </c>
      <c r="AL21" s="735">
        <v>0.53</v>
      </c>
    </row>
    <row r="22" spans="1:38">
      <c r="A22" s="491" t="s">
        <v>954</v>
      </c>
      <c r="B22" s="491" t="s">
        <v>104</v>
      </c>
      <c r="C22" s="491">
        <v>17</v>
      </c>
      <c r="D22" s="491">
        <v>7.67</v>
      </c>
      <c r="E22" s="491" t="s">
        <v>955</v>
      </c>
      <c r="F22" s="492">
        <v>615</v>
      </c>
      <c r="G22" s="492">
        <v>75</v>
      </c>
      <c r="H22" s="491">
        <v>2789</v>
      </c>
      <c r="I22" s="491">
        <v>85</v>
      </c>
      <c r="J22" s="491">
        <v>41</v>
      </c>
      <c r="K22" s="491">
        <v>58</v>
      </c>
      <c r="L22" s="491">
        <v>9</v>
      </c>
      <c r="M22" s="491">
        <v>20</v>
      </c>
      <c r="N22" s="491">
        <v>1411</v>
      </c>
      <c r="O22" s="491">
        <v>1.28</v>
      </c>
      <c r="P22" s="491">
        <v>3.56</v>
      </c>
      <c r="Q22" s="492">
        <v>4.3499999999999996</v>
      </c>
      <c r="R22" s="492">
        <v>7.48</v>
      </c>
      <c r="S22" s="491">
        <v>0.34</v>
      </c>
      <c r="U22" s="112" t="s">
        <v>104</v>
      </c>
      <c r="V22" s="113" t="s">
        <v>26</v>
      </c>
      <c r="W22" s="112" t="s">
        <v>25</v>
      </c>
      <c r="X22" s="504" t="s">
        <v>114</v>
      </c>
      <c r="Y22" s="737">
        <f t="shared" si="1"/>
        <v>367.63929895497506</v>
      </c>
      <c r="Z22" s="737">
        <f t="shared" si="2"/>
        <v>44.834060848167688</v>
      </c>
      <c r="AA22" s="511">
        <f t="shared" si="3"/>
        <v>1667.2292760738626</v>
      </c>
      <c r="AB22" s="511">
        <f t="shared" si="4"/>
        <v>50.811935627923383</v>
      </c>
      <c r="AC22" s="511">
        <f t="shared" si="5"/>
        <v>24.509286596998336</v>
      </c>
      <c r="AD22" s="511">
        <f t="shared" si="6"/>
        <v>34.671673722583016</v>
      </c>
      <c r="AE22" s="511">
        <f t="shared" si="7"/>
        <v>5.3800873017801232</v>
      </c>
      <c r="AF22" s="511">
        <f t="shared" si="8"/>
        <v>11.955749559511384</v>
      </c>
      <c r="AG22" s="511">
        <f t="shared" si="9"/>
        <v>843.478131423528</v>
      </c>
      <c r="AH22" s="511">
        <f t="shared" si="10"/>
        <v>0.76516797180872853</v>
      </c>
      <c r="AI22" s="511">
        <f t="shared" si="11"/>
        <v>2.1281234215930267</v>
      </c>
      <c r="AJ22" s="492">
        <v>4.3499999999999996</v>
      </c>
      <c r="AK22" s="733">
        <v>7.48</v>
      </c>
      <c r="AL22" s="735">
        <v>0.34</v>
      </c>
    </row>
    <row r="23" spans="1:38">
      <c r="A23" s="491" t="s">
        <v>954</v>
      </c>
      <c r="B23" s="491" t="s">
        <v>104</v>
      </c>
      <c r="C23" s="491">
        <v>18</v>
      </c>
      <c r="D23" s="491">
        <v>28.83</v>
      </c>
      <c r="E23" s="491" t="s">
        <v>955</v>
      </c>
      <c r="F23" s="492">
        <v>2185</v>
      </c>
      <c r="G23" s="492">
        <v>1290</v>
      </c>
      <c r="H23" s="491">
        <v>8765</v>
      </c>
      <c r="I23" s="491">
        <v>970</v>
      </c>
      <c r="J23" s="491">
        <v>1063</v>
      </c>
      <c r="K23" s="491">
        <v>506</v>
      </c>
      <c r="L23" s="491">
        <v>35</v>
      </c>
      <c r="M23" s="491">
        <v>112</v>
      </c>
      <c r="N23" s="491">
        <v>1023</v>
      </c>
      <c r="O23" s="491">
        <v>5.97</v>
      </c>
      <c r="P23" s="491">
        <v>7.83</v>
      </c>
      <c r="Q23" s="492">
        <v>3.59</v>
      </c>
      <c r="R23" s="492">
        <v>6.17</v>
      </c>
      <c r="S23" s="491">
        <v>0.27</v>
      </c>
      <c r="U23" s="112" t="s">
        <v>104</v>
      </c>
      <c r="V23" s="113" t="s">
        <v>26</v>
      </c>
      <c r="W23" s="112" t="s">
        <v>25</v>
      </c>
      <c r="X23" s="504" t="s">
        <v>817</v>
      </c>
      <c r="Y23" s="737">
        <f t="shared" si="1"/>
        <v>1306.1656393766186</v>
      </c>
      <c r="Z23" s="737">
        <f t="shared" si="2"/>
        <v>771.14584658848423</v>
      </c>
      <c r="AA23" s="511">
        <f t="shared" si="3"/>
        <v>5239.607244455864</v>
      </c>
      <c r="AB23" s="511">
        <f t="shared" si="4"/>
        <v>579.85385363630212</v>
      </c>
      <c r="AC23" s="511">
        <f t="shared" si="5"/>
        <v>635.44808908803009</v>
      </c>
      <c r="AD23" s="511">
        <f t="shared" si="6"/>
        <v>302.48046385563799</v>
      </c>
      <c r="AE23" s="511">
        <f t="shared" si="7"/>
        <v>20.92256172914492</v>
      </c>
      <c r="AF23" s="511">
        <f t="shared" si="8"/>
        <v>66.952197533263742</v>
      </c>
      <c r="AG23" s="511">
        <f t="shared" si="9"/>
        <v>611.5365899690072</v>
      </c>
      <c r="AH23" s="511">
        <f t="shared" si="10"/>
        <v>3.568791243514148</v>
      </c>
      <c r="AI23" s="511">
        <f t="shared" si="11"/>
        <v>4.6806759525487065</v>
      </c>
      <c r="AJ23" s="492">
        <v>3.59</v>
      </c>
      <c r="AK23" s="733">
        <v>6.17</v>
      </c>
      <c r="AL23" s="735">
        <v>0.27</v>
      </c>
    </row>
    <row r="24" spans="1:38">
      <c r="A24" s="491" t="s">
        <v>954</v>
      </c>
      <c r="B24" s="491" t="s">
        <v>104</v>
      </c>
      <c r="C24" s="491">
        <v>19</v>
      </c>
      <c r="D24" s="491">
        <v>15.78</v>
      </c>
      <c r="E24" s="491" t="s">
        <v>955</v>
      </c>
      <c r="F24" s="492">
        <v>1006</v>
      </c>
      <c r="G24" s="492">
        <v>572</v>
      </c>
      <c r="H24" s="491">
        <v>5008</v>
      </c>
      <c r="I24" s="491">
        <v>443</v>
      </c>
      <c r="J24" s="491">
        <v>339</v>
      </c>
      <c r="K24" s="491">
        <v>202</v>
      </c>
      <c r="L24" s="491">
        <v>32</v>
      </c>
      <c r="M24" s="491">
        <v>58</v>
      </c>
      <c r="N24" s="491">
        <v>1071</v>
      </c>
      <c r="O24" s="491">
        <v>5.68</v>
      </c>
      <c r="P24" s="491">
        <v>5.29</v>
      </c>
      <c r="Q24" s="492">
        <v>6.64</v>
      </c>
      <c r="R24" s="492">
        <v>11.42</v>
      </c>
      <c r="S24" s="491">
        <v>0.5</v>
      </c>
      <c r="U24" s="112" t="s">
        <v>104</v>
      </c>
      <c r="V24" s="113" t="s">
        <v>26</v>
      </c>
      <c r="W24" s="112" t="s">
        <v>18</v>
      </c>
      <c r="X24" s="504" t="s">
        <v>112</v>
      </c>
      <c r="Y24" s="737">
        <f t="shared" si="1"/>
        <v>601.37420284342261</v>
      </c>
      <c r="Z24" s="737">
        <f t="shared" si="2"/>
        <v>341.93443740202559</v>
      </c>
      <c r="AA24" s="511">
        <f t="shared" si="3"/>
        <v>2993.7196897016506</v>
      </c>
      <c r="AB24" s="511">
        <f t="shared" si="4"/>
        <v>264.81985274317714</v>
      </c>
      <c r="AC24" s="511">
        <f t="shared" si="5"/>
        <v>202.64995503371799</v>
      </c>
      <c r="AD24" s="511">
        <f t="shared" si="6"/>
        <v>120.75307055106497</v>
      </c>
      <c r="AE24" s="511">
        <f t="shared" si="7"/>
        <v>19.129199295218214</v>
      </c>
      <c r="AF24" s="511">
        <f t="shared" si="8"/>
        <v>34.671673722583016</v>
      </c>
      <c r="AG24" s="511">
        <f t="shared" si="9"/>
        <v>640.23038891183455</v>
      </c>
      <c r="AH24" s="511">
        <f t="shared" si="10"/>
        <v>3.3954328749012328</v>
      </c>
      <c r="AI24" s="511">
        <f t="shared" si="11"/>
        <v>3.1622957584907607</v>
      </c>
      <c r="AJ24" s="492">
        <v>6.64</v>
      </c>
      <c r="AK24" s="733">
        <v>11.42</v>
      </c>
      <c r="AL24" s="735">
        <v>0.5</v>
      </c>
    </row>
    <row r="25" spans="1:38">
      <c r="A25" s="491" t="s">
        <v>954</v>
      </c>
      <c r="B25" s="491" t="s">
        <v>104</v>
      </c>
      <c r="C25" s="491">
        <v>20</v>
      </c>
      <c r="D25" s="491">
        <v>9.0299999999999994</v>
      </c>
      <c r="E25" s="491" t="s">
        <v>955</v>
      </c>
      <c r="F25" s="492">
        <v>524</v>
      </c>
      <c r="G25" s="492">
        <v>187</v>
      </c>
      <c r="H25" s="491">
        <v>3118</v>
      </c>
      <c r="I25" s="491">
        <v>143</v>
      </c>
      <c r="J25" s="491">
        <v>91</v>
      </c>
      <c r="K25" s="491">
        <v>75</v>
      </c>
      <c r="L25" s="491">
        <v>14</v>
      </c>
      <c r="M25" s="491">
        <v>28</v>
      </c>
      <c r="N25" s="491">
        <v>1496</v>
      </c>
      <c r="O25" s="491">
        <v>1.68</v>
      </c>
      <c r="P25" s="491">
        <v>2.96</v>
      </c>
      <c r="Q25" s="492">
        <v>4.66</v>
      </c>
      <c r="R25" s="492">
        <v>8.02</v>
      </c>
      <c r="S25" s="491">
        <v>0.35</v>
      </c>
      <c r="U25" s="112" t="s">
        <v>104</v>
      </c>
      <c r="V25" s="113" t="s">
        <v>26</v>
      </c>
      <c r="W25" s="112" t="s">
        <v>18</v>
      </c>
      <c r="X25" s="504" t="s">
        <v>114</v>
      </c>
      <c r="Y25" s="737">
        <f t="shared" si="1"/>
        <v>313.24063845919824</v>
      </c>
      <c r="Z25" s="737">
        <f t="shared" si="2"/>
        <v>111.78625838143145</v>
      </c>
      <c r="AA25" s="511">
        <f t="shared" si="3"/>
        <v>1863.9013563278247</v>
      </c>
      <c r="AB25" s="511">
        <f t="shared" si="4"/>
        <v>85.483609350506399</v>
      </c>
      <c r="AC25" s="511">
        <f t="shared" si="5"/>
        <v>54.398660495776802</v>
      </c>
      <c r="AD25" s="511">
        <f t="shared" si="6"/>
        <v>44.834060848167688</v>
      </c>
      <c r="AE25" s="511">
        <f t="shared" si="7"/>
        <v>8.3690246916579678</v>
      </c>
      <c r="AF25" s="511">
        <f t="shared" si="8"/>
        <v>16.738049383315936</v>
      </c>
      <c r="AG25" s="511">
        <f t="shared" si="9"/>
        <v>894.29006705145162</v>
      </c>
      <c r="AH25" s="511">
        <f t="shared" si="10"/>
        <v>1.0042829629989563</v>
      </c>
      <c r="AI25" s="511">
        <f t="shared" si="11"/>
        <v>1.7694509348076848</v>
      </c>
      <c r="AJ25" s="492">
        <v>4.66</v>
      </c>
      <c r="AK25" s="733">
        <v>8.02</v>
      </c>
      <c r="AL25" s="735">
        <v>0.35</v>
      </c>
    </row>
    <row r="26" spans="1:38">
      <c r="A26" s="491" t="s">
        <v>954</v>
      </c>
      <c r="B26" s="491" t="s">
        <v>104</v>
      </c>
      <c r="C26" s="491">
        <v>21</v>
      </c>
      <c r="D26" s="491">
        <v>18.52</v>
      </c>
      <c r="E26" s="491" t="s">
        <v>955</v>
      </c>
      <c r="F26" s="492">
        <v>1242</v>
      </c>
      <c r="G26" s="492">
        <v>517</v>
      </c>
      <c r="H26" s="491">
        <v>6304</v>
      </c>
      <c r="I26" s="491">
        <v>357</v>
      </c>
      <c r="J26" s="491">
        <v>294</v>
      </c>
      <c r="K26" s="491">
        <v>281</v>
      </c>
      <c r="L26" s="491">
        <v>28</v>
      </c>
      <c r="M26" s="491">
        <v>73</v>
      </c>
      <c r="N26" s="491">
        <v>1064</v>
      </c>
      <c r="O26" s="491">
        <v>7.46</v>
      </c>
      <c r="P26" s="491">
        <v>4.62</v>
      </c>
      <c r="Q26" s="492">
        <v>2.5299999999999998</v>
      </c>
      <c r="R26" s="492">
        <v>4.3499999999999996</v>
      </c>
      <c r="S26" s="491">
        <v>0.2</v>
      </c>
      <c r="U26" s="112" t="s">
        <v>104</v>
      </c>
      <c r="V26" s="113" t="s">
        <v>26</v>
      </c>
      <c r="W26" s="112" t="s">
        <v>18</v>
      </c>
      <c r="X26" s="504" t="s">
        <v>817</v>
      </c>
      <c r="Y26" s="737">
        <f t="shared" si="1"/>
        <v>742.45204764565699</v>
      </c>
      <c r="Z26" s="737">
        <f t="shared" si="2"/>
        <v>309.05612611336932</v>
      </c>
      <c r="AA26" s="511">
        <f t="shared" si="3"/>
        <v>3768.4522611579882</v>
      </c>
      <c r="AB26" s="511">
        <f t="shared" si="4"/>
        <v>213.41012963727817</v>
      </c>
      <c r="AC26" s="511">
        <f t="shared" si="5"/>
        <v>175.74951852481735</v>
      </c>
      <c r="AD26" s="511">
        <f t="shared" si="6"/>
        <v>167.97828131113496</v>
      </c>
      <c r="AE26" s="511">
        <f t="shared" si="7"/>
        <v>16.738049383315936</v>
      </c>
      <c r="AF26" s="511">
        <f t="shared" si="8"/>
        <v>43.638485892216551</v>
      </c>
      <c r="AG26" s="511">
        <f t="shared" si="9"/>
        <v>636.04587656600563</v>
      </c>
      <c r="AH26" s="511">
        <f t="shared" si="10"/>
        <v>4.4594945856977466</v>
      </c>
      <c r="AI26" s="511">
        <f t="shared" si="11"/>
        <v>2.7617781482471297</v>
      </c>
      <c r="AJ26" s="492">
        <v>2.5299999999999998</v>
      </c>
      <c r="AK26" s="733">
        <v>4.3499999999999996</v>
      </c>
      <c r="AL26" s="735">
        <v>0.2</v>
      </c>
    </row>
    <row r="27" spans="1:38">
      <c r="A27" s="491" t="s">
        <v>954</v>
      </c>
      <c r="B27" s="491" t="s">
        <v>104</v>
      </c>
      <c r="C27" s="491">
        <v>22</v>
      </c>
      <c r="D27" s="491">
        <v>10.16</v>
      </c>
      <c r="E27" s="491" t="s">
        <v>955</v>
      </c>
      <c r="F27" s="492">
        <v>662</v>
      </c>
      <c r="G27" s="492">
        <v>212</v>
      </c>
      <c r="H27" s="491">
        <v>3630</v>
      </c>
      <c r="I27" s="491">
        <v>161</v>
      </c>
      <c r="J27" s="491">
        <v>81</v>
      </c>
      <c r="K27" s="491">
        <v>65</v>
      </c>
      <c r="L27" s="491">
        <v>17</v>
      </c>
      <c r="M27" s="491">
        <v>51</v>
      </c>
      <c r="N27" s="491">
        <v>1115</v>
      </c>
      <c r="O27" s="491">
        <v>4.8</v>
      </c>
      <c r="P27" s="491">
        <v>3.02</v>
      </c>
      <c r="Q27" s="492">
        <v>6.28</v>
      </c>
      <c r="R27" s="492">
        <v>10.8</v>
      </c>
      <c r="S27" s="491">
        <v>0.5</v>
      </c>
      <c r="U27" s="112" t="s">
        <v>104</v>
      </c>
      <c r="V27" s="113" t="s">
        <v>26</v>
      </c>
      <c r="W27" s="112" t="s">
        <v>22</v>
      </c>
      <c r="X27" s="504" t="s">
        <v>112</v>
      </c>
      <c r="Y27" s="737">
        <f t="shared" si="1"/>
        <v>395.73531041982682</v>
      </c>
      <c r="Z27" s="737">
        <f t="shared" si="2"/>
        <v>126.73094533082066</v>
      </c>
      <c r="AA27" s="511">
        <f t="shared" si="3"/>
        <v>2169.9685450513161</v>
      </c>
      <c r="AB27" s="511">
        <f t="shared" si="4"/>
        <v>96.243783954066629</v>
      </c>
      <c r="AC27" s="511">
        <f t="shared" si="5"/>
        <v>48.420785716021101</v>
      </c>
      <c r="AD27" s="511">
        <f t="shared" si="6"/>
        <v>38.856186068411994</v>
      </c>
      <c r="AE27" s="511">
        <f t="shared" si="7"/>
        <v>10.162387125584676</v>
      </c>
      <c r="AF27" s="511">
        <f t="shared" si="8"/>
        <v>30.487161376754024</v>
      </c>
      <c r="AG27" s="511">
        <f t="shared" si="9"/>
        <v>666.53303794275962</v>
      </c>
      <c r="AH27" s="511">
        <f t="shared" si="10"/>
        <v>2.8693798942827322</v>
      </c>
      <c r="AI27" s="511">
        <f t="shared" si="11"/>
        <v>1.8053181834862189</v>
      </c>
      <c r="AJ27" s="492">
        <v>6.28</v>
      </c>
      <c r="AK27" s="733">
        <v>10.8</v>
      </c>
      <c r="AL27" s="735">
        <v>0.5</v>
      </c>
    </row>
    <row r="28" spans="1:38">
      <c r="A28" s="491" t="s">
        <v>954</v>
      </c>
      <c r="B28" s="491" t="s">
        <v>104</v>
      </c>
      <c r="C28" s="491">
        <v>23</v>
      </c>
      <c r="D28" s="491">
        <v>8.5399999999999991</v>
      </c>
      <c r="E28" s="491" t="s">
        <v>955</v>
      </c>
      <c r="F28" s="492">
        <v>501</v>
      </c>
      <c r="G28" s="492">
        <v>107</v>
      </c>
      <c r="H28" s="491">
        <v>3095</v>
      </c>
      <c r="I28" s="491">
        <v>133</v>
      </c>
      <c r="J28" s="491">
        <v>52</v>
      </c>
      <c r="K28" s="491">
        <v>52</v>
      </c>
      <c r="L28" s="491">
        <v>10</v>
      </c>
      <c r="M28" s="491">
        <v>34</v>
      </c>
      <c r="N28" s="491">
        <v>1279</v>
      </c>
      <c r="O28" s="491">
        <v>1.79</v>
      </c>
      <c r="P28" s="491">
        <v>3.13</v>
      </c>
      <c r="Q28" s="492">
        <v>3.67</v>
      </c>
      <c r="R28" s="492">
        <v>6.31</v>
      </c>
      <c r="S28" s="491">
        <v>0.27</v>
      </c>
      <c r="U28" s="112" t="s">
        <v>104</v>
      </c>
      <c r="V28" s="498" t="s">
        <v>26</v>
      </c>
      <c r="W28" s="138" t="s">
        <v>22</v>
      </c>
      <c r="X28" s="505" t="s">
        <v>114</v>
      </c>
      <c r="Y28" s="737">
        <f t="shared" si="1"/>
        <v>299.49152646576016</v>
      </c>
      <c r="Z28" s="737">
        <f t="shared" si="2"/>
        <v>63.963260143385902</v>
      </c>
      <c r="AA28" s="511">
        <f t="shared" si="3"/>
        <v>1850.1522443343865</v>
      </c>
      <c r="AB28" s="511">
        <f t="shared" si="4"/>
        <v>79.505734570750704</v>
      </c>
      <c r="AC28" s="511">
        <f t="shared" si="5"/>
        <v>31.084948854729593</v>
      </c>
      <c r="AD28" s="511">
        <f t="shared" si="6"/>
        <v>31.084948854729593</v>
      </c>
      <c r="AE28" s="511">
        <f t="shared" si="7"/>
        <v>5.9778747797556919</v>
      </c>
      <c r="AF28" s="511">
        <f t="shared" si="8"/>
        <v>20.324774251169352</v>
      </c>
      <c r="AG28" s="511">
        <f t="shared" si="9"/>
        <v>764.57018433075291</v>
      </c>
      <c r="AH28" s="511">
        <f t="shared" si="10"/>
        <v>1.070039585576269</v>
      </c>
      <c r="AI28" s="511">
        <f t="shared" si="11"/>
        <v>1.8710748060635314</v>
      </c>
      <c r="AJ28" s="492">
        <v>3.67</v>
      </c>
      <c r="AK28" s="733">
        <v>6.31</v>
      </c>
      <c r="AL28" s="735">
        <v>0.27</v>
      </c>
    </row>
    <row r="29" spans="1:38">
      <c r="A29" s="491" t="s">
        <v>954</v>
      </c>
      <c r="B29" s="491" t="s">
        <v>104</v>
      </c>
      <c r="C29" s="491">
        <v>24</v>
      </c>
      <c r="D29" s="491">
        <v>20.09</v>
      </c>
      <c r="E29" s="491" t="s">
        <v>955</v>
      </c>
      <c r="F29" s="492">
        <v>423</v>
      </c>
      <c r="G29" s="492">
        <v>70</v>
      </c>
      <c r="H29" s="491">
        <v>7162</v>
      </c>
      <c r="I29" s="491">
        <v>363</v>
      </c>
      <c r="J29" s="491">
        <v>37</v>
      </c>
      <c r="K29" s="491">
        <v>267</v>
      </c>
      <c r="L29" s="491">
        <v>10</v>
      </c>
      <c r="M29" s="491">
        <v>171</v>
      </c>
      <c r="N29" s="491">
        <v>484</v>
      </c>
      <c r="O29" s="491">
        <v>7.05</v>
      </c>
      <c r="P29" s="491">
        <v>7.38</v>
      </c>
      <c r="Q29" s="492">
        <v>2.74</v>
      </c>
      <c r="R29" s="492">
        <v>4.71</v>
      </c>
      <c r="S29" s="491">
        <v>0.2</v>
      </c>
      <c r="U29" s="112" t="s">
        <v>104</v>
      </c>
      <c r="V29" s="498" t="s">
        <v>26</v>
      </c>
      <c r="W29" s="138" t="s">
        <v>22</v>
      </c>
      <c r="X29" s="505" t="s">
        <v>817</v>
      </c>
      <c r="Y29" s="737">
        <f t="shared" si="1"/>
        <v>252.86410318366578</v>
      </c>
      <c r="Z29" s="737">
        <f t="shared" si="2"/>
        <v>41.845123458289841</v>
      </c>
      <c r="AA29" s="511">
        <f t="shared" si="3"/>
        <v>4281.3539172610263</v>
      </c>
      <c r="AB29" s="511">
        <f t="shared" si="4"/>
        <v>216.99685450513158</v>
      </c>
      <c r="AC29" s="511">
        <f t="shared" si="5"/>
        <v>22.118136685096061</v>
      </c>
      <c r="AD29" s="511">
        <f t="shared" si="6"/>
        <v>159.60925661947695</v>
      </c>
      <c r="AE29" s="511">
        <f t="shared" si="7"/>
        <v>5.9778747797556919</v>
      </c>
      <c r="AF29" s="511">
        <f t="shared" si="8"/>
        <v>102.22165873382232</v>
      </c>
      <c r="AG29" s="511">
        <f t="shared" si="9"/>
        <v>289.32913934017552</v>
      </c>
      <c r="AH29" s="511">
        <f t="shared" si="10"/>
        <v>4.2144017197277623</v>
      </c>
      <c r="AI29" s="511">
        <f t="shared" si="11"/>
        <v>4.4116715874597006</v>
      </c>
      <c r="AJ29" s="492">
        <v>2.74</v>
      </c>
      <c r="AK29" s="733">
        <v>4.71</v>
      </c>
      <c r="AL29" s="735">
        <v>0.2</v>
      </c>
    </row>
    <row r="30" spans="1:38">
      <c r="A30" s="491" t="s">
        <v>954</v>
      </c>
      <c r="B30" s="491" t="s">
        <v>104</v>
      </c>
      <c r="C30" s="491">
        <v>25</v>
      </c>
      <c r="D30" s="491">
        <v>4.76</v>
      </c>
      <c r="E30" s="491" t="s">
        <v>955</v>
      </c>
      <c r="F30" s="492">
        <v>13</v>
      </c>
      <c r="G30" s="492">
        <v>89</v>
      </c>
      <c r="H30" s="491">
        <v>1527</v>
      </c>
      <c r="I30" s="491">
        <v>178</v>
      </c>
      <c r="J30" s="491">
        <v>31</v>
      </c>
      <c r="K30" s="491">
        <v>41</v>
      </c>
      <c r="L30" s="491">
        <v>2</v>
      </c>
      <c r="M30" s="491">
        <v>131</v>
      </c>
      <c r="N30" s="491">
        <v>331</v>
      </c>
      <c r="O30" s="491">
        <v>2.35</v>
      </c>
      <c r="P30" s="491">
        <v>9.1199999999999992</v>
      </c>
      <c r="Q30" s="492">
        <v>2.38</v>
      </c>
      <c r="R30" s="492">
        <v>4.09</v>
      </c>
      <c r="S30" s="491">
        <v>0.25</v>
      </c>
      <c r="U30" s="112" t="s">
        <v>104</v>
      </c>
      <c r="V30" s="498" t="s">
        <v>16</v>
      </c>
      <c r="W30" s="138" t="s">
        <v>25</v>
      </c>
      <c r="X30" s="505" t="s">
        <v>112</v>
      </c>
      <c r="Y30" s="737">
        <f t="shared" si="1"/>
        <v>7.7712372136823982</v>
      </c>
      <c r="Z30" s="737">
        <f t="shared" si="2"/>
        <v>53.203085539825658</v>
      </c>
      <c r="AA30" s="511">
        <f t="shared" si="3"/>
        <v>912.82147886869416</v>
      </c>
      <c r="AB30" s="511">
        <f t="shared" si="4"/>
        <v>106.40617107965132</v>
      </c>
      <c r="AC30" s="511">
        <f t="shared" si="5"/>
        <v>18.531411817242642</v>
      </c>
      <c r="AD30" s="511">
        <f t="shared" si="6"/>
        <v>24.509286596998336</v>
      </c>
      <c r="AE30" s="511">
        <f t="shared" si="7"/>
        <v>1.1955749559511384</v>
      </c>
      <c r="AF30" s="511">
        <f t="shared" si="8"/>
        <v>78.310159614799559</v>
      </c>
      <c r="AG30" s="511">
        <f t="shared" si="9"/>
        <v>197.86765520991341</v>
      </c>
      <c r="AH30" s="511">
        <f t="shared" si="10"/>
        <v>1.4048005732425877</v>
      </c>
      <c r="AI30" s="511">
        <f t="shared" si="11"/>
        <v>5.45182179913719</v>
      </c>
      <c r="AJ30" s="492">
        <v>2.38</v>
      </c>
      <c r="AK30" s="733">
        <v>4.09</v>
      </c>
      <c r="AL30" s="735">
        <v>0.25</v>
      </c>
    </row>
    <row r="31" spans="1:38">
      <c r="A31" s="491" t="s">
        <v>954</v>
      </c>
      <c r="B31" s="491" t="s">
        <v>104</v>
      </c>
      <c r="C31" s="491">
        <v>26</v>
      </c>
      <c r="D31" s="491">
        <v>17.21</v>
      </c>
      <c r="E31" s="491" t="s">
        <v>955</v>
      </c>
      <c r="F31" s="492">
        <v>1142</v>
      </c>
      <c r="G31" s="492">
        <v>465</v>
      </c>
      <c r="H31" s="491">
        <v>5833</v>
      </c>
      <c r="I31" s="491">
        <v>321</v>
      </c>
      <c r="J31" s="491">
        <v>267</v>
      </c>
      <c r="K31" s="491">
        <v>264</v>
      </c>
      <c r="L31" s="491">
        <v>25</v>
      </c>
      <c r="M31" s="491">
        <v>70</v>
      </c>
      <c r="N31" s="491">
        <v>1020</v>
      </c>
      <c r="O31" s="491">
        <v>6.84</v>
      </c>
      <c r="P31" s="491">
        <v>8.23</v>
      </c>
      <c r="Q31" s="492">
        <v>0.83</v>
      </c>
      <c r="R31" s="492">
        <v>1.43</v>
      </c>
      <c r="S31" s="491">
        <v>0.1</v>
      </c>
      <c r="U31" s="112" t="s">
        <v>104</v>
      </c>
      <c r="V31" s="498" t="s">
        <v>16</v>
      </c>
      <c r="W31" s="138" t="s">
        <v>25</v>
      </c>
      <c r="X31" s="505" t="s">
        <v>114</v>
      </c>
      <c r="Y31" s="737">
        <f t="shared" si="1"/>
        <v>682.67329984809999</v>
      </c>
      <c r="Z31" s="737">
        <f t="shared" si="2"/>
        <v>277.97117725863967</v>
      </c>
      <c r="AA31" s="511">
        <f t="shared" si="3"/>
        <v>3486.8943590314943</v>
      </c>
      <c r="AB31" s="511">
        <f t="shared" si="4"/>
        <v>191.88978043015771</v>
      </c>
      <c r="AC31" s="511">
        <f t="shared" si="5"/>
        <v>159.60925661947695</v>
      </c>
      <c r="AD31" s="511">
        <f t="shared" si="6"/>
        <v>157.81589418555026</v>
      </c>
      <c r="AE31" s="511">
        <f t="shared" si="7"/>
        <v>14.944686949389229</v>
      </c>
      <c r="AF31" s="511">
        <f t="shared" si="8"/>
        <v>41.845123458289841</v>
      </c>
      <c r="AG31" s="511">
        <f t="shared" si="9"/>
        <v>609.74322753508056</v>
      </c>
      <c r="AH31" s="511">
        <f t="shared" si="10"/>
        <v>4.0888663493528927</v>
      </c>
      <c r="AI31" s="511">
        <f t="shared" si="11"/>
        <v>4.9197909437389349</v>
      </c>
      <c r="AJ31" s="492">
        <v>0.83</v>
      </c>
      <c r="AK31" s="733">
        <v>1.43</v>
      </c>
      <c r="AL31" s="735">
        <v>0.1</v>
      </c>
    </row>
    <row r="32" spans="1:38">
      <c r="A32" s="491" t="s">
        <v>954</v>
      </c>
      <c r="B32" s="491" t="s">
        <v>104</v>
      </c>
      <c r="C32" s="491">
        <v>27</v>
      </c>
      <c r="D32" s="491">
        <v>85.14</v>
      </c>
      <c r="E32" s="491" t="s">
        <v>955</v>
      </c>
      <c r="F32" s="492">
        <v>30</v>
      </c>
      <c r="G32" s="492">
        <v>470</v>
      </c>
      <c r="H32" s="491">
        <v>33256</v>
      </c>
      <c r="I32" s="491">
        <v>239</v>
      </c>
      <c r="J32" s="491">
        <v>36</v>
      </c>
      <c r="K32" s="491">
        <v>76</v>
      </c>
      <c r="L32" s="491">
        <v>6</v>
      </c>
      <c r="M32" s="491">
        <v>115</v>
      </c>
      <c r="N32" s="491">
        <v>372</v>
      </c>
      <c r="O32" s="491">
        <v>3.91</v>
      </c>
      <c r="P32" s="491">
        <v>1.18</v>
      </c>
      <c r="Q32" s="492">
        <v>0.57999999999999996</v>
      </c>
      <c r="R32" s="492">
        <v>1</v>
      </c>
      <c r="S32" s="491">
        <v>0.08</v>
      </c>
      <c r="U32" s="112" t="s">
        <v>104</v>
      </c>
      <c r="V32" s="498" t="s">
        <v>16</v>
      </c>
      <c r="W32" s="138" t="s">
        <v>25</v>
      </c>
      <c r="X32" s="505" t="s">
        <v>817</v>
      </c>
      <c r="Y32" s="737">
        <f t="shared" si="1"/>
        <v>17.933624339267077</v>
      </c>
      <c r="Z32" s="737">
        <f t="shared" si="2"/>
        <v>280.9601146485175</v>
      </c>
      <c r="AA32" s="511">
        <f t="shared" si="3"/>
        <v>19880.020367555528</v>
      </c>
      <c r="AB32" s="511">
        <f t="shared" si="4"/>
        <v>142.87120723616104</v>
      </c>
      <c r="AC32" s="511">
        <f t="shared" si="5"/>
        <v>21.520349207120493</v>
      </c>
      <c r="AD32" s="511">
        <f t="shared" si="6"/>
        <v>45.43184832614326</v>
      </c>
      <c r="AE32" s="511">
        <f t="shared" si="7"/>
        <v>3.5867248678534156</v>
      </c>
      <c r="AF32" s="511">
        <f t="shared" si="8"/>
        <v>68.745559967190459</v>
      </c>
      <c r="AG32" s="511">
        <f t="shared" si="9"/>
        <v>222.37694180691173</v>
      </c>
      <c r="AH32" s="511">
        <f t="shared" si="10"/>
        <v>2.3373490388844758</v>
      </c>
      <c r="AI32" s="511">
        <f t="shared" si="11"/>
        <v>0.70538922401117166</v>
      </c>
      <c r="AJ32" s="492">
        <v>0.57999999999999996</v>
      </c>
      <c r="AK32" s="733">
        <v>1</v>
      </c>
      <c r="AL32" s="735">
        <v>0.08</v>
      </c>
    </row>
    <row r="33" spans="1:38">
      <c r="A33" s="491" t="s">
        <v>954</v>
      </c>
      <c r="B33" s="491" t="s">
        <v>104</v>
      </c>
      <c r="C33" s="491">
        <v>28</v>
      </c>
      <c r="D33" s="491">
        <v>110.48</v>
      </c>
      <c r="E33" s="491" t="s">
        <v>955</v>
      </c>
      <c r="F33" s="492">
        <v>1</v>
      </c>
      <c r="G33" s="492">
        <v>369</v>
      </c>
      <c r="H33" s="491">
        <v>43553</v>
      </c>
      <c r="I33" s="491">
        <v>197</v>
      </c>
      <c r="J33" s="491">
        <v>34</v>
      </c>
      <c r="K33" s="491">
        <v>84</v>
      </c>
      <c r="L33" s="491">
        <v>3</v>
      </c>
      <c r="M33" s="491">
        <v>52</v>
      </c>
      <c r="N33" s="491">
        <v>264</v>
      </c>
      <c r="O33" s="491">
        <v>4.37</v>
      </c>
      <c r="P33" s="491">
        <v>1.41</v>
      </c>
      <c r="Q33" s="492">
        <v>1.56</v>
      </c>
      <c r="R33" s="492">
        <v>2.68</v>
      </c>
      <c r="S33" s="491">
        <v>0.14000000000000001</v>
      </c>
      <c r="U33" s="112" t="s">
        <v>104</v>
      </c>
      <c r="V33" s="498" t="s">
        <v>16</v>
      </c>
      <c r="W33" s="138" t="s">
        <v>19</v>
      </c>
      <c r="X33" s="505" t="s">
        <v>112</v>
      </c>
      <c r="Y33" s="737">
        <f t="shared" si="1"/>
        <v>0.59778747797556919</v>
      </c>
      <c r="Z33" s="737">
        <f t="shared" si="2"/>
        <v>220.58357937298501</v>
      </c>
      <c r="AA33" s="511">
        <f t="shared" si="3"/>
        <v>26035.438028269968</v>
      </c>
      <c r="AB33" s="511">
        <f t="shared" si="4"/>
        <v>117.76413316118713</v>
      </c>
      <c r="AC33" s="511">
        <f t="shared" si="5"/>
        <v>20.324774251169352</v>
      </c>
      <c r="AD33" s="511">
        <f t="shared" si="6"/>
        <v>50.214148149947803</v>
      </c>
      <c r="AE33" s="511">
        <f t="shared" si="7"/>
        <v>1.7933624339267078</v>
      </c>
      <c r="AF33" s="511">
        <f t="shared" si="8"/>
        <v>31.084948854729593</v>
      </c>
      <c r="AG33" s="511">
        <f t="shared" si="9"/>
        <v>157.81589418555026</v>
      </c>
      <c r="AH33" s="511">
        <f t="shared" si="10"/>
        <v>2.6123312787532371</v>
      </c>
      <c r="AI33" s="511">
        <f t="shared" si="11"/>
        <v>0.84288034394555256</v>
      </c>
      <c r="AJ33" s="492">
        <v>1.56</v>
      </c>
      <c r="AK33" s="733">
        <v>2.68</v>
      </c>
      <c r="AL33" s="735">
        <v>0.14000000000000001</v>
      </c>
    </row>
    <row r="34" spans="1:38">
      <c r="A34" s="491" t="s">
        <v>954</v>
      </c>
      <c r="B34" s="491" t="s">
        <v>104</v>
      </c>
      <c r="C34" s="491">
        <v>29</v>
      </c>
      <c r="D34" s="491">
        <v>115.97</v>
      </c>
      <c r="E34" s="491" t="s">
        <v>955</v>
      </c>
      <c r="F34" s="492">
        <v>2</v>
      </c>
      <c r="G34" s="492">
        <v>456</v>
      </c>
      <c r="H34" s="491">
        <v>45594</v>
      </c>
      <c r="I34" s="491">
        <v>209</v>
      </c>
      <c r="J34" s="491">
        <v>31</v>
      </c>
      <c r="K34" s="491">
        <v>134</v>
      </c>
      <c r="L34" s="491">
        <v>3</v>
      </c>
      <c r="M34" s="491">
        <v>54</v>
      </c>
      <c r="N34" s="491">
        <v>236</v>
      </c>
      <c r="O34" s="491">
        <v>3.96</v>
      </c>
      <c r="P34" s="491">
        <v>0.75</v>
      </c>
      <c r="Q34" s="492">
        <v>2.08</v>
      </c>
      <c r="R34" s="492">
        <v>3.58</v>
      </c>
      <c r="S34" s="491">
        <v>0.22</v>
      </c>
      <c r="U34" s="112" t="s">
        <v>104</v>
      </c>
      <c r="V34" s="498" t="s">
        <v>16</v>
      </c>
      <c r="W34" s="138" t="s">
        <v>19</v>
      </c>
      <c r="X34" s="505" t="s">
        <v>114</v>
      </c>
      <c r="Y34" s="737">
        <f t="shared" si="1"/>
        <v>1.1955749559511384</v>
      </c>
      <c r="Z34" s="737">
        <f t="shared" si="2"/>
        <v>272.59108995685955</v>
      </c>
      <c r="AA34" s="511">
        <f t="shared" si="3"/>
        <v>27255.522270818095</v>
      </c>
      <c r="AB34" s="511">
        <f t="shared" si="4"/>
        <v>124.93758289689396</v>
      </c>
      <c r="AC34" s="511">
        <f t="shared" si="5"/>
        <v>18.531411817242642</v>
      </c>
      <c r="AD34" s="511">
        <f t="shared" si="6"/>
        <v>80.103522048726276</v>
      </c>
      <c r="AE34" s="511">
        <f t="shared" si="7"/>
        <v>1.7933624339267078</v>
      </c>
      <c r="AF34" s="511">
        <f t="shared" si="8"/>
        <v>32.280523810680734</v>
      </c>
      <c r="AG34" s="511">
        <f t="shared" si="9"/>
        <v>141.07784480223435</v>
      </c>
      <c r="AH34" s="511">
        <f t="shared" si="10"/>
        <v>2.3672384127832538</v>
      </c>
      <c r="AI34" s="511">
        <f t="shared" si="11"/>
        <v>0.44834060848167695</v>
      </c>
      <c r="AJ34" s="492">
        <v>2.08</v>
      </c>
      <c r="AK34" s="733">
        <v>3.58</v>
      </c>
      <c r="AL34" s="735">
        <v>0.22</v>
      </c>
    </row>
    <row r="35" spans="1:38">
      <c r="A35" s="491" t="s">
        <v>954</v>
      </c>
      <c r="B35" s="491" t="s">
        <v>104</v>
      </c>
      <c r="C35" s="491">
        <v>30</v>
      </c>
      <c r="D35" s="491">
        <v>145.08000000000001</v>
      </c>
      <c r="E35" s="491" t="s">
        <v>955</v>
      </c>
      <c r="F35" s="492">
        <v>34</v>
      </c>
      <c r="G35" s="492">
        <v>735</v>
      </c>
      <c r="H35" s="491">
        <v>57018</v>
      </c>
      <c r="I35" s="491">
        <v>348</v>
      </c>
      <c r="J35" s="491">
        <v>781</v>
      </c>
      <c r="K35" s="491">
        <v>65</v>
      </c>
      <c r="L35" s="491">
        <v>21</v>
      </c>
      <c r="M35" s="491">
        <v>57</v>
      </c>
      <c r="N35" s="491">
        <v>456</v>
      </c>
      <c r="O35" s="491">
        <v>4.82</v>
      </c>
      <c r="P35" s="491">
        <v>2.16</v>
      </c>
      <c r="Q35" s="492">
        <v>1.23</v>
      </c>
      <c r="R35" s="492">
        <v>2.12</v>
      </c>
      <c r="S35" s="491">
        <v>0.14000000000000001</v>
      </c>
      <c r="U35" s="112" t="s">
        <v>104</v>
      </c>
      <c r="V35" s="498" t="s">
        <v>16</v>
      </c>
      <c r="W35" s="138" t="s">
        <v>19</v>
      </c>
      <c r="X35" s="505" t="s">
        <v>817</v>
      </c>
      <c r="Y35" s="737">
        <f t="shared" si="1"/>
        <v>20.324774251169352</v>
      </c>
      <c r="Z35" s="737">
        <f t="shared" si="2"/>
        <v>439.37379631204334</v>
      </c>
      <c r="AA35" s="511">
        <f t="shared" si="3"/>
        <v>34084.646419211007</v>
      </c>
      <c r="AB35" s="511">
        <f t="shared" si="4"/>
        <v>208.03004233549808</v>
      </c>
      <c r="AC35" s="511">
        <f t="shared" si="5"/>
        <v>466.87202029891955</v>
      </c>
      <c r="AD35" s="511">
        <f t="shared" si="6"/>
        <v>38.856186068411994</v>
      </c>
      <c r="AE35" s="511">
        <f t="shared" si="7"/>
        <v>12.553537037486951</v>
      </c>
      <c r="AF35" s="511">
        <f t="shared" si="8"/>
        <v>34.073886244607444</v>
      </c>
      <c r="AG35" s="511">
        <f t="shared" si="9"/>
        <v>272.59108995685955</v>
      </c>
      <c r="AH35" s="511">
        <f t="shared" si="10"/>
        <v>2.8813356438422439</v>
      </c>
      <c r="AI35" s="511">
        <f t="shared" si="11"/>
        <v>1.2912209524272293</v>
      </c>
      <c r="AJ35" s="492">
        <v>1.23</v>
      </c>
      <c r="AK35" s="733">
        <v>2.12</v>
      </c>
      <c r="AL35" s="735">
        <v>0.14000000000000001</v>
      </c>
    </row>
    <row r="36" spans="1:38">
      <c r="A36" s="491" t="s">
        <v>954</v>
      </c>
      <c r="B36" s="491" t="s">
        <v>104</v>
      </c>
      <c r="C36" s="491">
        <v>31</v>
      </c>
      <c r="D36" s="491">
        <v>146.41</v>
      </c>
      <c r="E36" s="491" t="s">
        <v>955</v>
      </c>
      <c r="F36" s="492">
        <v>20</v>
      </c>
      <c r="G36" s="492">
        <v>628</v>
      </c>
      <c r="H36" s="491">
        <v>57581</v>
      </c>
      <c r="I36" s="491">
        <v>361</v>
      </c>
      <c r="J36" s="491">
        <v>743</v>
      </c>
      <c r="K36" s="491">
        <v>70</v>
      </c>
      <c r="L36" s="491">
        <v>21</v>
      </c>
      <c r="M36" s="491">
        <v>47</v>
      </c>
      <c r="N36" s="491">
        <v>528</v>
      </c>
      <c r="O36" s="491">
        <v>4.9000000000000004</v>
      </c>
      <c r="P36" s="491">
        <v>1.96</v>
      </c>
      <c r="Q36" s="492">
        <v>2.46</v>
      </c>
      <c r="R36" s="492">
        <v>4.2300000000000004</v>
      </c>
      <c r="S36" s="491">
        <v>0.25</v>
      </c>
      <c r="U36" s="112" t="s">
        <v>104</v>
      </c>
      <c r="V36" s="498" t="s">
        <v>16</v>
      </c>
      <c r="W36" s="138" t="s">
        <v>18</v>
      </c>
      <c r="X36" s="505" t="s">
        <v>112</v>
      </c>
      <c r="Y36" s="737">
        <f t="shared" si="1"/>
        <v>11.955749559511384</v>
      </c>
      <c r="Z36" s="737">
        <f t="shared" si="2"/>
        <v>375.41053616865742</v>
      </c>
      <c r="AA36" s="511">
        <f t="shared" si="3"/>
        <v>34421.200769311254</v>
      </c>
      <c r="AB36" s="511">
        <f t="shared" si="4"/>
        <v>215.80127954918044</v>
      </c>
      <c r="AC36" s="511">
        <f t="shared" si="5"/>
        <v>444.15609613584792</v>
      </c>
      <c r="AD36" s="511">
        <f t="shared" si="6"/>
        <v>41.845123458289841</v>
      </c>
      <c r="AE36" s="511">
        <f t="shared" si="7"/>
        <v>12.553537037486951</v>
      </c>
      <c r="AF36" s="511">
        <f t="shared" si="8"/>
        <v>28.096011464851752</v>
      </c>
      <c r="AG36" s="511">
        <f t="shared" si="9"/>
        <v>315.63178837110053</v>
      </c>
      <c r="AH36" s="511">
        <f t="shared" si="10"/>
        <v>2.9291586420802895</v>
      </c>
      <c r="AI36" s="511">
        <f t="shared" si="11"/>
        <v>1.1716634568321156</v>
      </c>
      <c r="AJ36" s="492">
        <v>2.46</v>
      </c>
      <c r="AK36" s="733">
        <v>4.2300000000000004</v>
      </c>
      <c r="AL36" s="735">
        <v>0.25</v>
      </c>
    </row>
    <row r="37" spans="1:38">
      <c r="A37" s="491" t="s">
        <v>954</v>
      </c>
      <c r="B37" s="491" t="s">
        <v>104</v>
      </c>
      <c r="C37" s="491">
        <v>32</v>
      </c>
      <c r="D37" s="491">
        <v>138.1</v>
      </c>
      <c r="E37" s="491" t="s">
        <v>955</v>
      </c>
      <c r="F37" s="492">
        <v>6</v>
      </c>
      <c r="G37" s="492">
        <v>484</v>
      </c>
      <c r="H37" s="491">
        <v>54261</v>
      </c>
      <c r="I37" s="491">
        <v>334</v>
      </c>
      <c r="J37" s="491">
        <v>267</v>
      </c>
      <c r="K37" s="491">
        <v>91</v>
      </c>
      <c r="L37" s="491">
        <v>8</v>
      </c>
      <c r="M37" s="491">
        <v>102</v>
      </c>
      <c r="N37" s="491">
        <v>431</v>
      </c>
      <c r="O37" s="491">
        <v>4.63</v>
      </c>
      <c r="P37" s="491">
        <v>1.42</v>
      </c>
      <c r="Q37" s="492">
        <v>1.05</v>
      </c>
      <c r="R37" s="492">
        <v>1.81</v>
      </c>
      <c r="S37" s="491">
        <v>0.1</v>
      </c>
      <c r="U37" s="112" t="s">
        <v>104</v>
      </c>
      <c r="V37" s="498" t="s">
        <v>16</v>
      </c>
      <c r="W37" s="138" t="s">
        <v>18</v>
      </c>
      <c r="X37" s="505" t="s">
        <v>114</v>
      </c>
      <c r="Y37" s="737">
        <f t="shared" si="1"/>
        <v>3.5867248678534156</v>
      </c>
      <c r="Z37" s="737">
        <f t="shared" si="2"/>
        <v>289.32913934017552</v>
      </c>
      <c r="AA37" s="511">
        <f t="shared" si="3"/>
        <v>32436.546342432357</v>
      </c>
      <c r="AB37" s="511">
        <f t="shared" si="4"/>
        <v>199.6610176438401</v>
      </c>
      <c r="AC37" s="511">
        <f t="shared" si="5"/>
        <v>159.60925661947695</v>
      </c>
      <c r="AD37" s="511">
        <f t="shared" si="6"/>
        <v>54.398660495776802</v>
      </c>
      <c r="AE37" s="511">
        <f t="shared" si="7"/>
        <v>4.7822998238045535</v>
      </c>
      <c r="AF37" s="511">
        <f t="shared" si="8"/>
        <v>60.974322753508048</v>
      </c>
      <c r="AG37" s="511">
        <f t="shared" si="9"/>
        <v>257.64640300747033</v>
      </c>
      <c r="AH37" s="511">
        <f t="shared" si="10"/>
        <v>2.7677560230268852</v>
      </c>
      <c r="AI37" s="511">
        <f t="shared" si="11"/>
        <v>0.8488582187253082</v>
      </c>
      <c r="AJ37" s="492">
        <v>1.05</v>
      </c>
      <c r="AK37" s="733">
        <v>1.81</v>
      </c>
      <c r="AL37" s="735">
        <v>0.1</v>
      </c>
    </row>
    <row r="38" spans="1:38">
      <c r="A38" s="491" t="s">
        <v>954</v>
      </c>
      <c r="B38" s="491" t="s">
        <v>104</v>
      </c>
      <c r="C38" s="491">
        <v>33</v>
      </c>
      <c r="D38" s="491">
        <v>26.96</v>
      </c>
      <c r="E38" s="491" t="s">
        <v>955</v>
      </c>
      <c r="F38" s="492">
        <v>35</v>
      </c>
      <c r="G38" s="492">
        <v>506</v>
      </c>
      <c r="H38" s="491">
        <v>9332</v>
      </c>
      <c r="I38" s="491">
        <v>660</v>
      </c>
      <c r="J38" s="491">
        <v>41</v>
      </c>
      <c r="K38" s="491">
        <v>49</v>
      </c>
      <c r="L38" s="491">
        <v>10</v>
      </c>
      <c r="M38" s="491">
        <v>331</v>
      </c>
      <c r="N38" s="491">
        <v>504</v>
      </c>
      <c r="O38" s="491">
        <v>5.16</v>
      </c>
      <c r="P38" s="491">
        <v>0.33</v>
      </c>
      <c r="Q38" s="492">
        <v>0.71</v>
      </c>
      <c r="R38" s="492">
        <v>1.22</v>
      </c>
      <c r="S38" s="491">
        <v>0.09</v>
      </c>
      <c r="U38" s="112" t="s">
        <v>104</v>
      </c>
      <c r="V38" s="498" t="s">
        <v>16</v>
      </c>
      <c r="W38" s="138" t="s">
        <v>18</v>
      </c>
      <c r="X38" s="505" t="s">
        <v>817</v>
      </c>
      <c r="Y38" s="737">
        <f t="shared" si="1"/>
        <v>20.92256172914492</v>
      </c>
      <c r="Z38" s="737">
        <f t="shared" si="2"/>
        <v>302.48046385563799</v>
      </c>
      <c r="AA38" s="511">
        <f t="shared" si="3"/>
        <v>5578.552744468012</v>
      </c>
      <c r="AB38" s="511">
        <f t="shared" si="4"/>
        <v>394.53973546387567</v>
      </c>
      <c r="AC38" s="511">
        <f t="shared" si="5"/>
        <v>24.509286596998336</v>
      </c>
      <c r="AD38" s="511">
        <f t="shared" si="6"/>
        <v>29.291586420802894</v>
      </c>
      <c r="AE38" s="511">
        <f t="shared" si="7"/>
        <v>5.9778747797556919</v>
      </c>
      <c r="AF38" s="511">
        <f t="shared" si="8"/>
        <v>197.86765520991341</v>
      </c>
      <c r="AG38" s="511">
        <f t="shared" si="9"/>
        <v>301.28488889968685</v>
      </c>
      <c r="AH38" s="511">
        <f t="shared" si="10"/>
        <v>3.0845833863539371</v>
      </c>
      <c r="AI38" s="511">
        <f t="shared" si="11"/>
        <v>0.19726986773193786</v>
      </c>
      <c r="AJ38" s="492">
        <v>0.71</v>
      </c>
      <c r="AK38" s="733">
        <v>1.22</v>
      </c>
      <c r="AL38" s="735">
        <v>0.09</v>
      </c>
    </row>
    <row r="39" spans="1:38">
      <c r="A39" s="491" t="s">
        <v>954</v>
      </c>
      <c r="B39" s="491" t="s">
        <v>104</v>
      </c>
      <c r="C39" s="491">
        <v>34</v>
      </c>
      <c r="D39" s="491">
        <v>29.7</v>
      </c>
      <c r="E39" s="491" t="s">
        <v>955</v>
      </c>
      <c r="F39" s="492">
        <v>8</v>
      </c>
      <c r="G39" s="492">
        <v>453</v>
      </c>
      <c r="H39" s="491">
        <v>10343</v>
      </c>
      <c r="I39" s="491">
        <v>717</v>
      </c>
      <c r="J39" s="491">
        <v>38</v>
      </c>
      <c r="K39" s="491">
        <v>70</v>
      </c>
      <c r="L39" s="491">
        <v>5</v>
      </c>
      <c r="M39" s="491">
        <v>212</v>
      </c>
      <c r="N39" s="491">
        <v>467</v>
      </c>
      <c r="O39" s="491">
        <v>5.2</v>
      </c>
      <c r="P39" s="491">
        <v>0.3</v>
      </c>
      <c r="Q39" s="492">
        <v>3.14</v>
      </c>
      <c r="R39" s="492">
        <v>5.4</v>
      </c>
      <c r="S39" s="491">
        <v>0.27</v>
      </c>
      <c r="U39" s="112" t="s">
        <v>104</v>
      </c>
      <c r="V39" s="498" t="s">
        <v>16</v>
      </c>
      <c r="W39" s="138" t="s">
        <v>22</v>
      </c>
      <c r="X39" s="505" t="s">
        <v>112</v>
      </c>
      <c r="Y39" s="737">
        <f t="shared" si="1"/>
        <v>4.7822998238045535</v>
      </c>
      <c r="Z39" s="737">
        <f t="shared" si="2"/>
        <v>270.7977275229328</v>
      </c>
      <c r="AA39" s="511">
        <f t="shared" si="3"/>
        <v>6182.9158847013123</v>
      </c>
      <c r="AB39" s="511">
        <f t="shared" si="4"/>
        <v>428.61362170848304</v>
      </c>
      <c r="AC39" s="511">
        <f t="shared" si="5"/>
        <v>22.71592416307163</v>
      </c>
      <c r="AD39" s="511">
        <f t="shared" si="6"/>
        <v>41.845123458289841</v>
      </c>
      <c r="AE39" s="511">
        <f t="shared" si="7"/>
        <v>2.988937389877846</v>
      </c>
      <c r="AF39" s="511">
        <f t="shared" si="8"/>
        <v>126.73094533082066</v>
      </c>
      <c r="AG39" s="511">
        <f t="shared" si="9"/>
        <v>279.16675221459082</v>
      </c>
      <c r="AH39" s="511">
        <f t="shared" si="10"/>
        <v>3.1084948854729597</v>
      </c>
      <c r="AI39" s="511">
        <f t="shared" si="11"/>
        <v>0.17933624339267076</v>
      </c>
      <c r="AJ39" s="492">
        <v>3.14</v>
      </c>
      <c r="AK39" s="733">
        <v>5.4</v>
      </c>
      <c r="AL39" s="735">
        <v>0.27</v>
      </c>
    </row>
    <row r="40" spans="1:38">
      <c r="A40" s="491" t="s">
        <v>954</v>
      </c>
      <c r="B40" s="491" t="s">
        <v>104</v>
      </c>
      <c r="C40" s="491">
        <v>35</v>
      </c>
      <c r="D40" s="491">
        <v>26.04</v>
      </c>
      <c r="E40" s="491" t="s">
        <v>955</v>
      </c>
      <c r="F40" s="492">
        <v>18</v>
      </c>
      <c r="G40" s="492">
        <v>425</v>
      </c>
      <c r="H40" s="491">
        <v>8999</v>
      </c>
      <c r="I40" s="491">
        <v>652</v>
      </c>
      <c r="J40" s="491">
        <v>41</v>
      </c>
      <c r="K40" s="491">
        <v>72</v>
      </c>
      <c r="L40" s="491">
        <v>5</v>
      </c>
      <c r="M40" s="491">
        <v>300</v>
      </c>
      <c r="N40" s="491">
        <v>526</v>
      </c>
      <c r="O40" s="491">
        <v>4.71</v>
      </c>
      <c r="P40" s="491">
        <v>0.61</v>
      </c>
      <c r="Q40" s="492">
        <v>1.72</v>
      </c>
      <c r="R40" s="492">
        <v>2.96</v>
      </c>
      <c r="S40" s="491">
        <v>0.17</v>
      </c>
      <c r="U40" s="112" t="s">
        <v>104</v>
      </c>
      <c r="V40" s="113" t="s">
        <v>16</v>
      </c>
      <c r="W40" s="112" t="s">
        <v>22</v>
      </c>
      <c r="X40" s="504" t="s">
        <v>114</v>
      </c>
      <c r="Y40" s="737">
        <f t="shared" si="1"/>
        <v>10.760174603560246</v>
      </c>
      <c r="Z40" s="737">
        <f t="shared" si="2"/>
        <v>254.05967813961689</v>
      </c>
      <c r="AA40" s="511">
        <f t="shared" si="3"/>
        <v>5379.4895143021477</v>
      </c>
      <c r="AB40" s="511">
        <f t="shared" si="4"/>
        <v>389.75743564007104</v>
      </c>
      <c r="AC40" s="511">
        <f t="shared" si="5"/>
        <v>24.509286596998336</v>
      </c>
      <c r="AD40" s="511">
        <f t="shared" si="6"/>
        <v>43.040698414240985</v>
      </c>
      <c r="AE40" s="511">
        <f t="shared" si="7"/>
        <v>2.988937389877846</v>
      </c>
      <c r="AF40" s="511">
        <f t="shared" si="8"/>
        <v>179.33624339267075</v>
      </c>
      <c r="AG40" s="511">
        <f t="shared" si="9"/>
        <v>314.43621341514938</v>
      </c>
      <c r="AH40" s="511">
        <f t="shared" si="10"/>
        <v>2.8155790212649308</v>
      </c>
      <c r="AI40" s="511">
        <f t="shared" si="11"/>
        <v>0.36465036156509723</v>
      </c>
      <c r="AJ40" s="492">
        <v>1.72</v>
      </c>
      <c r="AK40" s="733">
        <v>2.96</v>
      </c>
      <c r="AL40" s="735">
        <v>0.17</v>
      </c>
    </row>
    <row r="41" spans="1:38" ht="15.75" thickBot="1">
      <c r="A41" s="491" t="s">
        <v>954</v>
      </c>
      <c r="B41" s="491" t="s">
        <v>104</v>
      </c>
      <c r="C41" s="491">
        <v>36</v>
      </c>
      <c r="D41" s="491">
        <v>51.87</v>
      </c>
      <c r="E41" s="491" t="s">
        <v>955</v>
      </c>
      <c r="F41" s="492">
        <v>74</v>
      </c>
      <c r="G41" s="492">
        <v>614</v>
      </c>
      <c r="H41" s="491">
        <v>19201</v>
      </c>
      <c r="I41" s="491">
        <v>669</v>
      </c>
      <c r="J41" s="491">
        <v>72</v>
      </c>
      <c r="K41" s="491">
        <v>80</v>
      </c>
      <c r="L41" s="491">
        <v>15</v>
      </c>
      <c r="M41" s="491">
        <v>324</v>
      </c>
      <c r="N41" s="491">
        <v>449</v>
      </c>
      <c r="O41" s="491">
        <v>5.51</v>
      </c>
      <c r="P41" s="491">
        <v>1.81</v>
      </c>
      <c r="Q41" s="492">
        <v>1.19</v>
      </c>
      <c r="R41" s="492">
        <v>2.0499999999999998</v>
      </c>
      <c r="S41" s="491">
        <v>0.1</v>
      </c>
      <c r="U41" s="500" t="s">
        <v>104</v>
      </c>
      <c r="V41" s="499" t="s">
        <v>16</v>
      </c>
      <c r="W41" s="500" t="s">
        <v>22</v>
      </c>
      <c r="X41" s="506" t="s">
        <v>817</v>
      </c>
      <c r="Y41" s="737">
        <f t="shared" si="1"/>
        <v>44.236273370192123</v>
      </c>
      <c r="Z41" s="737">
        <f t="shared" si="2"/>
        <v>367.04151147699946</v>
      </c>
      <c r="AA41" s="511">
        <f t="shared" si="3"/>
        <v>11478.117364608903</v>
      </c>
      <c r="AB41" s="511">
        <f t="shared" si="4"/>
        <v>399.91982276565574</v>
      </c>
      <c r="AC41" s="511">
        <f t="shared" si="5"/>
        <v>43.040698414240985</v>
      </c>
      <c r="AD41" s="511">
        <f t="shared" si="6"/>
        <v>47.822998238045535</v>
      </c>
      <c r="AE41" s="511">
        <f t="shared" si="7"/>
        <v>8.9668121696335383</v>
      </c>
      <c r="AF41" s="511">
        <f t="shared" si="8"/>
        <v>193.6831428640844</v>
      </c>
      <c r="AG41" s="511">
        <f t="shared" si="9"/>
        <v>268.40657761103057</v>
      </c>
      <c r="AH41" s="511">
        <f t="shared" si="10"/>
        <v>3.2938090036453866</v>
      </c>
      <c r="AI41" s="511">
        <f t="shared" si="11"/>
        <v>1.0819953351357801</v>
      </c>
      <c r="AJ41" s="492">
        <v>1.19</v>
      </c>
      <c r="AK41" s="733">
        <v>2.0499999999999998</v>
      </c>
      <c r="AL41" s="735">
        <v>0.1</v>
      </c>
    </row>
    <row r="42" spans="1:38">
      <c r="A42" s="491" t="s">
        <v>954</v>
      </c>
      <c r="B42" s="491" t="s">
        <v>957</v>
      </c>
      <c r="C42" s="491">
        <v>37</v>
      </c>
      <c r="D42" s="491">
        <v>38.64</v>
      </c>
      <c r="E42" s="491" t="s">
        <v>955</v>
      </c>
      <c r="F42" s="492">
        <v>13</v>
      </c>
      <c r="G42" s="492">
        <v>442</v>
      </c>
      <c r="H42" s="491">
        <v>14313</v>
      </c>
      <c r="I42" s="491">
        <v>396</v>
      </c>
      <c r="J42" s="491">
        <v>25</v>
      </c>
      <c r="K42" s="491">
        <v>130</v>
      </c>
      <c r="L42" s="491">
        <v>4</v>
      </c>
      <c r="M42" s="491">
        <v>167</v>
      </c>
      <c r="N42" s="491">
        <v>332</v>
      </c>
      <c r="O42" s="491">
        <v>4.2</v>
      </c>
      <c r="P42" s="491">
        <v>0.83</v>
      </c>
      <c r="Q42" s="492">
        <v>11.39</v>
      </c>
      <c r="R42" s="492">
        <v>19.59</v>
      </c>
      <c r="S42" s="491">
        <v>1.25</v>
      </c>
      <c r="U42" s="138" t="s">
        <v>100</v>
      </c>
      <c r="V42" s="498" t="s">
        <v>15</v>
      </c>
      <c r="W42" s="138" t="s">
        <v>19</v>
      </c>
      <c r="X42" s="505" t="s">
        <v>112</v>
      </c>
      <c r="Y42" s="737">
        <f t="shared" si="1"/>
        <v>7.7712372136823982</v>
      </c>
      <c r="Z42" s="737">
        <f t="shared" si="2"/>
        <v>264.22206526520159</v>
      </c>
      <c r="AA42" s="511">
        <f t="shared" si="3"/>
        <v>8556.1321722643224</v>
      </c>
      <c r="AB42" s="511">
        <f t="shared" si="4"/>
        <v>236.72384127832541</v>
      </c>
      <c r="AC42" s="511">
        <f t="shared" si="5"/>
        <v>14.944686949389229</v>
      </c>
      <c r="AD42" s="511">
        <f t="shared" si="6"/>
        <v>77.712372136823987</v>
      </c>
      <c r="AE42" s="511">
        <f t="shared" si="7"/>
        <v>2.3911499119022768</v>
      </c>
      <c r="AF42" s="511">
        <f t="shared" si="8"/>
        <v>99.830508821920048</v>
      </c>
      <c r="AG42" s="511">
        <f t="shared" si="9"/>
        <v>198.46544268788895</v>
      </c>
      <c r="AH42" s="511">
        <f t="shared" si="10"/>
        <v>2.5107074074973905</v>
      </c>
      <c r="AI42" s="511">
        <f t="shared" si="11"/>
        <v>0.49616360671972243</v>
      </c>
      <c r="AJ42" s="492">
        <v>11.39</v>
      </c>
      <c r="AK42" s="733">
        <v>19.59</v>
      </c>
      <c r="AL42" s="735">
        <v>1.25</v>
      </c>
    </row>
    <row r="43" spans="1:38">
      <c r="A43" s="491" t="s">
        <v>954</v>
      </c>
      <c r="B43" s="491" t="s">
        <v>957</v>
      </c>
      <c r="C43" s="491">
        <v>38</v>
      </c>
      <c r="D43" s="491">
        <v>34.229999999999997</v>
      </c>
      <c r="E43" s="491" t="s">
        <v>955</v>
      </c>
      <c r="F43" s="492">
        <v>4</v>
      </c>
      <c r="G43" s="492">
        <v>424</v>
      </c>
      <c r="H43" s="491">
        <v>12790</v>
      </c>
      <c r="I43" s="491">
        <v>300</v>
      </c>
      <c r="J43" s="491">
        <v>37</v>
      </c>
      <c r="K43" s="491">
        <v>212</v>
      </c>
      <c r="L43" s="491">
        <v>4</v>
      </c>
      <c r="M43" s="491">
        <v>129</v>
      </c>
      <c r="N43" s="491">
        <v>380</v>
      </c>
      <c r="O43" s="491">
        <v>4.24</v>
      </c>
      <c r="P43" s="491">
        <v>0.61</v>
      </c>
      <c r="Q43" s="492">
        <v>9.3699999999999992</v>
      </c>
      <c r="R43" s="492">
        <v>16.12</v>
      </c>
      <c r="S43" s="491">
        <v>0.93</v>
      </c>
      <c r="U43" s="138" t="s">
        <v>100</v>
      </c>
      <c r="V43" s="498" t="s">
        <v>15</v>
      </c>
      <c r="W43" s="138" t="s">
        <v>19</v>
      </c>
      <c r="X43" s="505" t="s">
        <v>114</v>
      </c>
      <c r="Y43" s="737">
        <f t="shared" si="1"/>
        <v>2.3911499119022768</v>
      </c>
      <c r="Z43" s="737">
        <f t="shared" si="2"/>
        <v>253.46189066164132</v>
      </c>
      <c r="AA43" s="511">
        <f t="shared" si="3"/>
        <v>7645.70184330753</v>
      </c>
      <c r="AB43" s="511">
        <f t="shared" si="4"/>
        <v>179.33624339267075</v>
      </c>
      <c r="AC43" s="511">
        <f t="shared" si="5"/>
        <v>22.118136685096061</v>
      </c>
      <c r="AD43" s="511">
        <f t="shared" si="6"/>
        <v>126.73094533082066</v>
      </c>
      <c r="AE43" s="511">
        <f t="shared" si="7"/>
        <v>2.3911499119022768</v>
      </c>
      <c r="AF43" s="511">
        <f t="shared" si="8"/>
        <v>77.114584658848415</v>
      </c>
      <c r="AG43" s="511">
        <f t="shared" si="9"/>
        <v>227.15924163071628</v>
      </c>
      <c r="AH43" s="511">
        <f t="shared" si="10"/>
        <v>2.5346189066164135</v>
      </c>
      <c r="AI43" s="511">
        <f t="shared" si="11"/>
        <v>0.36465036156509723</v>
      </c>
      <c r="AJ43" s="492">
        <v>9.3699999999999992</v>
      </c>
      <c r="AK43" s="733">
        <v>16.12</v>
      </c>
      <c r="AL43" s="735">
        <v>0.93</v>
      </c>
    </row>
    <row r="44" spans="1:38">
      <c r="A44" s="491" t="s">
        <v>954</v>
      </c>
      <c r="B44" s="491" t="s">
        <v>957</v>
      </c>
      <c r="C44" s="491">
        <v>39</v>
      </c>
      <c r="D44" s="491">
        <v>32.32</v>
      </c>
      <c r="E44" s="491" t="s">
        <v>955</v>
      </c>
      <c r="F44" s="492">
        <v>25</v>
      </c>
      <c r="G44" s="492">
        <v>540</v>
      </c>
      <c r="H44" s="491">
        <v>11479</v>
      </c>
      <c r="I44" s="491">
        <v>669</v>
      </c>
      <c r="J44" s="491">
        <v>28</v>
      </c>
      <c r="K44" s="491">
        <v>64</v>
      </c>
      <c r="L44" s="491">
        <v>9</v>
      </c>
      <c r="M44" s="491">
        <v>136</v>
      </c>
      <c r="N44" s="491">
        <v>399</v>
      </c>
      <c r="O44" s="491">
        <v>5.22</v>
      </c>
      <c r="P44" s="491">
        <v>1.67</v>
      </c>
      <c r="Q44" s="492">
        <v>5.34</v>
      </c>
      <c r="R44" s="492">
        <v>9.18</v>
      </c>
      <c r="S44" s="491">
        <v>0.52</v>
      </c>
      <c r="U44" s="138" t="s">
        <v>100</v>
      </c>
      <c r="V44" s="498" t="s">
        <v>15</v>
      </c>
      <c r="W44" s="138" t="s">
        <v>19</v>
      </c>
      <c r="X44" s="505" t="s">
        <v>817</v>
      </c>
      <c r="Y44" s="737">
        <f t="shared" si="1"/>
        <v>14.944686949389229</v>
      </c>
      <c r="Z44" s="737">
        <f t="shared" si="2"/>
        <v>322.80523810680734</v>
      </c>
      <c r="AA44" s="511">
        <f t="shared" si="3"/>
        <v>6862.0024596815583</v>
      </c>
      <c r="AB44" s="511">
        <f t="shared" si="4"/>
        <v>399.91982276565574</v>
      </c>
      <c r="AC44" s="511">
        <f t="shared" si="5"/>
        <v>16.738049383315936</v>
      </c>
      <c r="AD44" s="511">
        <f t="shared" si="6"/>
        <v>38.258398590436428</v>
      </c>
      <c r="AE44" s="511">
        <f t="shared" si="7"/>
        <v>5.3800873017801232</v>
      </c>
      <c r="AF44" s="511">
        <f t="shared" si="8"/>
        <v>81.299097004677407</v>
      </c>
      <c r="AG44" s="511">
        <f t="shared" si="9"/>
        <v>238.5172037122521</v>
      </c>
      <c r="AH44" s="511">
        <f t="shared" si="10"/>
        <v>3.120450635032471</v>
      </c>
      <c r="AI44" s="511">
        <f t="shared" si="11"/>
        <v>0.9983050882192005</v>
      </c>
      <c r="AJ44" s="492">
        <v>5.34</v>
      </c>
      <c r="AK44" s="733">
        <v>9.18</v>
      </c>
      <c r="AL44" s="735">
        <v>0.52</v>
      </c>
    </row>
    <row r="45" spans="1:38">
      <c r="A45" s="491" t="s">
        <v>954</v>
      </c>
      <c r="B45" s="491" t="s">
        <v>957</v>
      </c>
      <c r="C45" s="491">
        <v>40</v>
      </c>
      <c r="D45" s="491">
        <v>33.75</v>
      </c>
      <c r="E45" s="491" t="s">
        <v>955</v>
      </c>
      <c r="F45" s="492">
        <v>9</v>
      </c>
      <c r="G45" s="492">
        <v>399</v>
      </c>
      <c r="H45" s="491">
        <v>12248</v>
      </c>
      <c r="I45" s="491">
        <v>582</v>
      </c>
      <c r="J45" s="491">
        <v>27</v>
      </c>
      <c r="K45" s="491">
        <v>89</v>
      </c>
      <c r="L45" s="491">
        <v>6</v>
      </c>
      <c r="M45" s="491">
        <v>119</v>
      </c>
      <c r="N45" s="491">
        <v>382</v>
      </c>
      <c r="O45" s="491">
        <v>4.46</v>
      </c>
      <c r="P45" s="491">
        <v>1.47</v>
      </c>
      <c r="Q45" s="492">
        <v>12.77</v>
      </c>
      <c r="R45" s="492">
        <v>21.96</v>
      </c>
      <c r="S45" s="491">
        <v>1.46</v>
      </c>
      <c r="U45" s="138" t="s">
        <v>100</v>
      </c>
      <c r="V45" s="498" t="s">
        <v>15</v>
      </c>
      <c r="W45" s="138" t="s">
        <v>34</v>
      </c>
      <c r="X45" s="505" t="s">
        <v>112</v>
      </c>
      <c r="Y45" s="737">
        <f t="shared" si="1"/>
        <v>5.3800873017801232</v>
      </c>
      <c r="Z45" s="737">
        <f t="shared" si="2"/>
        <v>238.5172037122521</v>
      </c>
      <c r="AA45" s="511">
        <f t="shared" si="3"/>
        <v>7321.7010302447707</v>
      </c>
      <c r="AB45" s="511">
        <f t="shared" si="4"/>
        <v>347.91231218178126</v>
      </c>
      <c r="AC45" s="511">
        <f t="shared" si="5"/>
        <v>16.140261905340367</v>
      </c>
      <c r="AD45" s="511">
        <f t="shared" si="6"/>
        <v>53.203085539825658</v>
      </c>
      <c r="AE45" s="511">
        <f t="shared" si="7"/>
        <v>3.5867248678534156</v>
      </c>
      <c r="AF45" s="511">
        <f t="shared" si="8"/>
        <v>71.136709879092734</v>
      </c>
      <c r="AG45" s="511">
        <f t="shared" si="9"/>
        <v>228.35481658666745</v>
      </c>
      <c r="AH45" s="511">
        <f t="shared" si="10"/>
        <v>2.666132151771039</v>
      </c>
      <c r="AI45" s="511">
        <f t="shared" si="11"/>
        <v>0.87874759262408664</v>
      </c>
      <c r="AJ45" s="492">
        <v>12.77</v>
      </c>
      <c r="AK45" s="733">
        <v>21.96</v>
      </c>
      <c r="AL45" s="735">
        <v>1.46</v>
      </c>
    </row>
    <row r="46" spans="1:38">
      <c r="A46" s="491" t="s">
        <v>954</v>
      </c>
      <c r="B46" s="491" t="s">
        <v>957</v>
      </c>
      <c r="C46" s="491">
        <v>41</v>
      </c>
      <c r="D46" s="491">
        <v>34.92</v>
      </c>
      <c r="E46" s="491" t="s">
        <v>955</v>
      </c>
      <c r="F46" s="492">
        <v>8</v>
      </c>
      <c r="G46" s="492">
        <v>357</v>
      </c>
      <c r="H46" s="491">
        <v>12969</v>
      </c>
      <c r="I46" s="491">
        <v>438</v>
      </c>
      <c r="J46" s="491">
        <v>24</v>
      </c>
      <c r="K46" s="491">
        <v>97</v>
      </c>
      <c r="L46" s="491">
        <v>4</v>
      </c>
      <c r="M46" s="491">
        <v>147</v>
      </c>
      <c r="N46" s="491">
        <v>364</v>
      </c>
      <c r="O46" s="491">
        <v>5.32</v>
      </c>
      <c r="P46" s="491">
        <v>1.63</v>
      </c>
      <c r="Q46" s="492">
        <v>10</v>
      </c>
      <c r="R46" s="492">
        <v>17.2</v>
      </c>
      <c r="S46" s="491">
        <v>0.91</v>
      </c>
      <c r="U46" s="138" t="s">
        <v>100</v>
      </c>
      <c r="V46" s="498" t="s">
        <v>15</v>
      </c>
      <c r="W46" s="138" t="s">
        <v>34</v>
      </c>
      <c r="X46" s="505" t="s">
        <v>114</v>
      </c>
      <c r="Y46" s="737">
        <f t="shared" si="1"/>
        <v>4.7822998238045535</v>
      </c>
      <c r="Z46" s="737">
        <f t="shared" si="2"/>
        <v>213.41012963727817</v>
      </c>
      <c r="AA46" s="511">
        <f t="shared" si="3"/>
        <v>7752.705801865156</v>
      </c>
      <c r="AB46" s="511">
        <f t="shared" si="4"/>
        <v>261.8309153532993</v>
      </c>
      <c r="AC46" s="511">
        <f t="shared" si="5"/>
        <v>14.346899471413662</v>
      </c>
      <c r="AD46" s="511">
        <f t="shared" si="6"/>
        <v>57.985385363630215</v>
      </c>
      <c r="AE46" s="511">
        <f t="shared" si="7"/>
        <v>2.3911499119022768</v>
      </c>
      <c r="AF46" s="511">
        <f t="shared" si="8"/>
        <v>87.874759262408674</v>
      </c>
      <c r="AG46" s="511">
        <f t="shared" si="9"/>
        <v>217.59464198310721</v>
      </c>
      <c r="AH46" s="511">
        <f t="shared" si="10"/>
        <v>3.1802293828300283</v>
      </c>
      <c r="AI46" s="511">
        <f t="shared" si="11"/>
        <v>0.97439358910017759</v>
      </c>
      <c r="AJ46" s="492">
        <v>10</v>
      </c>
      <c r="AK46" s="733">
        <v>17.2</v>
      </c>
      <c r="AL46" s="735">
        <v>0.91</v>
      </c>
    </row>
    <row r="47" spans="1:38">
      <c r="A47" s="491" t="s">
        <v>954</v>
      </c>
      <c r="B47" s="491" t="s">
        <v>957</v>
      </c>
      <c r="C47" s="491">
        <v>42</v>
      </c>
      <c r="D47" s="491">
        <v>29.84</v>
      </c>
      <c r="E47" s="491" t="s">
        <v>955</v>
      </c>
      <c r="F47" s="492">
        <v>52</v>
      </c>
      <c r="G47" s="492">
        <v>1025</v>
      </c>
      <c r="H47" s="491">
        <v>10108</v>
      </c>
      <c r="I47" s="491">
        <v>694</v>
      </c>
      <c r="J47" s="491">
        <v>37</v>
      </c>
      <c r="K47" s="491">
        <v>58</v>
      </c>
      <c r="L47" s="491">
        <v>11</v>
      </c>
      <c r="M47" s="491">
        <v>55</v>
      </c>
      <c r="N47" s="491">
        <v>800</v>
      </c>
      <c r="O47" s="491">
        <v>4.4800000000000004</v>
      </c>
      <c r="P47" s="491">
        <v>1.27</v>
      </c>
      <c r="Q47" s="492">
        <v>5.14</v>
      </c>
      <c r="R47" s="492">
        <v>8.84</v>
      </c>
      <c r="S47" s="491">
        <v>0.47</v>
      </c>
      <c r="U47" s="138" t="s">
        <v>100</v>
      </c>
      <c r="V47" s="498" t="s">
        <v>15</v>
      </c>
      <c r="W47" s="138" t="s">
        <v>34</v>
      </c>
      <c r="X47" s="505" t="s">
        <v>817</v>
      </c>
      <c r="Y47" s="737">
        <f t="shared" si="1"/>
        <v>31.084948854729593</v>
      </c>
      <c r="Z47" s="737">
        <f t="shared" si="2"/>
        <v>612.7321649249584</v>
      </c>
      <c r="AA47" s="511">
        <f t="shared" si="3"/>
        <v>6042.435827377054</v>
      </c>
      <c r="AB47" s="511">
        <f t="shared" si="4"/>
        <v>414.86450971504507</v>
      </c>
      <c r="AC47" s="511">
        <f t="shared" si="5"/>
        <v>22.118136685096061</v>
      </c>
      <c r="AD47" s="511">
        <f t="shared" si="6"/>
        <v>34.671673722583016</v>
      </c>
      <c r="AE47" s="511">
        <f t="shared" si="7"/>
        <v>6.5756622577312607</v>
      </c>
      <c r="AF47" s="511">
        <f t="shared" si="8"/>
        <v>32.878311288656306</v>
      </c>
      <c r="AG47" s="511">
        <f t="shared" si="9"/>
        <v>478.22998238045534</v>
      </c>
      <c r="AH47" s="511">
        <f t="shared" si="10"/>
        <v>2.6780879013305503</v>
      </c>
      <c r="AI47" s="511">
        <f t="shared" si="11"/>
        <v>0.75919009702897289</v>
      </c>
      <c r="AJ47" s="492">
        <v>5.14</v>
      </c>
      <c r="AK47" s="733">
        <v>8.84</v>
      </c>
      <c r="AL47" s="735">
        <v>0.47</v>
      </c>
    </row>
    <row r="48" spans="1:38">
      <c r="A48" s="491" t="s">
        <v>954</v>
      </c>
      <c r="B48" s="491" t="s">
        <v>957</v>
      </c>
      <c r="C48" s="491">
        <v>43</v>
      </c>
      <c r="D48" s="491">
        <v>35.07</v>
      </c>
      <c r="E48" s="491" t="s">
        <v>955</v>
      </c>
      <c r="F48" s="492">
        <v>20</v>
      </c>
      <c r="G48" s="492">
        <v>869</v>
      </c>
      <c r="H48" s="491">
        <v>12255</v>
      </c>
      <c r="I48" s="491">
        <v>704</v>
      </c>
      <c r="J48" s="491">
        <v>26</v>
      </c>
      <c r="K48" s="491">
        <v>67</v>
      </c>
      <c r="L48" s="491">
        <v>7</v>
      </c>
      <c r="M48" s="491">
        <v>71</v>
      </c>
      <c r="N48" s="491">
        <v>743</v>
      </c>
      <c r="O48" s="491">
        <v>4.1100000000000003</v>
      </c>
      <c r="P48" s="491">
        <v>1.44</v>
      </c>
      <c r="Q48" s="492">
        <v>9.19</v>
      </c>
      <c r="R48" s="492">
        <v>15.81</v>
      </c>
      <c r="S48" s="491">
        <v>0.98</v>
      </c>
      <c r="U48" s="138" t="s">
        <v>100</v>
      </c>
      <c r="V48" s="498" t="s">
        <v>15</v>
      </c>
      <c r="W48" s="138" t="s">
        <v>29</v>
      </c>
      <c r="X48" s="505" t="s">
        <v>112</v>
      </c>
      <c r="Y48" s="737">
        <f t="shared" si="1"/>
        <v>11.955749559511384</v>
      </c>
      <c r="Z48" s="737">
        <f t="shared" si="2"/>
        <v>519.47731836076957</v>
      </c>
      <c r="AA48" s="511">
        <f t="shared" si="3"/>
        <v>7325.8855425906004</v>
      </c>
      <c r="AB48" s="511">
        <f t="shared" si="4"/>
        <v>420.84238449480068</v>
      </c>
      <c r="AC48" s="511">
        <f t="shared" si="5"/>
        <v>15.542474427364796</v>
      </c>
      <c r="AD48" s="511">
        <f t="shared" si="6"/>
        <v>40.051761024363138</v>
      </c>
      <c r="AE48" s="511">
        <f t="shared" si="7"/>
        <v>4.1845123458289839</v>
      </c>
      <c r="AF48" s="511">
        <f t="shared" si="8"/>
        <v>42.44291093626542</v>
      </c>
      <c r="AG48" s="511">
        <f t="shared" si="9"/>
        <v>444.15609613584792</v>
      </c>
      <c r="AH48" s="511">
        <f t="shared" si="10"/>
        <v>2.45690653447959</v>
      </c>
      <c r="AI48" s="511">
        <f t="shared" si="11"/>
        <v>0.86081396828481949</v>
      </c>
      <c r="AJ48" s="492">
        <v>9.19</v>
      </c>
      <c r="AK48" s="733">
        <v>15.81</v>
      </c>
      <c r="AL48" s="735">
        <v>0.98</v>
      </c>
    </row>
    <row r="49" spans="1:38">
      <c r="A49" s="491" t="s">
        <v>954</v>
      </c>
      <c r="B49" s="491" t="s">
        <v>957</v>
      </c>
      <c r="C49" s="491">
        <v>44</v>
      </c>
      <c r="D49" s="491">
        <v>28.12</v>
      </c>
      <c r="E49" s="491" t="s">
        <v>955</v>
      </c>
      <c r="F49" s="492">
        <v>29</v>
      </c>
      <c r="G49" s="492">
        <v>689</v>
      </c>
      <c r="H49" s="491">
        <v>9868</v>
      </c>
      <c r="I49" s="491">
        <v>523</v>
      </c>
      <c r="J49" s="491">
        <v>28</v>
      </c>
      <c r="K49" s="491">
        <v>66</v>
      </c>
      <c r="L49" s="491">
        <v>7</v>
      </c>
      <c r="M49" s="491">
        <v>49</v>
      </c>
      <c r="N49" s="491">
        <v>727</v>
      </c>
      <c r="O49" s="491">
        <v>3.62</v>
      </c>
      <c r="P49" s="491">
        <v>1.7</v>
      </c>
      <c r="Q49" s="492">
        <v>9.8800000000000008</v>
      </c>
      <c r="R49" s="492">
        <v>16.989999999999998</v>
      </c>
      <c r="S49" s="491">
        <v>0.93</v>
      </c>
      <c r="U49" s="138" t="s">
        <v>100</v>
      </c>
      <c r="V49" s="498" t="s">
        <v>15</v>
      </c>
      <c r="W49" s="138" t="s">
        <v>29</v>
      </c>
      <c r="X49" s="505" t="s">
        <v>114</v>
      </c>
      <c r="Y49" s="737">
        <f t="shared" si="1"/>
        <v>17.335836861291508</v>
      </c>
      <c r="Z49" s="737">
        <f t="shared" si="2"/>
        <v>411.87557232516713</v>
      </c>
      <c r="AA49" s="511">
        <f t="shared" si="3"/>
        <v>5898.9668326629162</v>
      </c>
      <c r="AB49" s="511">
        <f t="shared" si="4"/>
        <v>312.64285098122269</v>
      </c>
      <c r="AC49" s="511">
        <f t="shared" si="5"/>
        <v>16.738049383315936</v>
      </c>
      <c r="AD49" s="511">
        <f t="shared" si="6"/>
        <v>39.453973546387566</v>
      </c>
      <c r="AE49" s="511">
        <f t="shared" si="7"/>
        <v>4.1845123458289839</v>
      </c>
      <c r="AF49" s="511">
        <f t="shared" si="8"/>
        <v>29.291586420802894</v>
      </c>
      <c r="AG49" s="511">
        <f t="shared" si="9"/>
        <v>434.59149648823882</v>
      </c>
      <c r="AH49" s="511">
        <f t="shared" si="10"/>
        <v>2.1639906702715601</v>
      </c>
      <c r="AI49" s="511">
        <f t="shared" si="11"/>
        <v>1.0162387125584675</v>
      </c>
      <c r="AJ49" s="492">
        <v>9.8800000000000008</v>
      </c>
      <c r="AK49" s="733">
        <v>16.989999999999998</v>
      </c>
      <c r="AL49" s="735">
        <v>0.93</v>
      </c>
    </row>
    <row r="50" spans="1:38">
      <c r="A50" s="491" t="s">
        <v>954</v>
      </c>
      <c r="B50" s="491" t="s">
        <v>957</v>
      </c>
      <c r="C50" s="491">
        <v>45</v>
      </c>
      <c r="D50" s="491">
        <v>42.26</v>
      </c>
      <c r="E50" s="491" t="s">
        <v>955</v>
      </c>
      <c r="F50" s="492">
        <v>3066</v>
      </c>
      <c r="G50" s="492">
        <v>1366</v>
      </c>
      <c r="H50" s="491">
        <v>14535</v>
      </c>
      <c r="I50" s="491">
        <v>956</v>
      </c>
      <c r="J50" s="491">
        <v>59</v>
      </c>
      <c r="K50" s="491">
        <v>86</v>
      </c>
      <c r="L50" s="491">
        <v>229</v>
      </c>
      <c r="M50" s="491">
        <v>134</v>
      </c>
      <c r="N50" s="491">
        <v>614</v>
      </c>
      <c r="O50" s="491">
        <v>30.54</v>
      </c>
      <c r="P50" s="491">
        <v>2.41</v>
      </c>
      <c r="Q50" s="492">
        <v>6.75</v>
      </c>
      <c r="R50" s="492">
        <v>11.61</v>
      </c>
      <c r="S50" s="491">
        <v>0.64</v>
      </c>
      <c r="U50" s="138" t="s">
        <v>100</v>
      </c>
      <c r="V50" s="498" t="s">
        <v>15</v>
      </c>
      <c r="W50" s="138" t="s">
        <v>29</v>
      </c>
      <c r="X50" s="505" t="s">
        <v>817</v>
      </c>
      <c r="Y50" s="737">
        <f t="shared" si="1"/>
        <v>1832.8164074730951</v>
      </c>
      <c r="Z50" s="737">
        <f t="shared" si="2"/>
        <v>816.57769491462761</v>
      </c>
      <c r="AA50" s="511">
        <f t="shared" si="3"/>
        <v>8688.8409923748986</v>
      </c>
      <c r="AB50" s="511">
        <f t="shared" si="4"/>
        <v>571.48482894464416</v>
      </c>
      <c r="AC50" s="511">
        <f t="shared" si="5"/>
        <v>35.269461200558588</v>
      </c>
      <c r="AD50" s="511">
        <f t="shared" si="6"/>
        <v>51.409723105898948</v>
      </c>
      <c r="AE50" s="511">
        <f t="shared" si="7"/>
        <v>136.89333245640535</v>
      </c>
      <c r="AF50" s="511">
        <f t="shared" si="8"/>
        <v>80.103522048726276</v>
      </c>
      <c r="AG50" s="511">
        <f t="shared" si="9"/>
        <v>367.04151147699946</v>
      </c>
      <c r="AH50" s="511">
        <f t="shared" si="10"/>
        <v>18.256429577373883</v>
      </c>
      <c r="AI50" s="511">
        <f t="shared" si="11"/>
        <v>1.440667821921122</v>
      </c>
      <c r="AJ50" s="492">
        <v>6.75</v>
      </c>
      <c r="AK50" s="733">
        <v>11.61</v>
      </c>
      <c r="AL50" s="735">
        <v>0.64</v>
      </c>
    </row>
    <row r="51" spans="1:38">
      <c r="A51" s="491" t="s">
        <v>954</v>
      </c>
      <c r="B51" s="491" t="s">
        <v>957</v>
      </c>
      <c r="C51" s="491">
        <v>46</v>
      </c>
      <c r="D51" s="491">
        <v>42.36</v>
      </c>
      <c r="E51" s="491" t="s">
        <v>955</v>
      </c>
      <c r="F51" s="492">
        <v>2697</v>
      </c>
      <c r="G51" s="492">
        <v>1382</v>
      </c>
      <c r="H51" s="491">
        <v>14560</v>
      </c>
      <c r="I51" s="491">
        <v>959</v>
      </c>
      <c r="J51" s="491">
        <v>61</v>
      </c>
      <c r="K51" s="491">
        <v>88</v>
      </c>
      <c r="L51" s="491">
        <v>187</v>
      </c>
      <c r="M51" s="491">
        <v>105</v>
      </c>
      <c r="N51" s="491">
        <v>837</v>
      </c>
      <c r="O51" s="491">
        <v>25.58</v>
      </c>
      <c r="P51" s="491">
        <v>2.4</v>
      </c>
      <c r="Q51" s="492">
        <v>7.32</v>
      </c>
      <c r="R51" s="492">
        <v>12.59</v>
      </c>
      <c r="S51" s="491">
        <v>0.62</v>
      </c>
      <c r="U51" s="138" t="s">
        <v>100</v>
      </c>
      <c r="V51" s="498" t="s">
        <v>13</v>
      </c>
      <c r="W51" s="138" t="s">
        <v>25</v>
      </c>
      <c r="X51" s="505" t="s">
        <v>112</v>
      </c>
      <c r="Y51" s="737">
        <f t="shared" si="1"/>
        <v>1612.2328281001098</v>
      </c>
      <c r="Z51" s="737">
        <f t="shared" si="2"/>
        <v>826.14229456223666</v>
      </c>
      <c r="AA51" s="511">
        <f t="shared" si="3"/>
        <v>8703.7856793242863</v>
      </c>
      <c r="AB51" s="511">
        <f t="shared" si="4"/>
        <v>573.2781913785708</v>
      </c>
      <c r="AC51" s="511">
        <f t="shared" si="5"/>
        <v>36.465036156509719</v>
      </c>
      <c r="AD51" s="511">
        <f t="shared" si="6"/>
        <v>52.605298061850085</v>
      </c>
      <c r="AE51" s="511">
        <f t="shared" si="7"/>
        <v>111.78625838143145</v>
      </c>
      <c r="AF51" s="511">
        <f t="shared" si="8"/>
        <v>62.767685187434765</v>
      </c>
      <c r="AG51" s="511">
        <f t="shared" si="9"/>
        <v>500.34811906555143</v>
      </c>
      <c r="AH51" s="511">
        <f t="shared" si="10"/>
        <v>15.291403686615057</v>
      </c>
      <c r="AI51" s="511">
        <f t="shared" si="11"/>
        <v>1.4346899471413661</v>
      </c>
      <c r="AJ51" s="492">
        <v>7.32</v>
      </c>
      <c r="AK51" s="733">
        <v>12.59</v>
      </c>
      <c r="AL51" s="735">
        <v>0.62</v>
      </c>
    </row>
    <row r="52" spans="1:38">
      <c r="A52" s="491" t="s">
        <v>954</v>
      </c>
      <c r="B52" s="491" t="s">
        <v>957</v>
      </c>
      <c r="C52" s="491">
        <v>47</v>
      </c>
      <c r="D52" s="491">
        <v>40.32</v>
      </c>
      <c r="E52" s="491" t="s">
        <v>955</v>
      </c>
      <c r="F52" s="492">
        <v>318</v>
      </c>
      <c r="G52" s="492">
        <v>2237</v>
      </c>
      <c r="H52" s="491">
        <v>12661</v>
      </c>
      <c r="I52" s="491">
        <v>1307</v>
      </c>
      <c r="J52" s="491">
        <v>47</v>
      </c>
      <c r="K52" s="491">
        <v>109</v>
      </c>
      <c r="L52" s="491">
        <v>26</v>
      </c>
      <c r="M52" s="491">
        <v>68</v>
      </c>
      <c r="N52" s="491">
        <v>943</v>
      </c>
      <c r="O52" s="491">
        <v>6.13</v>
      </c>
      <c r="P52" s="491">
        <v>2.88</v>
      </c>
      <c r="Q52" s="492">
        <v>6.83</v>
      </c>
      <c r="R52" s="492">
        <v>11.75</v>
      </c>
      <c r="S52" s="491">
        <v>0.56999999999999995</v>
      </c>
      <c r="U52" s="138" t="s">
        <v>100</v>
      </c>
      <c r="V52" s="498" t="s">
        <v>13</v>
      </c>
      <c r="W52" s="138" t="s">
        <v>25</v>
      </c>
      <c r="X52" s="505" t="s">
        <v>114</v>
      </c>
      <c r="Y52" s="737">
        <f t="shared" si="1"/>
        <v>190.09641799623097</v>
      </c>
      <c r="Z52" s="737">
        <f t="shared" si="2"/>
        <v>1337.2505882313483</v>
      </c>
      <c r="AA52" s="511">
        <f t="shared" si="3"/>
        <v>7568.5872586486812</v>
      </c>
      <c r="AB52" s="511">
        <f t="shared" si="4"/>
        <v>781.30823371406893</v>
      </c>
      <c r="AC52" s="511">
        <f t="shared" si="5"/>
        <v>28.096011464851752</v>
      </c>
      <c r="AD52" s="511">
        <f t="shared" si="6"/>
        <v>65.15883509933704</v>
      </c>
      <c r="AE52" s="511">
        <f t="shared" si="7"/>
        <v>15.542474427364796</v>
      </c>
      <c r="AF52" s="511">
        <f t="shared" si="8"/>
        <v>40.649548502338703</v>
      </c>
      <c r="AG52" s="511">
        <f t="shared" si="9"/>
        <v>563.71359173096175</v>
      </c>
      <c r="AH52" s="511">
        <f t="shared" si="10"/>
        <v>3.6644372399902392</v>
      </c>
      <c r="AI52" s="511">
        <f t="shared" si="11"/>
        <v>1.721627936569639</v>
      </c>
      <c r="AJ52" s="492">
        <v>6.83</v>
      </c>
      <c r="AK52" s="733">
        <v>11.75</v>
      </c>
      <c r="AL52" s="735">
        <v>0.56999999999999995</v>
      </c>
    </row>
    <row r="53" spans="1:38">
      <c r="A53" s="491" t="s">
        <v>954</v>
      </c>
      <c r="B53" s="491" t="s">
        <v>957</v>
      </c>
      <c r="C53" s="491">
        <v>48</v>
      </c>
      <c r="D53" s="491">
        <v>23.62</v>
      </c>
      <c r="E53" s="491" t="s">
        <v>955</v>
      </c>
      <c r="F53" s="492">
        <v>205</v>
      </c>
      <c r="G53" s="492">
        <v>588</v>
      </c>
      <c r="H53" s="491">
        <v>7657</v>
      </c>
      <c r="I53" s="491">
        <v>868</v>
      </c>
      <c r="J53" s="491">
        <v>33</v>
      </c>
      <c r="K53" s="491">
        <v>47</v>
      </c>
      <c r="L53" s="491">
        <v>13</v>
      </c>
      <c r="M53" s="491">
        <v>103</v>
      </c>
      <c r="N53" s="491">
        <v>610</v>
      </c>
      <c r="O53" s="491">
        <v>7.79</v>
      </c>
      <c r="P53" s="491">
        <v>1.55</v>
      </c>
      <c r="Q53" s="492">
        <v>3.73</v>
      </c>
      <c r="R53" s="492">
        <v>6.42</v>
      </c>
      <c r="S53" s="491">
        <v>0.34</v>
      </c>
      <c r="U53" s="138" t="s">
        <v>100</v>
      </c>
      <c r="V53" s="498" t="s">
        <v>13</v>
      </c>
      <c r="W53" s="138" t="s">
        <v>25</v>
      </c>
      <c r="X53" s="505" t="s">
        <v>817</v>
      </c>
      <c r="Y53" s="737">
        <f t="shared" si="1"/>
        <v>122.54643298499168</v>
      </c>
      <c r="Z53" s="737">
        <f t="shared" si="2"/>
        <v>351.49903704963469</v>
      </c>
      <c r="AA53" s="511">
        <f t="shared" si="3"/>
        <v>4577.2587188589332</v>
      </c>
      <c r="AB53" s="511">
        <f t="shared" si="4"/>
        <v>518.87953088279403</v>
      </c>
      <c r="AC53" s="511">
        <f t="shared" si="5"/>
        <v>19.726986773193783</v>
      </c>
      <c r="AD53" s="511">
        <f t="shared" si="6"/>
        <v>28.096011464851752</v>
      </c>
      <c r="AE53" s="511">
        <f t="shared" si="7"/>
        <v>7.7712372136823982</v>
      </c>
      <c r="AF53" s="511">
        <f t="shared" si="8"/>
        <v>61.57211023148362</v>
      </c>
      <c r="AG53" s="511">
        <f t="shared" si="9"/>
        <v>364.65036156509717</v>
      </c>
      <c r="AH53" s="511">
        <f t="shared" si="10"/>
        <v>4.6567644534296839</v>
      </c>
      <c r="AI53" s="511">
        <f t="shared" si="11"/>
        <v>0.92657059086213234</v>
      </c>
      <c r="AJ53" s="492">
        <v>3.73</v>
      </c>
      <c r="AK53" s="733">
        <v>6.42</v>
      </c>
      <c r="AL53" s="735">
        <v>0.34</v>
      </c>
    </row>
    <row r="54" spans="1:38">
      <c r="A54" s="491" t="s">
        <v>954</v>
      </c>
      <c r="B54" s="491" t="s">
        <v>957</v>
      </c>
      <c r="C54" s="491">
        <v>49</v>
      </c>
      <c r="D54" s="491">
        <v>37.770000000000003</v>
      </c>
      <c r="E54" s="491" t="s">
        <v>955</v>
      </c>
      <c r="F54" s="492">
        <v>37</v>
      </c>
      <c r="G54" s="492">
        <v>502</v>
      </c>
      <c r="H54" s="491">
        <v>13107</v>
      </c>
      <c r="I54" s="491">
        <v>945</v>
      </c>
      <c r="J54" s="491">
        <v>27</v>
      </c>
      <c r="K54" s="491">
        <v>82</v>
      </c>
      <c r="L54" s="491">
        <v>8</v>
      </c>
      <c r="M54" s="491">
        <v>76</v>
      </c>
      <c r="N54" s="491">
        <v>534</v>
      </c>
      <c r="O54" s="491">
        <v>6.88</v>
      </c>
      <c r="P54" s="491">
        <v>1.27</v>
      </c>
      <c r="Q54" s="492">
        <v>5.59</v>
      </c>
      <c r="R54" s="492">
        <v>9.61</v>
      </c>
      <c r="S54" s="491">
        <v>0.49</v>
      </c>
      <c r="U54" s="138" t="s">
        <v>100</v>
      </c>
      <c r="V54" s="498" t="s">
        <v>13</v>
      </c>
      <c r="W54" s="138" t="s">
        <v>21</v>
      </c>
      <c r="X54" s="505" t="s">
        <v>112</v>
      </c>
      <c r="Y54" s="737">
        <f t="shared" si="1"/>
        <v>22.118136685096061</v>
      </c>
      <c r="Z54" s="737">
        <f t="shared" si="2"/>
        <v>300.0893139437357</v>
      </c>
      <c r="AA54" s="511">
        <f t="shared" si="3"/>
        <v>7835.2004738257856</v>
      </c>
      <c r="AB54" s="511">
        <f t="shared" si="4"/>
        <v>564.90916668691284</v>
      </c>
      <c r="AC54" s="511">
        <f t="shared" si="5"/>
        <v>16.140261905340367</v>
      </c>
      <c r="AD54" s="511">
        <f t="shared" si="6"/>
        <v>49.018573193996673</v>
      </c>
      <c r="AE54" s="511">
        <f t="shared" si="7"/>
        <v>4.7822998238045535</v>
      </c>
      <c r="AF54" s="511">
        <f t="shared" si="8"/>
        <v>45.43184832614326</v>
      </c>
      <c r="AG54" s="511">
        <f t="shared" si="9"/>
        <v>319.2185132389539</v>
      </c>
      <c r="AH54" s="511">
        <f t="shared" si="10"/>
        <v>4.1127778484719153</v>
      </c>
      <c r="AI54" s="511">
        <f t="shared" si="11"/>
        <v>0.75919009702897289</v>
      </c>
      <c r="AJ54" s="492">
        <v>5.59</v>
      </c>
      <c r="AK54" s="733">
        <v>9.61</v>
      </c>
      <c r="AL54" s="735">
        <v>0.49</v>
      </c>
    </row>
    <row r="55" spans="1:38">
      <c r="A55" s="491" t="s">
        <v>954</v>
      </c>
      <c r="B55" s="491" t="s">
        <v>957</v>
      </c>
      <c r="C55" s="491">
        <v>50</v>
      </c>
      <c r="D55" s="491">
        <v>32.43</v>
      </c>
      <c r="E55" s="491" t="s">
        <v>955</v>
      </c>
      <c r="F55" s="492">
        <v>10</v>
      </c>
      <c r="G55" s="492">
        <v>396</v>
      </c>
      <c r="H55" s="491">
        <v>11463</v>
      </c>
      <c r="I55" s="491">
        <v>655</v>
      </c>
      <c r="J55" s="491">
        <v>27</v>
      </c>
      <c r="K55" s="491">
        <v>83</v>
      </c>
      <c r="L55" s="491">
        <v>4</v>
      </c>
      <c r="M55" s="491">
        <v>65</v>
      </c>
      <c r="N55" s="491">
        <v>499</v>
      </c>
      <c r="O55" s="491">
        <v>5.56</v>
      </c>
      <c r="P55" s="491">
        <v>1.1000000000000001</v>
      </c>
      <c r="Q55" s="492">
        <v>4.54</v>
      </c>
      <c r="R55" s="492">
        <v>7.81</v>
      </c>
      <c r="S55" s="491">
        <v>0.39</v>
      </c>
      <c r="U55" s="138" t="s">
        <v>100</v>
      </c>
      <c r="V55" s="498" t="s">
        <v>13</v>
      </c>
      <c r="W55" s="138" t="s">
        <v>21</v>
      </c>
      <c r="X55" s="505" t="s">
        <v>114</v>
      </c>
      <c r="Y55" s="737">
        <f t="shared" si="1"/>
        <v>5.9778747797556919</v>
      </c>
      <c r="Z55" s="737">
        <f t="shared" si="2"/>
        <v>236.72384127832541</v>
      </c>
      <c r="AA55" s="511">
        <f t="shared" si="3"/>
        <v>6852.4378600339487</v>
      </c>
      <c r="AB55" s="511">
        <f t="shared" si="4"/>
        <v>391.55079807399778</v>
      </c>
      <c r="AC55" s="511">
        <f t="shared" si="5"/>
        <v>16.140261905340367</v>
      </c>
      <c r="AD55" s="511">
        <f t="shared" si="6"/>
        <v>49.616360671972238</v>
      </c>
      <c r="AE55" s="511">
        <f t="shared" si="7"/>
        <v>2.3911499119022768</v>
      </c>
      <c r="AF55" s="511">
        <f t="shared" si="8"/>
        <v>38.856186068411994</v>
      </c>
      <c r="AG55" s="511">
        <f t="shared" si="9"/>
        <v>298.29595150980902</v>
      </c>
      <c r="AH55" s="511">
        <f t="shared" si="10"/>
        <v>3.3236983775441646</v>
      </c>
      <c r="AI55" s="511">
        <f t="shared" si="11"/>
        <v>0.65756622577312618</v>
      </c>
      <c r="AJ55" s="492">
        <v>4.54</v>
      </c>
      <c r="AK55" s="733">
        <v>7.81</v>
      </c>
      <c r="AL55" s="735">
        <v>0.39</v>
      </c>
    </row>
    <row r="56" spans="1:38">
      <c r="A56" s="491" t="s">
        <v>954</v>
      </c>
      <c r="B56" s="491" t="s">
        <v>957</v>
      </c>
      <c r="C56" s="491">
        <v>51</v>
      </c>
      <c r="D56" s="491">
        <v>36.32</v>
      </c>
      <c r="E56" s="491" t="s">
        <v>955</v>
      </c>
      <c r="F56" s="492">
        <v>16</v>
      </c>
      <c r="G56" s="492">
        <v>452</v>
      </c>
      <c r="H56" s="491">
        <v>13049</v>
      </c>
      <c r="I56" s="491">
        <v>697</v>
      </c>
      <c r="J56" s="491">
        <v>27</v>
      </c>
      <c r="K56" s="491">
        <v>97</v>
      </c>
      <c r="L56" s="491">
        <v>8</v>
      </c>
      <c r="M56" s="491">
        <v>83</v>
      </c>
      <c r="N56" s="491">
        <v>466</v>
      </c>
      <c r="O56" s="491">
        <v>5.18</v>
      </c>
      <c r="P56" s="491">
        <v>0.67</v>
      </c>
      <c r="Q56" s="492">
        <v>4.29</v>
      </c>
      <c r="R56" s="492">
        <v>7.38</v>
      </c>
      <c r="S56" s="491">
        <v>0.41</v>
      </c>
      <c r="U56" s="138" t="s">
        <v>100</v>
      </c>
      <c r="V56" s="498" t="s">
        <v>13</v>
      </c>
      <c r="W56" s="138" t="s">
        <v>21</v>
      </c>
      <c r="X56" s="505" t="s">
        <v>817</v>
      </c>
      <c r="Y56" s="737">
        <f t="shared" si="1"/>
        <v>9.5645996476091071</v>
      </c>
      <c r="Z56" s="737">
        <f t="shared" si="2"/>
        <v>270.19994004495726</v>
      </c>
      <c r="AA56" s="511">
        <f t="shared" si="3"/>
        <v>7800.5288001032022</v>
      </c>
      <c r="AB56" s="511">
        <f t="shared" si="4"/>
        <v>416.65787214897165</v>
      </c>
      <c r="AC56" s="511">
        <f t="shared" si="5"/>
        <v>16.140261905340367</v>
      </c>
      <c r="AD56" s="511">
        <f t="shared" si="6"/>
        <v>57.985385363630215</v>
      </c>
      <c r="AE56" s="511">
        <f t="shared" si="7"/>
        <v>4.7822998238045535</v>
      </c>
      <c r="AF56" s="511">
        <f t="shared" si="8"/>
        <v>49.616360671972238</v>
      </c>
      <c r="AG56" s="511">
        <f t="shared" si="9"/>
        <v>278.56896473661527</v>
      </c>
      <c r="AH56" s="511">
        <f t="shared" si="10"/>
        <v>3.0965391359134484</v>
      </c>
      <c r="AI56" s="511">
        <f t="shared" si="11"/>
        <v>0.40051761024363136</v>
      </c>
      <c r="AJ56" s="492">
        <v>4.29</v>
      </c>
      <c r="AK56" s="733">
        <v>7.38</v>
      </c>
      <c r="AL56" s="735">
        <v>0.41</v>
      </c>
    </row>
    <row r="57" spans="1:38">
      <c r="A57" s="491" t="s">
        <v>954</v>
      </c>
      <c r="B57" s="491" t="s">
        <v>957</v>
      </c>
      <c r="C57" s="491">
        <v>52</v>
      </c>
      <c r="D57" s="491">
        <v>41.04</v>
      </c>
      <c r="E57" s="491" t="s">
        <v>955</v>
      </c>
      <c r="F57" s="492">
        <v>6</v>
      </c>
      <c r="G57" s="492">
        <v>463</v>
      </c>
      <c r="H57" s="491">
        <v>15039</v>
      </c>
      <c r="I57" s="491">
        <v>607</v>
      </c>
      <c r="J57" s="491">
        <v>24</v>
      </c>
      <c r="K57" s="491">
        <v>149</v>
      </c>
      <c r="L57" s="491">
        <v>7</v>
      </c>
      <c r="M57" s="491">
        <v>79</v>
      </c>
      <c r="N57" s="491">
        <v>471</v>
      </c>
      <c r="O57" s="491">
        <v>4.72</v>
      </c>
      <c r="P57" s="491">
        <v>0.91</v>
      </c>
      <c r="Q57" s="492">
        <v>8.77</v>
      </c>
      <c r="R57" s="492">
        <v>15.08</v>
      </c>
      <c r="S57" s="491">
        <v>0.75</v>
      </c>
      <c r="U57" s="138" t="s">
        <v>100</v>
      </c>
      <c r="V57" s="498" t="s">
        <v>13</v>
      </c>
      <c r="W57" s="138" t="s">
        <v>36</v>
      </c>
      <c r="X57" s="505" t="s">
        <v>112</v>
      </c>
      <c r="Y57" s="737">
        <f t="shared" si="1"/>
        <v>3.5867248678534156</v>
      </c>
      <c r="Z57" s="737">
        <f t="shared" si="2"/>
        <v>276.77560230268853</v>
      </c>
      <c r="AA57" s="511">
        <f t="shared" si="3"/>
        <v>8990.1258812745855</v>
      </c>
      <c r="AB57" s="511">
        <f t="shared" si="4"/>
        <v>362.85699913117043</v>
      </c>
      <c r="AC57" s="511">
        <f t="shared" si="5"/>
        <v>14.346899471413662</v>
      </c>
      <c r="AD57" s="511">
        <f t="shared" si="6"/>
        <v>89.070334218359804</v>
      </c>
      <c r="AE57" s="511">
        <f t="shared" si="7"/>
        <v>4.1845123458289839</v>
      </c>
      <c r="AF57" s="511">
        <f t="shared" si="8"/>
        <v>47.225210760069956</v>
      </c>
      <c r="AG57" s="511">
        <f t="shared" si="9"/>
        <v>281.55790212649305</v>
      </c>
      <c r="AH57" s="511">
        <f t="shared" si="10"/>
        <v>2.8215568960446866</v>
      </c>
      <c r="AI57" s="511">
        <f t="shared" si="11"/>
        <v>0.54398660495776796</v>
      </c>
      <c r="AJ57" s="492">
        <v>8.77</v>
      </c>
      <c r="AK57" s="733">
        <v>15.08</v>
      </c>
      <c r="AL57" s="735">
        <v>0.75</v>
      </c>
    </row>
    <row r="58" spans="1:38">
      <c r="A58" s="491" t="s">
        <v>954</v>
      </c>
      <c r="B58" s="491" t="s">
        <v>957</v>
      </c>
      <c r="C58" s="491">
        <v>53</v>
      </c>
      <c r="D58" s="491">
        <v>71.489999999999995</v>
      </c>
      <c r="E58" s="491" t="s">
        <v>955</v>
      </c>
      <c r="F58" s="492">
        <v>74</v>
      </c>
      <c r="G58" s="492">
        <v>995</v>
      </c>
      <c r="H58" s="491">
        <v>27155</v>
      </c>
      <c r="I58" s="491">
        <v>504</v>
      </c>
      <c r="J58" s="491">
        <v>37</v>
      </c>
      <c r="K58" s="491">
        <v>104</v>
      </c>
      <c r="L58" s="491">
        <v>11</v>
      </c>
      <c r="M58" s="491">
        <v>164</v>
      </c>
      <c r="N58" s="491">
        <v>437</v>
      </c>
      <c r="O58" s="491">
        <v>10.25</v>
      </c>
      <c r="P58" s="491">
        <v>2.73</v>
      </c>
      <c r="Q58" s="492">
        <v>4.74</v>
      </c>
      <c r="R58" s="492">
        <v>8.15</v>
      </c>
      <c r="S58" s="491">
        <v>0.42</v>
      </c>
      <c r="U58" s="138" t="s">
        <v>100</v>
      </c>
      <c r="V58" s="498" t="s">
        <v>13</v>
      </c>
      <c r="W58" s="138" t="s">
        <v>36</v>
      </c>
      <c r="X58" s="505" t="s">
        <v>114</v>
      </c>
      <c r="Y58" s="737">
        <f t="shared" si="1"/>
        <v>44.236273370192123</v>
      </c>
      <c r="Z58" s="737">
        <f t="shared" si="2"/>
        <v>594.79854058569128</v>
      </c>
      <c r="AA58" s="511">
        <f t="shared" si="3"/>
        <v>16232.918964426581</v>
      </c>
      <c r="AB58" s="511">
        <f t="shared" si="4"/>
        <v>301.28488889968685</v>
      </c>
      <c r="AC58" s="511">
        <f t="shared" si="5"/>
        <v>22.118136685096061</v>
      </c>
      <c r="AD58" s="511">
        <f t="shared" si="6"/>
        <v>62.169897709459185</v>
      </c>
      <c r="AE58" s="511">
        <f t="shared" si="7"/>
        <v>6.5756622577312607</v>
      </c>
      <c r="AF58" s="511">
        <f t="shared" si="8"/>
        <v>98.037146387993346</v>
      </c>
      <c r="AG58" s="511">
        <f t="shared" si="9"/>
        <v>261.23312787532376</v>
      </c>
      <c r="AH58" s="511">
        <f t="shared" si="10"/>
        <v>6.1273216492495841</v>
      </c>
      <c r="AI58" s="511">
        <f t="shared" si="11"/>
        <v>1.6319598148733039</v>
      </c>
      <c r="AJ58" s="492">
        <v>4.74</v>
      </c>
      <c r="AK58" s="733">
        <v>8.15</v>
      </c>
      <c r="AL58" s="735">
        <v>0.42</v>
      </c>
    </row>
    <row r="59" spans="1:38">
      <c r="A59" s="491" t="s">
        <v>954</v>
      </c>
      <c r="B59" s="491" t="s">
        <v>957</v>
      </c>
      <c r="C59" s="491">
        <v>54</v>
      </c>
      <c r="D59" s="491">
        <v>107.36</v>
      </c>
      <c r="E59" s="491" t="s">
        <v>955</v>
      </c>
      <c r="F59" s="492">
        <v>6</v>
      </c>
      <c r="G59" s="492">
        <v>759</v>
      </c>
      <c r="H59" s="491">
        <v>41547</v>
      </c>
      <c r="I59" s="491">
        <v>475</v>
      </c>
      <c r="J59" s="491">
        <v>39</v>
      </c>
      <c r="K59" s="491">
        <v>139</v>
      </c>
      <c r="L59" s="491">
        <v>5</v>
      </c>
      <c r="M59" s="491">
        <v>143</v>
      </c>
      <c r="N59" s="491">
        <v>355</v>
      </c>
      <c r="O59" s="491">
        <v>6.87</v>
      </c>
      <c r="P59" s="491">
        <v>1.81</v>
      </c>
      <c r="Q59" s="492">
        <v>1.27</v>
      </c>
      <c r="R59" s="492">
        <v>2.1800000000000002</v>
      </c>
      <c r="S59" s="491">
        <v>0.13</v>
      </c>
      <c r="U59" s="138" t="s">
        <v>100</v>
      </c>
      <c r="V59" s="498" t="s">
        <v>13</v>
      </c>
      <c r="W59" s="138" t="s">
        <v>36</v>
      </c>
      <c r="X59" s="505" t="s">
        <v>817</v>
      </c>
      <c r="Y59" s="737">
        <f t="shared" si="1"/>
        <v>3.5867248678534156</v>
      </c>
      <c r="Z59" s="737">
        <f t="shared" si="2"/>
        <v>453.72069578345696</v>
      </c>
      <c r="AA59" s="511">
        <f t="shared" si="3"/>
        <v>24836.276347450974</v>
      </c>
      <c r="AB59" s="511">
        <f t="shared" si="4"/>
        <v>283.94905203839534</v>
      </c>
      <c r="AC59" s="511">
        <f t="shared" si="5"/>
        <v>23.313711641047195</v>
      </c>
      <c r="AD59" s="511">
        <f t="shared" si="6"/>
        <v>83.092459438604124</v>
      </c>
      <c r="AE59" s="511">
        <f t="shared" si="7"/>
        <v>2.988937389877846</v>
      </c>
      <c r="AF59" s="511">
        <f t="shared" si="8"/>
        <v>85.483609350506399</v>
      </c>
      <c r="AG59" s="511">
        <f t="shared" si="9"/>
        <v>212.21455468132709</v>
      </c>
      <c r="AH59" s="511">
        <f t="shared" si="10"/>
        <v>4.1067999736921603</v>
      </c>
      <c r="AI59" s="511">
        <f t="shared" si="11"/>
        <v>1.0819953351357801</v>
      </c>
      <c r="AJ59" s="492">
        <v>1.27</v>
      </c>
      <c r="AK59" s="733">
        <v>2.1800000000000002</v>
      </c>
      <c r="AL59" s="735">
        <v>0.13</v>
      </c>
    </row>
    <row r="60" spans="1:38">
      <c r="A60" s="491" t="s">
        <v>954</v>
      </c>
      <c r="B60" s="491" t="s">
        <v>957</v>
      </c>
      <c r="C60" s="491">
        <v>55</v>
      </c>
      <c r="D60" s="491">
        <v>123.43</v>
      </c>
      <c r="E60" s="491" t="s">
        <v>955</v>
      </c>
      <c r="F60" s="492">
        <v>4</v>
      </c>
      <c r="G60" s="492">
        <v>609</v>
      </c>
      <c r="H60" s="491">
        <v>48134</v>
      </c>
      <c r="I60" s="491">
        <v>365</v>
      </c>
      <c r="J60" s="491">
        <v>62</v>
      </c>
      <c r="K60" s="491">
        <v>198</v>
      </c>
      <c r="L60" s="491">
        <v>3</v>
      </c>
      <c r="M60" s="491">
        <v>136</v>
      </c>
      <c r="N60" s="491">
        <v>263</v>
      </c>
      <c r="O60" s="491">
        <v>5.22</v>
      </c>
      <c r="P60" s="491">
        <v>1.05</v>
      </c>
      <c r="Q60" s="492">
        <v>3.62</v>
      </c>
      <c r="R60" s="492">
        <v>6.23</v>
      </c>
      <c r="S60" s="491">
        <v>0.24</v>
      </c>
      <c r="U60" s="138" t="s">
        <v>100</v>
      </c>
      <c r="V60" s="498" t="s">
        <v>28</v>
      </c>
      <c r="W60" s="138" t="s">
        <v>19</v>
      </c>
      <c r="X60" s="505" t="s">
        <v>112</v>
      </c>
      <c r="Y60" s="737">
        <f t="shared" si="1"/>
        <v>2.3911499119022768</v>
      </c>
      <c r="Z60" s="737">
        <f t="shared" si="2"/>
        <v>364.05257408712163</v>
      </c>
      <c r="AA60" s="511">
        <f t="shared" si="3"/>
        <v>28773.902464876046</v>
      </c>
      <c r="AB60" s="511">
        <f t="shared" si="4"/>
        <v>218.19242946108275</v>
      </c>
      <c r="AC60" s="511">
        <f t="shared" si="5"/>
        <v>37.062823634485284</v>
      </c>
      <c r="AD60" s="511">
        <f t="shared" si="6"/>
        <v>118.3619206391627</v>
      </c>
      <c r="AE60" s="511">
        <f t="shared" si="7"/>
        <v>1.7933624339267078</v>
      </c>
      <c r="AF60" s="511">
        <f t="shared" si="8"/>
        <v>81.299097004677407</v>
      </c>
      <c r="AG60" s="511">
        <f t="shared" si="9"/>
        <v>157.21810670757469</v>
      </c>
      <c r="AH60" s="511">
        <f t="shared" si="10"/>
        <v>3.120450635032471</v>
      </c>
      <c r="AI60" s="511">
        <f t="shared" si="11"/>
        <v>0.62767685187434763</v>
      </c>
      <c r="AJ60" s="492">
        <v>3.62</v>
      </c>
      <c r="AK60" s="733">
        <v>6.23</v>
      </c>
      <c r="AL60" s="735">
        <v>0.24</v>
      </c>
    </row>
    <row r="61" spans="1:38">
      <c r="A61" s="491" t="s">
        <v>954</v>
      </c>
      <c r="B61" s="491" t="s">
        <v>957</v>
      </c>
      <c r="C61" s="491">
        <v>56</v>
      </c>
      <c r="D61" s="491">
        <v>48.59</v>
      </c>
      <c r="E61" s="491" t="s">
        <v>955</v>
      </c>
      <c r="F61" s="492">
        <v>8</v>
      </c>
      <c r="G61" s="492">
        <v>634</v>
      </c>
      <c r="H61" s="491">
        <v>18210</v>
      </c>
      <c r="I61" s="491">
        <v>497</v>
      </c>
      <c r="J61" s="491">
        <v>23</v>
      </c>
      <c r="K61" s="491">
        <v>84</v>
      </c>
      <c r="L61" s="491">
        <v>5</v>
      </c>
      <c r="M61" s="491">
        <v>181</v>
      </c>
      <c r="N61" s="491">
        <v>416</v>
      </c>
      <c r="O61" s="491">
        <v>4.67</v>
      </c>
      <c r="P61" s="491">
        <v>0.92</v>
      </c>
      <c r="Q61" s="492">
        <v>1.35</v>
      </c>
      <c r="R61" s="492">
        <v>2.3199999999999998</v>
      </c>
      <c r="S61" s="491">
        <v>0.43</v>
      </c>
      <c r="U61" s="138" t="s">
        <v>100</v>
      </c>
      <c r="V61" s="498" t="s">
        <v>28</v>
      </c>
      <c r="W61" s="138" t="s">
        <v>19</v>
      </c>
      <c r="X61" s="505" t="s">
        <v>114</v>
      </c>
      <c r="Y61" s="737">
        <f t="shared" si="1"/>
        <v>4.7822998238045535</v>
      </c>
      <c r="Z61" s="737">
        <f t="shared" si="2"/>
        <v>378.99726103651085</v>
      </c>
      <c r="AA61" s="511">
        <f t="shared" si="3"/>
        <v>10885.709973935114</v>
      </c>
      <c r="AB61" s="511">
        <f t="shared" si="4"/>
        <v>297.10037655385787</v>
      </c>
      <c r="AC61" s="511">
        <f t="shared" si="5"/>
        <v>13.749111993438092</v>
      </c>
      <c r="AD61" s="511">
        <f t="shared" si="6"/>
        <v>50.214148149947803</v>
      </c>
      <c r="AE61" s="511">
        <f t="shared" si="7"/>
        <v>2.988937389877846</v>
      </c>
      <c r="AF61" s="511">
        <f t="shared" si="8"/>
        <v>108.19953351357802</v>
      </c>
      <c r="AG61" s="511">
        <f t="shared" si="9"/>
        <v>248.67959083783674</v>
      </c>
      <c r="AH61" s="511">
        <f t="shared" si="10"/>
        <v>2.7916675221459082</v>
      </c>
      <c r="AI61" s="511">
        <f t="shared" si="11"/>
        <v>0.54996447973752371</v>
      </c>
      <c r="AJ61" s="492">
        <v>1.35</v>
      </c>
      <c r="AK61" s="733">
        <v>2.3199999999999998</v>
      </c>
      <c r="AL61" s="735">
        <v>0.43</v>
      </c>
    </row>
    <row r="62" spans="1:38">
      <c r="A62" s="491" t="s">
        <v>954</v>
      </c>
      <c r="B62" s="491" t="s">
        <v>957</v>
      </c>
      <c r="C62" s="491">
        <v>57</v>
      </c>
      <c r="D62" s="491">
        <v>45.68</v>
      </c>
      <c r="E62" s="491" t="s">
        <v>955</v>
      </c>
      <c r="F62" s="492">
        <v>5</v>
      </c>
      <c r="G62" s="492">
        <v>505</v>
      </c>
      <c r="H62" s="491">
        <v>17203</v>
      </c>
      <c r="I62" s="491">
        <v>374</v>
      </c>
      <c r="J62" s="491">
        <v>23</v>
      </c>
      <c r="K62" s="491">
        <v>102</v>
      </c>
      <c r="L62" s="491">
        <v>4</v>
      </c>
      <c r="M62" s="491">
        <v>114</v>
      </c>
      <c r="N62" s="491">
        <v>392</v>
      </c>
      <c r="O62" s="491">
        <v>4.37</v>
      </c>
      <c r="P62" s="491">
        <v>1.06</v>
      </c>
      <c r="Q62" s="492">
        <v>0.87</v>
      </c>
      <c r="R62" s="492">
        <v>1.5</v>
      </c>
      <c r="S62" s="491">
        <v>0.17</v>
      </c>
      <c r="U62" s="138" t="s">
        <v>100</v>
      </c>
      <c r="V62" s="498" t="s">
        <v>28</v>
      </c>
      <c r="W62" s="138" t="s">
        <v>19</v>
      </c>
      <c r="X62" s="505" t="s">
        <v>817</v>
      </c>
      <c r="Y62" s="737">
        <f t="shared" si="1"/>
        <v>2.988937389877846</v>
      </c>
      <c r="Z62" s="737">
        <f t="shared" si="2"/>
        <v>301.88267637766245</v>
      </c>
      <c r="AA62" s="511">
        <f t="shared" si="3"/>
        <v>10283.737983613715</v>
      </c>
      <c r="AB62" s="511">
        <f t="shared" si="4"/>
        <v>223.5725167628629</v>
      </c>
      <c r="AC62" s="511">
        <f t="shared" si="5"/>
        <v>13.749111993438092</v>
      </c>
      <c r="AD62" s="511">
        <f t="shared" si="6"/>
        <v>60.974322753508048</v>
      </c>
      <c r="AE62" s="511">
        <f t="shared" si="7"/>
        <v>2.3911499119022768</v>
      </c>
      <c r="AF62" s="511">
        <f t="shared" si="8"/>
        <v>68.147772489214887</v>
      </c>
      <c r="AG62" s="511">
        <f t="shared" si="9"/>
        <v>234.33269136642315</v>
      </c>
      <c r="AH62" s="511">
        <f t="shared" si="10"/>
        <v>2.6123312787532371</v>
      </c>
      <c r="AI62" s="511">
        <f t="shared" si="11"/>
        <v>0.63365472665410338</v>
      </c>
      <c r="AJ62" s="492">
        <v>0.87</v>
      </c>
      <c r="AK62" s="733">
        <v>1.5</v>
      </c>
      <c r="AL62" s="735">
        <v>0.17</v>
      </c>
    </row>
    <row r="63" spans="1:38">
      <c r="A63" s="515" t="s">
        <v>954</v>
      </c>
      <c r="B63" s="515" t="s">
        <v>957</v>
      </c>
      <c r="C63" s="515" t="s">
        <v>958</v>
      </c>
      <c r="D63" s="515">
        <v>0</v>
      </c>
      <c r="E63" s="491" t="s">
        <v>955</v>
      </c>
      <c r="F63" s="492">
        <v>0</v>
      </c>
      <c r="G63" s="492">
        <v>0</v>
      </c>
      <c r="H63" s="491">
        <v>0</v>
      </c>
      <c r="I63" s="491">
        <v>0</v>
      </c>
      <c r="J63" s="491">
        <v>0</v>
      </c>
      <c r="K63" s="491">
        <v>0</v>
      </c>
      <c r="L63" s="491">
        <v>0</v>
      </c>
      <c r="M63" s="491">
        <v>0</v>
      </c>
      <c r="N63" s="491">
        <v>0</v>
      </c>
      <c r="O63" s="491">
        <v>0</v>
      </c>
      <c r="P63" s="491">
        <v>0</v>
      </c>
      <c r="Q63" s="492">
        <v>0</v>
      </c>
      <c r="R63" s="492">
        <v>0</v>
      </c>
      <c r="S63" s="491">
        <v>0</v>
      </c>
      <c r="U63" s="513" t="s">
        <v>100</v>
      </c>
      <c r="V63" s="514" t="s">
        <v>28</v>
      </c>
      <c r="W63" s="513" t="s">
        <v>19</v>
      </c>
      <c r="X63" s="505" t="s">
        <v>818</v>
      </c>
      <c r="Y63" s="737">
        <f t="shared" si="1"/>
        <v>0</v>
      </c>
      <c r="Z63" s="737">
        <f t="shared" si="2"/>
        <v>0</v>
      </c>
      <c r="AA63" s="511">
        <f t="shared" si="3"/>
        <v>0</v>
      </c>
      <c r="AB63" s="511">
        <f t="shared" si="4"/>
        <v>0</v>
      </c>
      <c r="AC63" s="511">
        <f t="shared" si="5"/>
        <v>0</v>
      </c>
      <c r="AD63" s="511">
        <f t="shared" si="6"/>
        <v>0</v>
      </c>
      <c r="AE63" s="511">
        <f t="shared" si="7"/>
        <v>0</v>
      </c>
      <c r="AF63" s="511">
        <f t="shared" si="8"/>
        <v>0</v>
      </c>
      <c r="AG63" s="511">
        <f t="shared" si="9"/>
        <v>0</v>
      </c>
      <c r="AH63" s="511">
        <f t="shared" si="10"/>
        <v>0</v>
      </c>
      <c r="AI63" s="511">
        <f t="shared" si="11"/>
        <v>0</v>
      </c>
      <c r="AJ63" s="492">
        <v>0</v>
      </c>
      <c r="AK63" s="733">
        <v>0</v>
      </c>
      <c r="AL63" s="735">
        <v>0</v>
      </c>
    </row>
    <row r="64" spans="1:38">
      <c r="A64" s="515" t="s">
        <v>954</v>
      </c>
      <c r="B64" s="515" t="s">
        <v>957</v>
      </c>
      <c r="C64" s="515" t="s">
        <v>958</v>
      </c>
      <c r="D64" s="515">
        <v>0</v>
      </c>
      <c r="E64" s="491" t="s">
        <v>955</v>
      </c>
      <c r="F64" s="492">
        <v>0</v>
      </c>
      <c r="G64" s="492">
        <v>0</v>
      </c>
      <c r="H64" s="491">
        <v>0</v>
      </c>
      <c r="I64" s="491">
        <v>0</v>
      </c>
      <c r="J64" s="491">
        <v>0</v>
      </c>
      <c r="K64" s="491">
        <v>0</v>
      </c>
      <c r="L64" s="491">
        <v>0</v>
      </c>
      <c r="M64" s="491">
        <v>0</v>
      </c>
      <c r="N64" s="491">
        <v>0</v>
      </c>
      <c r="O64" s="491">
        <v>0</v>
      </c>
      <c r="P64" s="491">
        <v>0</v>
      </c>
      <c r="Q64" s="492">
        <v>0</v>
      </c>
      <c r="R64" s="492">
        <v>0</v>
      </c>
      <c r="S64" s="491">
        <v>0</v>
      </c>
      <c r="U64" s="513" t="s">
        <v>100</v>
      </c>
      <c r="V64" s="514" t="s">
        <v>28</v>
      </c>
      <c r="W64" s="513" t="s">
        <v>19</v>
      </c>
      <c r="X64" s="505" t="s">
        <v>905</v>
      </c>
      <c r="Y64" s="737">
        <f t="shared" si="1"/>
        <v>0</v>
      </c>
      <c r="Z64" s="737">
        <f t="shared" si="2"/>
        <v>0</v>
      </c>
      <c r="AA64" s="511">
        <f t="shared" si="3"/>
        <v>0</v>
      </c>
      <c r="AB64" s="511">
        <f t="shared" si="4"/>
        <v>0</v>
      </c>
      <c r="AC64" s="511">
        <f t="shared" si="5"/>
        <v>0</v>
      </c>
      <c r="AD64" s="511">
        <f t="shared" si="6"/>
        <v>0</v>
      </c>
      <c r="AE64" s="511">
        <f t="shared" si="7"/>
        <v>0</v>
      </c>
      <c r="AF64" s="511">
        <f t="shared" si="8"/>
        <v>0</v>
      </c>
      <c r="AG64" s="511">
        <f t="shared" si="9"/>
        <v>0</v>
      </c>
      <c r="AH64" s="511">
        <f t="shared" si="10"/>
        <v>0</v>
      </c>
      <c r="AI64" s="511">
        <f t="shared" si="11"/>
        <v>0</v>
      </c>
      <c r="AJ64" s="492">
        <v>0</v>
      </c>
      <c r="AK64" s="733">
        <v>0</v>
      </c>
      <c r="AL64" s="735">
        <v>0</v>
      </c>
    </row>
    <row r="65" spans="1:38">
      <c r="A65" s="491" t="s">
        <v>954</v>
      </c>
      <c r="B65" s="491" t="s">
        <v>957</v>
      </c>
      <c r="C65" s="491">
        <v>60</v>
      </c>
      <c r="D65" s="491">
        <v>9.94</v>
      </c>
      <c r="E65" s="491" t="s">
        <v>955</v>
      </c>
      <c r="F65" s="492">
        <v>155</v>
      </c>
      <c r="G65" s="492">
        <v>574</v>
      </c>
      <c r="H65" s="491">
        <v>3367</v>
      </c>
      <c r="I65" s="491">
        <v>169</v>
      </c>
      <c r="J65" s="491">
        <v>29</v>
      </c>
      <c r="K65" s="491">
        <v>38</v>
      </c>
      <c r="L65" s="491">
        <v>7</v>
      </c>
      <c r="M65" s="491">
        <v>871</v>
      </c>
      <c r="N65" s="491">
        <v>448</v>
      </c>
      <c r="O65" s="491">
        <v>2.9</v>
      </c>
      <c r="P65" s="491">
        <v>0.46</v>
      </c>
      <c r="Q65" s="492">
        <v>1.93</v>
      </c>
      <c r="R65" s="492">
        <v>3.32</v>
      </c>
      <c r="S65" s="491">
        <v>0.17</v>
      </c>
      <c r="U65" s="138" t="s">
        <v>100</v>
      </c>
      <c r="V65" s="498" t="s">
        <v>28</v>
      </c>
      <c r="W65" s="138" t="s">
        <v>18</v>
      </c>
      <c r="X65" s="505" t="s">
        <v>112</v>
      </c>
      <c r="Y65" s="737">
        <f t="shared" si="1"/>
        <v>92.657059086213238</v>
      </c>
      <c r="Z65" s="737">
        <f t="shared" si="2"/>
        <v>343.13001235797674</v>
      </c>
      <c r="AA65" s="511">
        <f t="shared" si="3"/>
        <v>2012.7504383437413</v>
      </c>
      <c r="AB65" s="511">
        <f t="shared" si="4"/>
        <v>101.02608377787119</v>
      </c>
      <c r="AC65" s="511">
        <f t="shared" si="5"/>
        <v>17.335836861291508</v>
      </c>
      <c r="AD65" s="511">
        <f t="shared" si="6"/>
        <v>22.71592416307163</v>
      </c>
      <c r="AE65" s="511">
        <f t="shared" si="7"/>
        <v>4.1845123458289839</v>
      </c>
      <c r="AF65" s="511">
        <f t="shared" si="8"/>
        <v>520.67289331672077</v>
      </c>
      <c r="AG65" s="511">
        <f t="shared" si="9"/>
        <v>267.80879013305497</v>
      </c>
      <c r="AH65" s="511">
        <f t="shared" si="10"/>
        <v>1.7335836861291505</v>
      </c>
      <c r="AI65" s="511">
        <f t="shared" si="11"/>
        <v>0.27498223986876186</v>
      </c>
      <c r="AJ65" s="492">
        <v>1.93</v>
      </c>
      <c r="AK65" s="733">
        <v>3.32</v>
      </c>
      <c r="AL65" s="735">
        <v>0.17</v>
      </c>
    </row>
    <row r="66" spans="1:38">
      <c r="A66" s="491" t="s">
        <v>954</v>
      </c>
      <c r="B66" s="491" t="s">
        <v>957</v>
      </c>
      <c r="C66" s="491">
        <v>61</v>
      </c>
      <c r="D66" s="491">
        <v>56.31</v>
      </c>
      <c r="E66" s="491" t="s">
        <v>955</v>
      </c>
      <c r="F66" s="492">
        <v>1478</v>
      </c>
      <c r="G66" s="492">
        <v>2095</v>
      </c>
      <c r="H66" s="491">
        <v>18193</v>
      </c>
      <c r="I66" s="491">
        <v>1231</v>
      </c>
      <c r="J66" s="491">
        <v>2191</v>
      </c>
      <c r="K66" s="491">
        <v>1388</v>
      </c>
      <c r="L66" s="491">
        <v>27</v>
      </c>
      <c r="M66" s="491">
        <v>189</v>
      </c>
      <c r="N66" s="491">
        <v>529</v>
      </c>
      <c r="O66" s="491">
        <v>5.25</v>
      </c>
      <c r="P66" s="491">
        <v>11.75</v>
      </c>
      <c r="Q66" s="492">
        <v>1.33</v>
      </c>
      <c r="R66" s="492">
        <v>2.29</v>
      </c>
      <c r="S66" s="491">
        <v>0.13</v>
      </c>
      <c r="U66" s="138" t="s">
        <v>100</v>
      </c>
      <c r="V66" s="498" t="s">
        <v>28</v>
      </c>
      <c r="W66" s="138" t="s">
        <v>18</v>
      </c>
      <c r="X66" s="505" t="s">
        <v>114</v>
      </c>
      <c r="Y66" s="737">
        <f t="shared" si="1"/>
        <v>883.52989244789137</v>
      </c>
      <c r="Z66" s="737">
        <f t="shared" si="2"/>
        <v>1252.3647663588174</v>
      </c>
      <c r="AA66" s="511">
        <f t="shared" si="3"/>
        <v>10875.547586809531</v>
      </c>
      <c r="AB66" s="511">
        <f t="shared" si="4"/>
        <v>735.87638538792555</v>
      </c>
      <c r="AC66" s="511">
        <f t="shared" si="5"/>
        <v>1309.7523642444721</v>
      </c>
      <c r="AD66" s="511">
        <f t="shared" si="6"/>
        <v>829.72901943009015</v>
      </c>
      <c r="AE66" s="511">
        <f t="shared" si="7"/>
        <v>16.140261905340367</v>
      </c>
      <c r="AF66" s="511">
        <f t="shared" si="8"/>
        <v>112.98183333738258</v>
      </c>
      <c r="AG66" s="511">
        <f t="shared" si="9"/>
        <v>316.22957584907613</v>
      </c>
      <c r="AH66" s="511">
        <f t="shared" si="10"/>
        <v>3.1383842593717377</v>
      </c>
      <c r="AI66" s="511">
        <f t="shared" si="11"/>
        <v>7.0240028662129381</v>
      </c>
      <c r="AJ66" s="492">
        <v>1.33</v>
      </c>
      <c r="AK66" s="733">
        <v>2.29</v>
      </c>
      <c r="AL66" s="735">
        <v>0.13</v>
      </c>
    </row>
    <row r="67" spans="1:38">
      <c r="A67" s="491" t="s">
        <v>954</v>
      </c>
      <c r="B67" s="491" t="s">
        <v>957</v>
      </c>
      <c r="C67" s="491">
        <v>62</v>
      </c>
      <c r="D67" s="491">
        <v>49.25</v>
      </c>
      <c r="E67" s="491" t="s">
        <v>955</v>
      </c>
      <c r="F67" s="492">
        <v>1224</v>
      </c>
      <c r="G67" s="492">
        <v>570</v>
      </c>
      <c r="H67" s="491">
        <v>17139</v>
      </c>
      <c r="I67" s="491">
        <v>904</v>
      </c>
      <c r="J67" s="491">
        <v>385</v>
      </c>
      <c r="K67" s="491">
        <v>768</v>
      </c>
      <c r="L67" s="491">
        <v>20</v>
      </c>
      <c r="M67" s="491">
        <v>164</v>
      </c>
      <c r="N67" s="491">
        <v>519</v>
      </c>
      <c r="O67" s="491">
        <v>5.62</v>
      </c>
      <c r="P67" s="491">
        <v>11.61</v>
      </c>
      <c r="Q67" s="492">
        <v>1.26</v>
      </c>
      <c r="R67" s="492">
        <v>2.17</v>
      </c>
      <c r="S67" s="491">
        <v>0.12</v>
      </c>
      <c r="U67" s="138" t="s">
        <v>100</v>
      </c>
      <c r="V67" s="498" t="s">
        <v>28</v>
      </c>
      <c r="W67" s="138" t="s">
        <v>18</v>
      </c>
      <c r="X67" s="505" t="s">
        <v>817</v>
      </c>
      <c r="Y67" s="737">
        <f t="shared" si="1"/>
        <v>731.69187304209674</v>
      </c>
      <c r="Z67" s="737">
        <f t="shared" si="2"/>
        <v>340.73886244607445</v>
      </c>
      <c r="AA67" s="511">
        <f t="shared" si="3"/>
        <v>10245.47958502328</v>
      </c>
      <c r="AB67" s="511">
        <f t="shared" si="4"/>
        <v>540.39988008991452</v>
      </c>
      <c r="AC67" s="511">
        <f t="shared" si="5"/>
        <v>230.14817902059414</v>
      </c>
      <c r="AD67" s="511">
        <f t="shared" si="6"/>
        <v>459.1007830852372</v>
      </c>
      <c r="AE67" s="511">
        <f t="shared" si="7"/>
        <v>11.955749559511384</v>
      </c>
      <c r="AF67" s="511">
        <f t="shared" si="8"/>
        <v>98.037146387993346</v>
      </c>
      <c r="AG67" s="511">
        <f t="shared" si="9"/>
        <v>310.2517010693204</v>
      </c>
      <c r="AH67" s="511">
        <f t="shared" si="10"/>
        <v>3.3595656262226989</v>
      </c>
      <c r="AI67" s="511">
        <f t="shared" si="11"/>
        <v>6.9403126192963569</v>
      </c>
      <c r="AJ67" s="492">
        <v>1.26</v>
      </c>
      <c r="AK67" s="733">
        <v>2.17</v>
      </c>
      <c r="AL67" s="735">
        <v>0.12</v>
      </c>
    </row>
    <row r="68" spans="1:38">
      <c r="A68" s="491" t="s">
        <v>954</v>
      </c>
      <c r="B68" s="491" t="s">
        <v>957</v>
      </c>
      <c r="C68" s="491">
        <v>63</v>
      </c>
      <c r="D68" s="491">
        <v>29.97</v>
      </c>
      <c r="E68" s="491" t="s">
        <v>955</v>
      </c>
      <c r="F68" s="492">
        <v>532</v>
      </c>
      <c r="G68" s="492">
        <v>317</v>
      </c>
      <c r="H68" s="491">
        <v>10696</v>
      </c>
      <c r="I68" s="491">
        <v>479</v>
      </c>
      <c r="J68" s="491">
        <v>106</v>
      </c>
      <c r="K68" s="491">
        <v>380</v>
      </c>
      <c r="L68" s="491">
        <v>11</v>
      </c>
      <c r="M68" s="491">
        <v>133</v>
      </c>
      <c r="N68" s="491">
        <v>595</v>
      </c>
      <c r="O68" s="491">
        <v>5.59</v>
      </c>
      <c r="P68" s="491">
        <v>7.35</v>
      </c>
      <c r="Q68" s="492">
        <v>0.48</v>
      </c>
      <c r="R68" s="492">
        <v>0.83</v>
      </c>
      <c r="S68" s="491">
        <v>0.06</v>
      </c>
      <c r="U68" s="138" t="s">
        <v>100</v>
      </c>
      <c r="V68" s="498" t="s">
        <v>28</v>
      </c>
      <c r="W68" s="138" t="s">
        <v>18</v>
      </c>
      <c r="X68" s="505" t="s">
        <v>818</v>
      </c>
      <c r="Y68" s="737">
        <f t="shared" si="1"/>
        <v>318.02293828300282</v>
      </c>
      <c r="Z68" s="737">
        <f t="shared" si="2"/>
        <v>189.49863051825542</v>
      </c>
      <c r="AA68" s="511">
        <f t="shared" si="3"/>
        <v>6393.9348644266865</v>
      </c>
      <c r="AB68" s="511">
        <f t="shared" si="4"/>
        <v>286.34020195029763</v>
      </c>
      <c r="AC68" s="511">
        <f t="shared" si="5"/>
        <v>63.36547266541033</v>
      </c>
      <c r="AD68" s="511">
        <f t="shared" si="6"/>
        <v>227.15924163071628</v>
      </c>
      <c r="AE68" s="511">
        <f t="shared" si="7"/>
        <v>6.5756622577312607</v>
      </c>
      <c r="AF68" s="511">
        <f t="shared" si="8"/>
        <v>79.505734570750704</v>
      </c>
      <c r="AG68" s="511">
        <f t="shared" si="9"/>
        <v>355.68354939546367</v>
      </c>
      <c r="AH68" s="511">
        <f t="shared" si="10"/>
        <v>3.3416320018834318</v>
      </c>
      <c r="AI68" s="511">
        <f t="shared" si="11"/>
        <v>4.3937379631204339</v>
      </c>
      <c r="AJ68" s="492">
        <v>0.48</v>
      </c>
      <c r="AK68" s="733">
        <v>0.83</v>
      </c>
      <c r="AL68" s="735">
        <v>0.06</v>
      </c>
    </row>
    <row r="69" spans="1:38">
      <c r="A69" s="491" t="s">
        <v>954</v>
      </c>
      <c r="B69" s="491" t="s">
        <v>957</v>
      </c>
      <c r="C69" s="491">
        <v>64</v>
      </c>
      <c r="D69" s="491">
        <v>54.74</v>
      </c>
      <c r="E69" s="491" t="s">
        <v>955</v>
      </c>
      <c r="F69" s="492">
        <v>1298</v>
      </c>
      <c r="G69" s="492">
        <v>1500</v>
      </c>
      <c r="H69" s="491">
        <v>18474</v>
      </c>
      <c r="I69" s="491">
        <v>935</v>
      </c>
      <c r="J69" s="491">
        <v>3329</v>
      </c>
      <c r="K69" s="491">
        <v>1148</v>
      </c>
      <c r="L69" s="491">
        <v>24</v>
      </c>
      <c r="M69" s="491">
        <v>179</v>
      </c>
      <c r="N69" s="491">
        <v>449</v>
      </c>
      <c r="O69" s="491">
        <v>4.58</v>
      </c>
      <c r="P69" s="491">
        <v>12.55</v>
      </c>
      <c r="Q69" s="492">
        <v>0.19</v>
      </c>
      <c r="R69" s="492">
        <v>0.33</v>
      </c>
      <c r="S69" s="491">
        <v>0.03</v>
      </c>
      <c r="U69" s="138" t="s">
        <v>100</v>
      </c>
      <c r="V69" s="498" t="s">
        <v>28</v>
      </c>
      <c r="W69" s="138" t="s">
        <v>18</v>
      </c>
      <c r="X69" s="505" t="s">
        <v>905</v>
      </c>
      <c r="Y69" s="737">
        <f t="shared" si="1"/>
        <v>775.92814641228892</v>
      </c>
      <c r="Z69" s="737">
        <f t="shared" si="2"/>
        <v>896.68121696335379</v>
      </c>
      <c r="AA69" s="511">
        <f t="shared" si="3"/>
        <v>11043.525868120665</v>
      </c>
      <c r="AB69" s="511">
        <f t="shared" si="4"/>
        <v>558.93129190715717</v>
      </c>
      <c r="AC69" s="511">
        <f t="shared" si="5"/>
        <v>1990.0345141806699</v>
      </c>
      <c r="AD69" s="511">
        <f t="shared" si="6"/>
        <v>686.26002471595348</v>
      </c>
      <c r="AE69" s="511">
        <f t="shared" si="7"/>
        <v>14.346899471413662</v>
      </c>
      <c r="AF69" s="511">
        <f t="shared" si="8"/>
        <v>107.00395855762689</v>
      </c>
      <c r="AG69" s="511">
        <f t="shared" si="9"/>
        <v>268.40657761103057</v>
      </c>
      <c r="AH69" s="511">
        <f t="shared" si="10"/>
        <v>2.7378666491281067</v>
      </c>
      <c r="AI69" s="511">
        <f t="shared" si="11"/>
        <v>7.5022328485933931</v>
      </c>
      <c r="AJ69" s="492">
        <v>0.19</v>
      </c>
      <c r="AK69" s="733">
        <v>0.33</v>
      </c>
      <c r="AL69" s="735">
        <v>0.03</v>
      </c>
    </row>
    <row r="70" spans="1:38">
      <c r="A70" s="491" t="s">
        <v>954</v>
      </c>
      <c r="B70" s="491" t="s">
        <v>957</v>
      </c>
      <c r="C70" s="491">
        <v>65</v>
      </c>
      <c r="D70" s="491">
        <v>46.41</v>
      </c>
      <c r="E70" s="491" t="s">
        <v>955</v>
      </c>
      <c r="F70" s="492">
        <v>1179</v>
      </c>
      <c r="G70" s="492">
        <v>336</v>
      </c>
      <c r="H70" s="491">
        <v>16734</v>
      </c>
      <c r="I70" s="491">
        <v>629</v>
      </c>
      <c r="J70" s="491">
        <v>1287</v>
      </c>
      <c r="K70" s="491">
        <v>702</v>
      </c>
      <c r="L70" s="491">
        <v>25</v>
      </c>
      <c r="M70" s="491">
        <v>154</v>
      </c>
      <c r="N70" s="491">
        <v>480</v>
      </c>
      <c r="O70" s="491">
        <v>6.03</v>
      </c>
      <c r="P70" s="491">
        <v>10.26</v>
      </c>
      <c r="Q70" s="492">
        <v>2.63</v>
      </c>
      <c r="R70" s="492">
        <v>4.5199999999999996</v>
      </c>
      <c r="S70" s="491">
        <v>0.23</v>
      </c>
      <c r="U70" s="138" t="s">
        <v>100</v>
      </c>
      <c r="V70" s="498" t="s">
        <v>28</v>
      </c>
      <c r="W70" s="138" t="s">
        <v>20</v>
      </c>
      <c r="X70" s="505" t="s">
        <v>112</v>
      </c>
      <c r="Y70" s="737">
        <f t="shared" si="1"/>
        <v>704.79143653319613</v>
      </c>
      <c r="Z70" s="737">
        <f t="shared" si="2"/>
        <v>200.85659259979121</v>
      </c>
      <c r="AA70" s="511">
        <f t="shared" si="3"/>
        <v>10003.375656443175</v>
      </c>
      <c r="AB70" s="511">
        <f t="shared" si="4"/>
        <v>376.00832364663307</v>
      </c>
      <c r="AC70" s="511">
        <f t="shared" si="5"/>
        <v>769.3524841545576</v>
      </c>
      <c r="AD70" s="511">
        <f t="shared" si="6"/>
        <v>419.6468095388496</v>
      </c>
      <c r="AE70" s="511">
        <f t="shared" si="7"/>
        <v>14.944686949389229</v>
      </c>
      <c r="AF70" s="511">
        <f t="shared" si="8"/>
        <v>92.059271608237651</v>
      </c>
      <c r="AG70" s="511">
        <f t="shared" si="9"/>
        <v>286.93798942827323</v>
      </c>
      <c r="AH70" s="511">
        <f t="shared" si="10"/>
        <v>3.6046584921926823</v>
      </c>
      <c r="AI70" s="511">
        <f t="shared" si="11"/>
        <v>6.1332995240293409</v>
      </c>
      <c r="AJ70" s="492">
        <v>2.63</v>
      </c>
      <c r="AK70" s="733">
        <v>4.5199999999999996</v>
      </c>
      <c r="AL70" s="735">
        <v>0.23</v>
      </c>
    </row>
    <row r="71" spans="1:38">
      <c r="A71" s="491" t="s">
        <v>954</v>
      </c>
      <c r="B71" s="491" t="s">
        <v>957</v>
      </c>
      <c r="C71" s="491">
        <v>66</v>
      </c>
      <c r="D71" s="491">
        <v>26.25</v>
      </c>
      <c r="E71" s="491" t="s">
        <v>955</v>
      </c>
      <c r="F71" s="492">
        <v>586</v>
      </c>
      <c r="G71" s="492">
        <v>190</v>
      </c>
      <c r="H71" s="491">
        <v>9396</v>
      </c>
      <c r="I71" s="491">
        <v>386</v>
      </c>
      <c r="J71" s="491">
        <v>127</v>
      </c>
      <c r="K71" s="491">
        <v>418</v>
      </c>
      <c r="L71" s="491">
        <v>13</v>
      </c>
      <c r="M71" s="491">
        <v>126</v>
      </c>
      <c r="N71" s="491">
        <v>520</v>
      </c>
      <c r="O71" s="491">
        <v>5.47</v>
      </c>
      <c r="P71" s="491">
        <v>6.07</v>
      </c>
      <c r="Q71" s="492">
        <v>2.02</v>
      </c>
      <c r="R71" s="492">
        <v>3.47</v>
      </c>
      <c r="S71" s="491">
        <v>0.2</v>
      </c>
      <c r="U71" s="138" t="s">
        <v>100</v>
      </c>
      <c r="V71" s="498" t="s">
        <v>28</v>
      </c>
      <c r="W71" s="138" t="s">
        <v>20</v>
      </c>
      <c r="X71" s="505" t="s">
        <v>114</v>
      </c>
      <c r="Y71" s="737">
        <f t="shared" ref="Y71:Y77" si="12">F71*0.4535923*1000000/758785.215</f>
        <v>350.30346209368355</v>
      </c>
      <c r="Z71" s="737">
        <f t="shared" ref="Z71:Z77" si="13">G71*0.4535923*1000000/758785.215</f>
        <v>113.57962081535814</v>
      </c>
      <c r="AA71" s="511">
        <f t="shared" ref="AA71:AA77" si="14">H71*0.4535923*1000000/758785.215</f>
        <v>5616.8111430584486</v>
      </c>
      <c r="AB71" s="511">
        <f t="shared" ref="AB71:AB77" si="15">I71*0.4535923*1000000/758785.215</f>
        <v>230.74596649856971</v>
      </c>
      <c r="AC71" s="511">
        <f t="shared" ref="AC71:AC77" si="16">J71*0.4535923*1000000/758785.215</f>
        <v>75.919009702897284</v>
      </c>
      <c r="AD71" s="511">
        <f t="shared" ref="AD71:AD77" si="17">K71*0.4535923*1000000/758785.215</f>
        <v>249.87516579378791</v>
      </c>
      <c r="AE71" s="511">
        <f t="shared" ref="AE71:AE77" si="18">L71*0.4535923*1000000/758785.215</f>
        <v>7.7712372136823982</v>
      </c>
      <c r="AF71" s="511">
        <f t="shared" ref="AF71:AF77" si="19">M71*0.4535923*1000000/758785.215</f>
        <v>75.321222224921712</v>
      </c>
      <c r="AG71" s="511">
        <f t="shared" ref="AG71:AG77" si="20">N71*0.4535923*1000000/758785.215</f>
        <v>310.84948854729595</v>
      </c>
      <c r="AH71" s="511">
        <f t="shared" ref="AH71:AH77" si="21">O71*0.4535923*1000000/758785.215</f>
        <v>3.2698975045263636</v>
      </c>
      <c r="AI71" s="511">
        <f t="shared" ref="AI71:AI77" si="22">P71*0.4535923*1000000/758785.215</f>
        <v>3.6285699913117049</v>
      </c>
      <c r="AJ71" s="492">
        <v>2.02</v>
      </c>
      <c r="AK71" s="733">
        <v>3.47</v>
      </c>
      <c r="AL71" s="735">
        <v>0.2</v>
      </c>
    </row>
    <row r="72" spans="1:38">
      <c r="A72" s="491" t="s">
        <v>954</v>
      </c>
      <c r="B72" s="491" t="s">
        <v>957</v>
      </c>
      <c r="C72" s="491">
        <v>67</v>
      </c>
      <c r="D72" s="491">
        <v>52.4</v>
      </c>
      <c r="E72" s="491" t="s">
        <v>955</v>
      </c>
      <c r="F72" s="492">
        <v>960</v>
      </c>
      <c r="G72" s="492">
        <v>1844</v>
      </c>
      <c r="H72" s="491">
        <v>16658</v>
      </c>
      <c r="I72" s="491">
        <v>1050</v>
      </c>
      <c r="J72" s="491">
        <v>2793</v>
      </c>
      <c r="K72" s="491">
        <v>1790</v>
      </c>
      <c r="L72" s="491">
        <v>27</v>
      </c>
      <c r="M72" s="491">
        <v>169</v>
      </c>
      <c r="N72" s="491">
        <v>398</v>
      </c>
      <c r="O72" s="491">
        <v>5.5</v>
      </c>
      <c r="P72" s="491">
        <v>10.57</v>
      </c>
      <c r="Q72" s="492">
        <v>0.91</v>
      </c>
      <c r="R72" s="492">
        <v>1.57</v>
      </c>
      <c r="S72" s="491">
        <v>0.09</v>
      </c>
      <c r="U72" s="138" t="s">
        <v>100</v>
      </c>
      <c r="V72" s="498" t="s">
        <v>28</v>
      </c>
      <c r="W72" s="138" t="s">
        <v>20</v>
      </c>
      <c r="X72" s="505" t="s">
        <v>817</v>
      </c>
      <c r="Y72" s="737">
        <f t="shared" si="12"/>
        <v>573.87597885654645</v>
      </c>
      <c r="Z72" s="737">
        <f t="shared" si="13"/>
        <v>1102.3201093869495</v>
      </c>
      <c r="AA72" s="511">
        <f t="shared" si="14"/>
        <v>9957.9438081170319</v>
      </c>
      <c r="AB72" s="511">
        <f t="shared" si="15"/>
        <v>627.67685187434768</v>
      </c>
      <c r="AC72" s="511">
        <f t="shared" si="16"/>
        <v>1669.6204259857645</v>
      </c>
      <c r="AD72" s="511">
        <f t="shared" si="17"/>
        <v>1070.0395855762688</v>
      </c>
      <c r="AE72" s="511">
        <f t="shared" si="18"/>
        <v>16.140261905340367</v>
      </c>
      <c r="AF72" s="511">
        <f t="shared" si="19"/>
        <v>101.02608377787119</v>
      </c>
      <c r="AG72" s="511">
        <f t="shared" si="20"/>
        <v>237.91941623427653</v>
      </c>
      <c r="AH72" s="511">
        <f t="shared" si="21"/>
        <v>3.2878311288656303</v>
      </c>
      <c r="AI72" s="511">
        <f t="shared" si="22"/>
        <v>6.3186136422017665</v>
      </c>
      <c r="AJ72" s="492">
        <v>0.91</v>
      </c>
      <c r="AK72" s="733">
        <v>1.57</v>
      </c>
      <c r="AL72" s="735">
        <v>0.09</v>
      </c>
    </row>
    <row r="73" spans="1:38">
      <c r="A73" s="491" t="s">
        <v>954</v>
      </c>
      <c r="B73" s="491" t="s">
        <v>957</v>
      </c>
      <c r="C73" s="491">
        <v>68</v>
      </c>
      <c r="D73" s="491">
        <v>39.299999999999997</v>
      </c>
      <c r="E73" s="491" t="s">
        <v>955</v>
      </c>
      <c r="F73" s="492">
        <v>873</v>
      </c>
      <c r="G73" s="492">
        <v>254</v>
      </c>
      <c r="H73" s="491">
        <v>14348</v>
      </c>
      <c r="I73" s="491">
        <v>519</v>
      </c>
      <c r="J73" s="491">
        <v>141</v>
      </c>
      <c r="K73" s="491">
        <v>380</v>
      </c>
      <c r="L73" s="491">
        <v>19</v>
      </c>
      <c r="M73" s="491">
        <v>155</v>
      </c>
      <c r="N73" s="491">
        <v>609</v>
      </c>
      <c r="O73" s="491">
        <v>7.29</v>
      </c>
      <c r="P73" s="491">
        <v>8.91</v>
      </c>
      <c r="Q73" s="492">
        <v>0.84</v>
      </c>
      <c r="R73" s="492">
        <v>1.44</v>
      </c>
      <c r="S73" s="491">
        <v>0.1</v>
      </c>
      <c r="U73" s="138" t="s">
        <v>100</v>
      </c>
      <c r="V73" s="498" t="s">
        <v>28</v>
      </c>
      <c r="W73" s="138" t="s">
        <v>20</v>
      </c>
      <c r="X73" s="505" t="s">
        <v>818</v>
      </c>
      <c r="Y73" s="737">
        <f t="shared" si="12"/>
        <v>521.86846827267186</v>
      </c>
      <c r="Z73" s="737">
        <f t="shared" si="13"/>
        <v>151.83801940579457</v>
      </c>
      <c r="AA73" s="511">
        <f t="shared" si="14"/>
        <v>8577.0547339934674</v>
      </c>
      <c r="AB73" s="511">
        <f t="shared" si="15"/>
        <v>310.2517010693204</v>
      </c>
      <c r="AC73" s="511">
        <f t="shared" si="16"/>
        <v>84.288034394555254</v>
      </c>
      <c r="AD73" s="511">
        <f t="shared" si="17"/>
        <v>227.15924163071628</v>
      </c>
      <c r="AE73" s="511">
        <f t="shared" si="18"/>
        <v>11.357962081535815</v>
      </c>
      <c r="AF73" s="511">
        <f t="shared" si="19"/>
        <v>92.657059086213238</v>
      </c>
      <c r="AG73" s="511">
        <f t="shared" si="20"/>
        <v>364.05257408712163</v>
      </c>
      <c r="AH73" s="511">
        <f t="shared" si="21"/>
        <v>4.3578707144418996</v>
      </c>
      <c r="AI73" s="511">
        <f t="shared" si="22"/>
        <v>5.3262864287623213</v>
      </c>
      <c r="AJ73" s="492">
        <v>0.84</v>
      </c>
      <c r="AK73" s="733">
        <v>1.44</v>
      </c>
      <c r="AL73" s="735">
        <v>0.1</v>
      </c>
    </row>
    <row r="74" spans="1:38">
      <c r="A74" s="491" t="s">
        <v>954</v>
      </c>
      <c r="B74" s="491" t="s">
        <v>957</v>
      </c>
      <c r="C74" s="491">
        <v>69</v>
      </c>
      <c r="D74" s="491">
        <v>32.340000000000003</v>
      </c>
      <c r="E74" s="491" t="s">
        <v>955</v>
      </c>
      <c r="F74" s="492">
        <v>573</v>
      </c>
      <c r="G74" s="492">
        <v>302</v>
      </c>
      <c r="H74" s="491">
        <v>11755</v>
      </c>
      <c r="I74" s="491">
        <v>447</v>
      </c>
      <c r="J74" s="491">
        <v>93</v>
      </c>
      <c r="K74" s="491">
        <v>322</v>
      </c>
      <c r="L74" s="491">
        <v>14</v>
      </c>
      <c r="M74" s="491">
        <v>134</v>
      </c>
      <c r="N74" s="491">
        <v>642</v>
      </c>
      <c r="O74" s="491">
        <v>7.15</v>
      </c>
      <c r="P74" s="491">
        <v>7.51</v>
      </c>
      <c r="Q74" s="492">
        <v>0.6</v>
      </c>
      <c r="R74" s="492">
        <v>1.03</v>
      </c>
      <c r="S74" s="491">
        <v>0.08</v>
      </c>
      <c r="U74" s="502" t="s">
        <v>100</v>
      </c>
      <c r="V74" s="501" t="s">
        <v>28</v>
      </c>
      <c r="W74" s="502" t="s">
        <v>20</v>
      </c>
      <c r="X74" s="507" t="s">
        <v>905</v>
      </c>
      <c r="Y74" s="737">
        <f t="shared" si="12"/>
        <v>342.53222488000108</v>
      </c>
      <c r="Z74" s="737">
        <f t="shared" si="13"/>
        <v>180.53181834862193</v>
      </c>
      <c r="AA74" s="511">
        <f t="shared" si="14"/>
        <v>7026.9918036028157</v>
      </c>
      <c r="AB74" s="511">
        <f t="shared" si="15"/>
        <v>267.21100265507943</v>
      </c>
      <c r="AC74" s="511">
        <f t="shared" si="16"/>
        <v>55.594235451727933</v>
      </c>
      <c r="AD74" s="511">
        <f t="shared" si="17"/>
        <v>192.48756790813326</v>
      </c>
      <c r="AE74" s="511">
        <f t="shared" si="18"/>
        <v>8.3690246916579678</v>
      </c>
      <c r="AF74" s="511">
        <f t="shared" si="19"/>
        <v>80.103522048726276</v>
      </c>
      <c r="AG74" s="511">
        <f t="shared" si="20"/>
        <v>383.77956086031543</v>
      </c>
      <c r="AH74" s="511">
        <f t="shared" si="21"/>
        <v>4.2741804675253201</v>
      </c>
      <c r="AI74" s="511">
        <f t="shared" si="22"/>
        <v>4.4893839595965241</v>
      </c>
      <c r="AJ74" s="492">
        <v>0.6</v>
      </c>
      <c r="AK74" s="733">
        <v>1.03</v>
      </c>
      <c r="AL74" s="735">
        <v>0.08</v>
      </c>
    </row>
    <row r="75" spans="1:38">
      <c r="A75" s="491" t="s">
        <v>954</v>
      </c>
      <c r="B75" s="491" t="s">
        <v>959</v>
      </c>
      <c r="C75" s="491" t="s">
        <v>960</v>
      </c>
      <c r="D75" s="491">
        <v>33.06</v>
      </c>
      <c r="E75" s="491" t="s">
        <v>955</v>
      </c>
      <c r="F75" s="492">
        <v>802</v>
      </c>
      <c r="G75" s="492">
        <v>261</v>
      </c>
      <c r="H75" s="491">
        <v>11189</v>
      </c>
      <c r="I75" s="491">
        <v>752</v>
      </c>
      <c r="J75" s="491">
        <v>192</v>
      </c>
      <c r="K75" s="491">
        <v>747</v>
      </c>
      <c r="L75" s="491">
        <v>22</v>
      </c>
      <c r="M75" s="491">
        <v>227</v>
      </c>
      <c r="N75" s="491">
        <v>457</v>
      </c>
      <c r="O75" s="491">
        <v>8.44</v>
      </c>
      <c r="P75" s="491">
        <v>10.84</v>
      </c>
      <c r="Q75" s="492">
        <v>22.22</v>
      </c>
      <c r="R75" s="492">
        <v>38.22</v>
      </c>
      <c r="S75" s="491">
        <v>1.32</v>
      </c>
      <c r="U75" s="493" t="s">
        <v>959</v>
      </c>
      <c r="V75" s="493" t="s">
        <v>960</v>
      </c>
      <c r="W75" s="493"/>
      <c r="X75" s="493"/>
      <c r="Y75" s="737">
        <f>F75*0.4535923*1000000/758785.215</f>
        <v>479.42555733640648</v>
      </c>
      <c r="Z75" s="737">
        <f t="shared" si="13"/>
        <v>156.02253175162355</v>
      </c>
      <c r="AA75" s="511">
        <f t="shared" si="14"/>
        <v>6688.6440910686442</v>
      </c>
      <c r="AB75" s="511">
        <f t="shared" si="15"/>
        <v>449.53618343762804</v>
      </c>
      <c r="AC75" s="511">
        <f t="shared" si="16"/>
        <v>114.7751957713093</v>
      </c>
      <c r="AD75" s="511">
        <f t="shared" si="17"/>
        <v>446.54724604775021</v>
      </c>
      <c r="AE75" s="511">
        <f t="shared" si="18"/>
        <v>13.151324515462521</v>
      </c>
      <c r="AF75" s="511">
        <f t="shared" si="19"/>
        <v>135.6977575004542</v>
      </c>
      <c r="AG75" s="511">
        <f t="shared" si="20"/>
        <v>273.18887743483509</v>
      </c>
      <c r="AH75" s="511">
        <f t="shared" si="21"/>
        <v>5.0453263141138036</v>
      </c>
      <c r="AI75" s="511">
        <f t="shared" si="22"/>
        <v>6.4800162612551695</v>
      </c>
      <c r="AJ75" s="492">
        <v>22.22</v>
      </c>
      <c r="AK75" s="733">
        <v>38.22</v>
      </c>
      <c r="AL75" s="735">
        <v>1.32</v>
      </c>
    </row>
    <row r="76" spans="1:38">
      <c r="A76" s="493" t="s">
        <v>954</v>
      </c>
      <c r="B76" s="493" t="s">
        <v>961</v>
      </c>
      <c r="C76" s="493">
        <v>84</v>
      </c>
      <c r="D76" s="493">
        <v>34.6</v>
      </c>
      <c r="E76" s="493" t="s">
        <v>955</v>
      </c>
      <c r="F76" s="492">
        <v>714</v>
      </c>
      <c r="G76" s="492">
        <v>177</v>
      </c>
      <c r="H76" s="491">
        <v>12228</v>
      </c>
      <c r="I76" s="491">
        <v>682</v>
      </c>
      <c r="J76" s="491">
        <v>62</v>
      </c>
      <c r="K76" s="491">
        <v>444</v>
      </c>
      <c r="L76" s="491">
        <v>18</v>
      </c>
      <c r="M76" s="491">
        <v>202</v>
      </c>
      <c r="N76" s="491">
        <v>520</v>
      </c>
      <c r="O76" s="491">
        <v>10.8</v>
      </c>
      <c r="P76" s="491">
        <v>8.7799999999999994</v>
      </c>
      <c r="Q76" s="492">
        <v>2.85</v>
      </c>
      <c r="R76" s="492">
        <v>4.9000000000000004</v>
      </c>
      <c r="S76" s="491">
        <v>0.21</v>
      </c>
      <c r="U76" s="493"/>
      <c r="V76" s="493"/>
      <c r="W76" s="493"/>
      <c r="X76" s="493"/>
      <c r="Y76" s="737">
        <f t="shared" si="12"/>
        <v>426.82025927455635</v>
      </c>
      <c r="Z76" s="737">
        <f t="shared" si="13"/>
        <v>105.80838360167573</v>
      </c>
      <c r="AA76" s="511">
        <f t="shared" si="14"/>
        <v>7309.7452806852598</v>
      </c>
      <c r="AB76" s="511">
        <f t="shared" si="15"/>
        <v>407.69105997933821</v>
      </c>
      <c r="AC76" s="511">
        <f t="shared" si="16"/>
        <v>37.062823634485284</v>
      </c>
      <c r="AD76" s="511">
        <f t="shared" si="17"/>
        <v>265.41764022115268</v>
      </c>
      <c r="AE76" s="511">
        <f t="shared" si="18"/>
        <v>10.760174603560246</v>
      </c>
      <c r="AF76" s="511">
        <f t="shared" si="19"/>
        <v>120.75307055106497</v>
      </c>
      <c r="AG76" s="511">
        <f t="shared" si="20"/>
        <v>310.84948854729595</v>
      </c>
      <c r="AH76" s="511">
        <f t="shared" si="21"/>
        <v>6.4561047621361469</v>
      </c>
      <c r="AI76" s="511">
        <f t="shared" si="22"/>
        <v>5.2485740566254968</v>
      </c>
      <c r="AJ76" s="492">
        <v>2.85</v>
      </c>
      <c r="AK76" s="733">
        <v>4.9000000000000004</v>
      </c>
      <c r="AL76" s="735">
        <v>0.21</v>
      </c>
    </row>
    <row r="77" spans="1:38">
      <c r="A77" s="493" t="s">
        <v>954</v>
      </c>
      <c r="B77" s="493" t="s">
        <v>961</v>
      </c>
      <c r="C77" s="493" t="s">
        <v>962</v>
      </c>
      <c r="D77" s="493">
        <v>0</v>
      </c>
      <c r="E77" s="493" t="s">
        <v>955</v>
      </c>
      <c r="F77" s="492">
        <v>0</v>
      </c>
      <c r="G77" s="492">
        <v>0</v>
      </c>
      <c r="H77" s="491">
        <v>0</v>
      </c>
      <c r="I77" s="491">
        <v>0</v>
      </c>
      <c r="J77" s="491">
        <v>0</v>
      </c>
      <c r="K77" s="491">
        <v>0</v>
      </c>
      <c r="L77" s="491">
        <v>0</v>
      </c>
      <c r="M77" s="491">
        <v>0</v>
      </c>
      <c r="N77" s="491">
        <v>0</v>
      </c>
      <c r="O77" s="491">
        <v>0</v>
      </c>
      <c r="P77" s="491">
        <v>0</v>
      </c>
      <c r="Q77" s="492">
        <v>0</v>
      </c>
      <c r="R77" s="492">
        <v>0</v>
      </c>
      <c r="S77" s="491">
        <v>0</v>
      </c>
      <c r="U77" s="493"/>
      <c r="V77" s="493"/>
      <c r="W77" s="493"/>
      <c r="X77" s="493"/>
      <c r="Y77" s="737">
        <f t="shared" si="12"/>
        <v>0</v>
      </c>
      <c r="Z77" s="737">
        <f t="shared" si="13"/>
        <v>0</v>
      </c>
      <c r="AA77" s="511">
        <f t="shared" si="14"/>
        <v>0</v>
      </c>
      <c r="AB77" s="511">
        <f t="shared" si="15"/>
        <v>0</v>
      </c>
      <c r="AC77" s="511">
        <f t="shared" si="16"/>
        <v>0</v>
      </c>
      <c r="AD77" s="511">
        <f t="shared" si="17"/>
        <v>0</v>
      </c>
      <c r="AE77" s="511">
        <f t="shared" si="18"/>
        <v>0</v>
      </c>
      <c r="AF77" s="511">
        <f t="shared" si="19"/>
        <v>0</v>
      </c>
      <c r="AG77" s="511">
        <f t="shared" si="20"/>
        <v>0</v>
      </c>
      <c r="AH77" s="511">
        <f t="shared" si="21"/>
        <v>0</v>
      </c>
      <c r="AI77" s="511">
        <f t="shared" si="22"/>
        <v>0</v>
      </c>
      <c r="AJ77" s="492">
        <v>0</v>
      </c>
      <c r="AK77" s="733">
        <v>0</v>
      </c>
      <c r="AL77" s="735">
        <v>0</v>
      </c>
    </row>
    <row r="81" spans="1:5">
      <c r="A81" s="788" t="s">
        <v>985</v>
      </c>
      <c r="B81" s="790"/>
      <c r="C81" s="790"/>
      <c r="D81" s="790"/>
      <c r="E81" s="790"/>
    </row>
    <row r="82" spans="1:5">
      <c r="A82" s="790"/>
      <c r="B82" s="790"/>
      <c r="C82" s="790"/>
      <c r="D82" s="790"/>
      <c r="E82" s="790"/>
    </row>
    <row r="83" spans="1:5" ht="15.75" thickBot="1">
      <c r="A83" s="790"/>
      <c r="B83" s="790"/>
      <c r="C83" s="790"/>
      <c r="D83" s="790"/>
      <c r="E83" s="790"/>
    </row>
    <row r="84" spans="1:5">
      <c r="B84" s="533"/>
      <c r="C84" s="530" t="s">
        <v>986</v>
      </c>
      <c r="D84" s="535" t="s">
        <v>111</v>
      </c>
    </row>
    <row r="85" spans="1:5">
      <c r="B85" s="543">
        <v>84</v>
      </c>
      <c r="C85" s="538" t="s">
        <v>923</v>
      </c>
      <c r="D85" s="544" t="s">
        <v>45</v>
      </c>
    </row>
    <row r="86" spans="1:5" ht="15.75" thickBot="1">
      <c r="B86" s="531">
        <v>85</v>
      </c>
      <c r="C86" s="532" t="s">
        <v>70</v>
      </c>
      <c r="D86" s="545" t="s">
        <v>5</v>
      </c>
    </row>
  </sheetData>
  <mergeCells count="2">
    <mergeCell ref="V5:W5"/>
    <mergeCell ref="A81:E8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5B03-6C81-4F44-8881-5ED49395D0D2}">
  <dimension ref="A1:CF640"/>
  <sheetViews>
    <sheetView topLeftCell="A604" zoomScale="85" zoomScaleNormal="85" workbookViewId="0">
      <selection activeCell="T631" sqref="T631"/>
    </sheetView>
  </sheetViews>
  <sheetFormatPr defaultColWidth="8.85546875" defaultRowHeight="15"/>
  <cols>
    <col min="1" max="1" width="13.42578125" customWidth="1"/>
    <col min="2" max="2" width="12.42578125" customWidth="1"/>
    <col min="3" max="3" width="18.42578125" style="315" customWidth="1"/>
    <col min="4" max="4" width="15.28515625" bestFit="1" customWidth="1"/>
    <col min="5" max="5" width="14.28515625" bestFit="1" customWidth="1"/>
    <col min="6" max="6" width="15.28515625" bestFit="1" customWidth="1"/>
    <col min="8" max="8" width="14" customWidth="1"/>
    <col min="9" max="9" width="13.85546875" bestFit="1" customWidth="1"/>
    <col min="10" max="10" width="12.28515625" customWidth="1"/>
    <col min="11" max="11" width="11.42578125" bestFit="1" customWidth="1"/>
    <col min="14" max="14" width="11.28515625" customWidth="1"/>
    <col min="15" max="15" width="11.85546875" style="315" customWidth="1"/>
    <col min="16" max="17" width="8.85546875" style="315"/>
    <col min="19" max="19" width="12.140625" customWidth="1"/>
    <col min="20" max="20" width="14.7109375" customWidth="1"/>
    <col min="21" max="21" width="9.7109375" customWidth="1"/>
    <col min="22" max="22" width="8.42578125" customWidth="1"/>
    <col min="25" max="25" width="13.28515625" customWidth="1"/>
    <col min="26" max="26" width="12.42578125" customWidth="1"/>
    <col min="30" max="30" width="13.28515625" customWidth="1"/>
    <col min="31" max="31" width="8.85546875" style="315"/>
    <col min="32" max="32" width="11.42578125" style="315" customWidth="1"/>
    <col min="33" max="33" width="12.42578125" style="315" customWidth="1"/>
    <col min="34" max="36" width="8.85546875" style="315"/>
    <col min="37" max="37" width="12.42578125" style="315" bestFit="1" customWidth="1"/>
    <col min="39" max="39" width="11.140625" customWidth="1"/>
    <col min="40" max="40" width="12.28515625" style="315" customWidth="1"/>
    <col min="41" max="41" width="8.85546875" style="315"/>
    <col min="44" max="44" width="12.42578125" bestFit="1" customWidth="1"/>
    <col min="46" max="46" width="10.85546875" customWidth="1"/>
    <col min="47" max="47" width="11.140625" customWidth="1"/>
    <col min="51" max="51" width="12.42578125" bestFit="1" customWidth="1"/>
    <col min="52" max="52" width="8.85546875" style="315"/>
    <col min="53" max="53" width="30.5703125" bestFit="1" customWidth="1"/>
    <col min="54" max="54" width="13.85546875" customWidth="1"/>
    <col min="55" max="55" width="12.7109375" style="315" customWidth="1"/>
    <col min="56" max="56" width="12" customWidth="1"/>
    <col min="58" max="58" width="11.28515625" customWidth="1"/>
    <col min="59" max="59" width="16" customWidth="1"/>
    <col min="60" max="60" width="15" customWidth="1"/>
    <col min="61" max="61" width="12.42578125" customWidth="1"/>
    <col min="62" max="62" width="13.42578125" style="315" customWidth="1"/>
    <col min="66" max="66" width="11.28515625" customWidth="1"/>
    <col min="67" max="67" width="12.85546875" customWidth="1"/>
    <col min="68" max="68" width="12" customWidth="1"/>
    <col min="69" max="69" width="11.42578125" customWidth="1"/>
    <col min="70" max="70" width="12.42578125" customWidth="1"/>
    <col min="72" max="72" width="11.140625" customWidth="1"/>
    <col min="73" max="73" width="12.140625" customWidth="1"/>
    <col min="74" max="74" width="12.85546875" customWidth="1"/>
    <col min="75" max="75" width="11.42578125" customWidth="1"/>
    <col min="76" max="76" width="11.7109375" customWidth="1"/>
    <col min="77" max="77" width="10.85546875" customWidth="1"/>
    <col min="78" max="78" width="17" customWidth="1"/>
    <col min="79" max="79" width="12.5703125" customWidth="1"/>
    <col min="80" max="80" width="14.28515625" customWidth="1"/>
    <col min="81" max="81" width="13.140625" customWidth="1"/>
  </cols>
  <sheetData>
    <row r="1" spans="1:82">
      <c r="X1" s="560"/>
      <c r="Y1" s="560"/>
      <c r="Z1" s="560"/>
      <c r="AA1" s="560"/>
      <c r="AB1" s="560"/>
      <c r="AC1" s="560"/>
      <c r="AD1" s="560"/>
      <c r="AE1" s="559"/>
      <c r="AF1" s="559"/>
      <c r="AG1" s="559"/>
      <c r="AH1" s="559"/>
      <c r="AI1" s="559"/>
      <c r="AJ1" s="559"/>
      <c r="AK1" s="559"/>
      <c r="AL1" s="560"/>
      <c r="AM1" s="560"/>
      <c r="AN1" s="559"/>
      <c r="AO1" s="559"/>
      <c r="AP1" s="560"/>
      <c r="AQ1" s="560"/>
      <c r="AR1" s="560"/>
      <c r="AS1" s="560"/>
      <c r="AT1" s="560"/>
      <c r="AU1" s="560"/>
      <c r="AV1" s="560"/>
      <c r="AW1" s="560"/>
      <c r="AX1" s="560"/>
      <c r="AY1" s="560"/>
      <c r="BA1" s="560"/>
      <c r="BB1" s="560"/>
      <c r="BC1" s="559"/>
      <c r="BD1" s="560"/>
      <c r="BE1" s="560"/>
      <c r="BF1" s="560"/>
      <c r="BG1" s="669" t="s">
        <v>140</v>
      </c>
      <c r="BH1" s="670" t="s">
        <v>135</v>
      </c>
      <c r="BI1" s="670"/>
      <c r="BJ1" s="559"/>
      <c r="BK1" s="560"/>
      <c r="BL1" s="560"/>
      <c r="BM1" s="560"/>
      <c r="BN1" s="560"/>
      <c r="BO1" s="560"/>
      <c r="BP1" s="560"/>
      <c r="BQ1" s="560"/>
      <c r="BR1" s="560"/>
      <c r="BS1" s="560"/>
      <c r="BT1" s="560"/>
      <c r="BU1" s="560"/>
      <c r="BV1" s="560"/>
      <c r="BW1" s="560"/>
      <c r="BX1" s="560"/>
      <c r="BY1" s="560"/>
      <c r="BZ1" s="560"/>
      <c r="CA1" s="560"/>
      <c r="CB1" s="560"/>
      <c r="CC1" s="560"/>
    </row>
    <row r="2" spans="1:82">
      <c r="M2" s="62"/>
      <c r="N2" s="62"/>
      <c r="O2" s="63"/>
      <c r="P2" s="63"/>
      <c r="Q2" s="63"/>
      <c r="R2" s="62"/>
      <c r="X2" s="560"/>
      <c r="Y2" s="560"/>
      <c r="Z2" s="560"/>
      <c r="AA2" s="560"/>
      <c r="AB2" s="560"/>
      <c r="AC2" s="560"/>
      <c r="AD2" s="560"/>
      <c r="AE2" s="559"/>
      <c r="AF2" s="559"/>
      <c r="AG2" s="559"/>
      <c r="AH2" s="559"/>
      <c r="AI2" s="559"/>
      <c r="AJ2" s="559"/>
      <c r="AK2" s="559"/>
      <c r="AL2" s="560"/>
      <c r="AM2" s="560"/>
      <c r="AN2" s="559"/>
      <c r="AO2" s="559"/>
      <c r="AP2" s="560"/>
      <c r="AQ2" s="560"/>
      <c r="AR2" s="560"/>
      <c r="AS2" s="560"/>
      <c r="AT2" s="560"/>
      <c r="AU2" s="560"/>
      <c r="AV2" s="560"/>
      <c r="AW2" s="560"/>
      <c r="AX2" s="560"/>
      <c r="AY2" s="560"/>
      <c r="BA2" s="560"/>
      <c r="BB2" s="560"/>
      <c r="BC2" s="559"/>
      <c r="BD2" s="560"/>
      <c r="BE2" s="560"/>
      <c r="BF2" s="560"/>
      <c r="BG2" s="669" t="s">
        <v>136</v>
      </c>
      <c r="BH2" s="670">
        <v>5.1269999999999998</v>
      </c>
      <c r="BI2" s="670"/>
      <c r="BJ2" s="559"/>
      <c r="BK2" s="560"/>
      <c r="BL2" s="560"/>
      <c r="BM2" s="560"/>
      <c r="BN2" s="560"/>
      <c r="BO2" s="560"/>
      <c r="BP2" s="560"/>
      <c r="BQ2" s="560"/>
      <c r="BR2" s="560"/>
      <c r="BS2" s="560"/>
      <c r="BT2" s="560"/>
      <c r="BU2" s="560"/>
      <c r="BV2" s="560"/>
      <c r="BW2" s="560"/>
      <c r="BX2" s="560"/>
      <c r="BY2" s="560"/>
      <c r="BZ2" s="560"/>
      <c r="CA2" s="560"/>
      <c r="CB2" s="560"/>
      <c r="CC2" s="560"/>
    </row>
    <row r="3" spans="1:82" ht="18.75">
      <c r="A3" s="557" t="s">
        <v>123</v>
      </c>
      <c r="B3" s="558"/>
      <c r="C3" s="559"/>
      <c r="D3" s="560"/>
      <c r="E3" s="560"/>
      <c r="F3" s="560"/>
      <c r="G3" s="560"/>
      <c r="H3" s="560"/>
      <c r="I3" s="560"/>
      <c r="J3" s="560"/>
      <c r="K3" s="560"/>
      <c r="L3" s="560"/>
      <c r="M3" s="561"/>
      <c r="N3" s="561"/>
      <c r="O3" s="562"/>
      <c r="P3" s="562"/>
      <c r="Q3" s="562"/>
      <c r="R3" s="561"/>
      <c r="S3" s="560"/>
      <c r="T3" s="560"/>
      <c r="U3" s="560"/>
      <c r="V3" s="560"/>
      <c r="W3" s="560"/>
      <c r="X3" s="560"/>
      <c r="Y3" s="560"/>
      <c r="Z3" s="560"/>
      <c r="AA3" s="560"/>
      <c r="AB3" s="560"/>
      <c r="AC3" s="560"/>
      <c r="AD3" s="560"/>
      <c r="AE3" s="559"/>
      <c r="AF3" s="559"/>
      <c r="AG3" s="559"/>
      <c r="AH3" s="559"/>
      <c r="AI3" s="559"/>
      <c r="AJ3" s="559"/>
      <c r="AK3" s="559"/>
      <c r="AL3" s="560"/>
      <c r="AM3" s="560"/>
      <c r="AN3" s="559"/>
      <c r="AO3" s="559"/>
      <c r="AP3" s="560"/>
      <c r="AQ3" s="560"/>
      <c r="AR3" s="560"/>
      <c r="AS3" s="560"/>
      <c r="AT3" s="560"/>
      <c r="AU3" s="560"/>
      <c r="AV3" s="560"/>
      <c r="AW3" s="560"/>
      <c r="AX3" s="560"/>
      <c r="AY3" s="560"/>
      <c r="BA3" s="560"/>
      <c r="BB3" s="560"/>
      <c r="BC3" s="559"/>
      <c r="BD3" s="560"/>
      <c r="BE3" s="560"/>
      <c r="BF3" s="560"/>
      <c r="BG3" s="669" t="s">
        <v>137</v>
      </c>
      <c r="BH3" s="670">
        <v>5.07</v>
      </c>
      <c r="BI3" s="670"/>
      <c r="BJ3" s="559"/>
      <c r="BK3" s="560"/>
      <c r="BL3" s="560"/>
      <c r="BM3" s="560"/>
      <c r="BN3" s="560"/>
      <c r="BO3" s="560"/>
      <c r="BP3" s="560"/>
      <c r="BQ3" s="560"/>
      <c r="BR3" s="560"/>
      <c r="BS3" s="560"/>
      <c r="BT3" s="560"/>
      <c r="BU3" s="560"/>
      <c r="BV3" s="560"/>
      <c r="BW3" s="560"/>
      <c r="BX3" s="560"/>
      <c r="BY3" s="560"/>
      <c r="BZ3" s="560"/>
      <c r="CA3" s="560"/>
      <c r="CB3" s="560"/>
      <c r="CC3" s="560"/>
    </row>
    <row r="4" spans="1:82" ht="18.75">
      <c r="A4" s="792" t="s">
        <v>118</v>
      </c>
      <c r="B4" s="792"/>
      <c r="C4" s="792"/>
      <c r="D4" s="792"/>
      <c r="E4" s="560"/>
      <c r="F4" s="560"/>
      <c r="G4" s="560"/>
      <c r="H4" s="560"/>
      <c r="I4" s="560"/>
      <c r="J4" s="560"/>
      <c r="K4" s="560"/>
      <c r="L4" s="560"/>
      <c r="M4" s="561"/>
      <c r="N4" s="561"/>
      <c r="O4" s="562"/>
      <c r="P4" s="562"/>
      <c r="Q4" s="562"/>
      <c r="R4" s="561"/>
      <c r="S4" s="560"/>
      <c r="T4" s="560"/>
      <c r="U4" s="560"/>
      <c r="V4" s="560"/>
      <c r="W4" s="560"/>
      <c r="X4" s="560"/>
      <c r="Y4" s="560"/>
      <c r="Z4" s="560"/>
      <c r="AA4" s="560"/>
      <c r="AB4" s="560"/>
      <c r="AC4" s="560"/>
      <c r="AD4" s="560"/>
      <c r="AE4" s="559"/>
      <c r="AF4" s="559"/>
      <c r="AG4" s="559"/>
      <c r="AH4" s="559"/>
      <c r="AI4" s="559"/>
      <c r="AJ4" s="559"/>
      <c r="AK4" s="559"/>
      <c r="AL4" s="560"/>
      <c r="AM4" s="560"/>
      <c r="AN4" s="559"/>
      <c r="AO4" s="559"/>
      <c r="AP4" s="560"/>
      <c r="AQ4" s="560"/>
      <c r="AR4" s="560"/>
      <c r="AS4" s="560"/>
      <c r="AT4" s="560"/>
      <c r="AU4" s="560"/>
      <c r="AV4" s="560"/>
      <c r="AW4" s="560"/>
      <c r="AX4" s="560"/>
      <c r="AY4" s="560"/>
      <c r="BA4" s="560"/>
      <c r="BB4" s="560"/>
      <c r="BC4" s="559"/>
      <c r="BD4" s="560"/>
      <c r="BE4" s="560"/>
      <c r="BF4" s="560"/>
      <c r="BG4" s="669" t="s">
        <v>138</v>
      </c>
      <c r="BH4" s="670">
        <f>BH3/2</f>
        <v>2.5350000000000001</v>
      </c>
      <c r="BI4" s="670">
        <f>BH4*BH4</f>
        <v>6.4262250000000005</v>
      </c>
      <c r="BJ4" s="559"/>
      <c r="BK4" s="560"/>
      <c r="BL4" s="560"/>
      <c r="BM4" s="560"/>
      <c r="BN4" s="560"/>
      <c r="BO4" s="560"/>
      <c r="BP4" s="560"/>
      <c r="BQ4" s="560"/>
      <c r="BR4" s="560"/>
      <c r="BS4" s="560"/>
      <c r="BT4" s="560"/>
      <c r="BU4" s="560"/>
      <c r="BV4" s="560"/>
      <c r="BW4" s="560"/>
      <c r="BX4" s="560"/>
      <c r="BY4" s="560"/>
      <c r="BZ4" s="560"/>
      <c r="CA4" s="560"/>
      <c r="CB4" s="560"/>
      <c r="CC4" s="560"/>
      <c r="CD4" s="560"/>
    </row>
    <row r="5" spans="1:82">
      <c r="A5" s="563"/>
      <c r="B5" s="560"/>
      <c r="C5" s="559"/>
      <c r="D5" s="560"/>
      <c r="E5" s="560"/>
      <c r="F5" s="560"/>
      <c r="G5" s="560"/>
      <c r="H5" s="560"/>
      <c r="I5" s="560"/>
      <c r="J5" s="560"/>
      <c r="K5" s="560"/>
      <c r="L5" s="560"/>
      <c r="M5" s="561"/>
      <c r="N5" s="561"/>
      <c r="O5" s="562"/>
      <c r="P5" s="562"/>
      <c r="Q5" s="562"/>
      <c r="R5" s="561"/>
      <c r="S5" s="560"/>
      <c r="T5" s="560"/>
      <c r="U5" s="560"/>
      <c r="V5" s="560"/>
      <c r="W5" s="564" t="s">
        <v>132</v>
      </c>
      <c r="X5" s="560"/>
      <c r="Y5" s="560"/>
      <c r="Z5" s="560"/>
      <c r="AA5" s="560"/>
      <c r="AB5" s="560"/>
      <c r="AC5" s="560"/>
      <c r="AD5" s="560"/>
      <c r="AE5" s="559"/>
      <c r="AF5" s="559"/>
      <c r="AG5" s="559"/>
      <c r="AH5" s="559"/>
      <c r="AI5" s="559"/>
      <c r="AJ5" s="559"/>
      <c r="AK5" s="559"/>
      <c r="AL5" s="560"/>
      <c r="AM5" s="560"/>
      <c r="AN5" s="559"/>
      <c r="AO5" s="559"/>
      <c r="AP5" s="560"/>
      <c r="AQ5" s="560"/>
      <c r="AR5" s="560"/>
      <c r="AS5" s="560"/>
      <c r="AT5" s="560"/>
      <c r="AU5" s="560"/>
      <c r="AV5" s="560"/>
      <c r="AW5" s="560"/>
      <c r="AX5" s="560"/>
      <c r="AY5" s="560"/>
      <c r="BA5" s="560" t="s">
        <v>145</v>
      </c>
      <c r="BB5" s="560"/>
      <c r="BC5" s="559"/>
      <c r="BD5" s="560"/>
      <c r="BE5" s="560"/>
      <c r="BF5" s="560"/>
      <c r="BG5" s="669" t="s">
        <v>139</v>
      </c>
      <c r="BH5" s="671">
        <f>PI()*BH2*BI4</f>
        <v>103.50685607036536</v>
      </c>
      <c r="BI5" s="670"/>
      <c r="BJ5" s="559"/>
      <c r="BK5" s="560"/>
      <c r="BL5" s="560"/>
      <c r="BM5" s="560"/>
      <c r="BN5" s="560"/>
      <c r="BO5" s="560"/>
      <c r="BP5" s="560"/>
      <c r="BQ5" s="560"/>
      <c r="BR5" s="560"/>
      <c r="BS5" s="560"/>
      <c r="BT5" s="560"/>
      <c r="BU5" s="560"/>
      <c r="BV5" s="560"/>
      <c r="BW5" s="560"/>
      <c r="BX5" s="560"/>
      <c r="BY5" s="560"/>
      <c r="BZ5" s="560"/>
      <c r="CA5" s="560"/>
      <c r="CB5" s="560"/>
      <c r="CC5" s="560"/>
      <c r="CD5" s="560"/>
    </row>
    <row r="6" spans="1:82" s="73" customFormat="1" ht="21" customHeight="1">
      <c r="A6" s="565" t="s">
        <v>134</v>
      </c>
      <c r="B6" s="566" t="s">
        <v>124</v>
      </c>
      <c r="C6" s="567" t="s">
        <v>119</v>
      </c>
      <c r="D6" s="568" t="s">
        <v>111</v>
      </c>
      <c r="E6" s="569"/>
      <c r="F6" s="569"/>
      <c r="G6" s="570"/>
      <c r="H6" s="566" t="s">
        <v>124</v>
      </c>
      <c r="I6" s="568" t="s">
        <v>119</v>
      </c>
      <c r="J6" s="568" t="s">
        <v>111</v>
      </c>
      <c r="K6" s="569"/>
      <c r="L6" s="569"/>
      <c r="M6" s="571" t="s">
        <v>124</v>
      </c>
      <c r="N6" s="568" t="s">
        <v>119</v>
      </c>
      <c r="O6" s="567" t="s">
        <v>111</v>
      </c>
      <c r="P6" s="562"/>
      <c r="Q6" s="562"/>
      <c r="R6" s="571" t="s">
        <v>124</v>
      </c>
      <c r="S6" s="568" t="s">
        <v>119</v>
      </c>
      <c r="T6" s="568" t="s">
        <v>111</v>
      </c>
      <c r="U6" s="806" t="s">
        <v>1014</v>
      </c>
      <c r="V6" s="806"/>
      <c r="W6" s="565" t="s">
        <v>133</v>
      </c>
      <c r="X6" s="571" t="s">
        <v>124</v>
      </c>
      <c r="Y6" s="568" t="s">
        <v>119</v>
      </c>
      <c r="Z6" s="568" t="s">
        <v>111</v>
      </c>
      <c r="AA6" s="569"/>
      <c r="AB6" s="569"/>
      <c r="AC6" s="665"/>
      <c r="AD6" s="570"/>
      <c r="AE6" s="566" t="s">
        <v>124</v>
      </c>
      <c r="AF6" s="568" t="s">
        <v>119</v>
      </c>
      <c r="AG6" s="568" t="s">
        <v>111</v>
      </c>
      <c r="AH6" s="665"/>
      <c r="AI6" s="665"/>
      <c r="AJ6" s="665"/>
      <c r="AK6" s="570"/>
      <c r="AL6" s="571" t="s">
        <v>124</v>
      </c>
      <c r="AM6" s="568" t="s">
        <v>119</v>
      </c>
      <c r="AN6" s="568" t="s">
        <v>111</v>
      </c>
      <c r="AO6" s="665"/>
      <c r="AP6" s="569"/>
      <c r="AQ6" s="569"/>
      <c r="AR6" s="700"/>
      <c r="AS6" s="571" t="s">
        <v>124</v>
      </c>
      <c r="AT6" s="568" t="s">
        <v>119</v>
      </c>
      <c r="AU6" s="568" t="s">
        <v>111</v>
      </c>
      <c r="AV6" s="569"/>
      <c r="AW6" s="569"/>
      <c r="AX6" s="569"/>
      <c r="AY6" s="700"/>
      <c r="AZ6" s="565" t="s">
        <v>141</v>
      </c>
      <c r="BA6" s="566" t="s">
        <v>124</v>
      </c>
      <c r="BB6" s="568" t="s">
        <v>119</v>
      </c>
      <c r="BC6" s="568" t="s">
        <v>111</v>
      </c>
      <c r="BD6" s="569"/>
      <c r="BE6" s="569"/>
      <c r="BF6" s="569"/>
      <c r="BG6" s="569"/>
      <c r="BH6" s="571" t="s">
        <v>124</v>
      </c>
      <c r="BI6" s="567" t="s">
        <v>119</v>
      </c>
      <c r="BJ6" s="567" t="s">
        <v>111</v>
      </c>
      <c r="BK6" s="665"/>
      <c r="BL6" s="665"/>
      <c r="BM6" s="665"/>
      <c r="BN6" s="665"/>
      <c r="BO6" s="570"/>
      <c r="BP6" s="571" t="s">
        <v>124</v>
      </c>
      <c r="BQ6" s="568" t="s">
        <v>119</v>
      </c>
      <c r="BR6" s="568" t="s">
        <v>111</v>
      </c>
      <c r="BS6" s="665"/>
      <c r="BT6" s="569"/>
      <c r="BU6" s="569"/>
      <c r="BV6" s="672" t="s">
        <v>124</v>
      </c>
      <c r="BW6" s="567" t="s">
        <v>119</v>
      </c>
      <c r="BX6" s="567" t="s">
        <v>111</v>
      </c>
      <c r="BY6" s="559"/>
      <c r="BZ6" s="559"/>
      <c r="CA6" s="559"/>
      <c r="CB6" s="570"/>
      <c r="CC6" s="569"/>
      <c r="CD6" s="569"/>
    </row>
    <row r="7" spans="1:82" s="73" customFormat="1" ht="30" customHeight="1">
      <c r="A7" s="565"/>
      <c r="B7" s="572" t="s">
        <v>63</v>
      </c>
      <c r="C7" s="573" t="s">
        <v>3</v>
      </c>
      <c r="D7" s="574" t="s">
        <v>112</v>
      </c>
      <c r="E7" s="569"/>
      <c r="F7" s="569"/>
      <c r="G7" s="570"/>
      <c r="H7" s="566" t="s">
        <v>63</v>
      </c>
      <c r="I7" s="566" t="s">
        <v>3</v>
      </c>
      <c r="J7" s="575" t="s">
        <v>114</v>
      </c>
      <c r="K7" s="569"/>
      <c r="L7" s="569"/>
      <c r="M7" s="571" t="s">
        <v>63</v>
      </c>
      <c r="N7" s="576" t="s">
        <v>115</v>
      </c>
      <c r="O7" s="577" t="s">
        <v>5</v>
      </c>
      <c r="P7" s="562"/>
      <c r="Q7" s="562"/>
      <c r="R7" s="571" t="s">
        <v>63</v>
      </c>
      <c r="S7" s="576" t="s">
        <v>115</v>
      </c>
      <c r="T7" s="575" t="s">
        <v>4</v>
      </c>
      <c r="U7" s="810"/>
      <c r="V7" s="810"/>
      <c r="W7" s="565"/>
      <c r="X7" s="578" t="s">
        <v>63</v>
      </c>
      <c r="Y7" s="572" t="s">
        <v>3</v>
      </c>
      <c r="Z7" s="574" t="s">
        <v>112</v>
      </c>
      <c r="AA7" s="569"/>
      <c r="AB7" s="569"/>
      <c r="AC7" s="665"/>
      <c r="AD7" s="570"/>
      <c r="AE7" s="566" t="s">
        <v>63</v>
      </c>
      <c r="AF7" s="566" t="s">
        <v>3</v>
      </c>
      <c r="AG7" s="575" t="s">
        <v>114</v>
      </c>
      <c r="AH7" s="665"/>
      <c r="AI7" s="677"/>
      <c r="AJ7" s="665"/>
      <c r="AK7" s="570"/>
      <c r="AL7" s="571" t="s">
        <v>63</v>
      </c>
      <c r="AM7" s="676" t="s">
        <v>115</v>
      </c>
      <c r="AN7" s="575" t="s">
        <v>5</v>
      </c>
      <c r="AO7" s="665"/>
      <c r="AP7" s="677"/>
      <c r="AQ7" s="569"/>
      <c r="AR7" s="700"/>
      <c r="AS7" s="571" t="s">
        <v>63</v>
      </c>
      <c r="AT7" s="676" t="s">
        <v>115</v>
      </c>
      <c r="AU7" s="575" t="s">
        <v>4</v>
      </c>
      <c r="AV7" s="802"/>
      <c r="AW7" s="802"/>
      <c r="AX7" s="569"/>
      <c r="AY7" s="700"/>
      <c r="AZ7" s="565"/>
      <c r="BA7" s="566" t="s">
        <v>63</v>
      </c>
      <c r="BB7" s="566" t="s">
        <v>3</v>
      </c>
      <c r="BC7" s="575" t="s">
        <v>112</v>
      </c>
      <c r="BD7" s="665"/>
      <c r="BE7" s="569"/>
      <c r="BF7" s="673"/>
      <c r="BG7" s="674"/>
      <c r="BH7" s="571" t="s">
        <v>63</v>
      </c>
      <c r="BI7" s="675" t="s">
        <v>3</v>
      </c>
      <c r="BJ7" s="615" t="s">
        <v>114</v>
      </c>
      <c r="BK7" s="665" t="s">
        <v>143</v>
      </c>
      <c r="BL7" s="665"/>
      <c r="BM7" s="665"/>
      <c r="BN7" s="665"/>
      <c r="BO7" s="570"/>
      <c r="BP7" s="571" t="s">
        <v>63</v>
      </c>
      <c r="BQ7" s="676" t="s">
        <v>115</v>
      </c>
      <c r="BR7" s="575" t="s">
        <v>5</v>
      </c>
      <c r="BS7" s="665"/>
      <c r="BT7" s="677"/>
      <c r="BU7" s="569"/>
      <c r="BV7" s="672" t="s">
        <v>63</v>
      </c>
      <c r="BW7" s="678" t="s">
        <v>115</v>
      </c>
      <c r="BX7" s="615" t="s">
        <v>4</v>
      </c>
      <c r="BY7" s="806" t="s">
        <v>1046</v>
      </c>
      <c r="BZ7" s="806"/>
      <c r="CA7" s="559"/>
      <c r="CB7" s="570"/>
      <c r="CC7" s="569"/>
      <c r="CD7" s="569"/>
    </row>
    <row r="8" spans="1:82" ht="42.75" customHeight="1">
      <c r="A8" s="564"/>
      <c r="B8" s="579" t="s">
        <v>122</v>
      </c>
      <c r="C8" s="580" t="s">
        <v>121</v>
      </c>
      <c r="D8" s="581" t="s">
        <v>1016</v>
      </c>
      <c r="E8" s="796" t="s">
        <v>1013</v>
      </c>
      <c r="F8" s="796"/>
      <c r="G8" s="797"/>
      <c r="H8" s="582" t="s">
        <v>121</v>
      </c>
      <c r="I8" s="581" t="s">
        <v>1016</v>
      </c>
      <c r="J8" s="796" t="s">
        <v>1013</v>
      </c>
      <c r="K8" s="796"/>
      <c r="L8" s="797"/>
      <c r="M8" s="582" t="s">
        <v>121</v>
      </c>
      <c r="N8" s="581" t="s">
        <v>1016</v>
      </c>
      <c r="O8" s="796" t="s">
        <v>1013</v>
      </c>
      <c r="P8" s="796"/>
      <c r="Q8" s="797"/>
      <c r="R8" s="582" t="s">
        <v>121</v>
      </c>
      <c r="S8" s="581" t="s">
        <v>1016</v>
      </c>
      <c r="T8" s="796" t="s">
        <v>1013</v>
      </c>
      <c r="U8" s="796"/>
      <c r="V8" s="797"/>
      <c r="W8" s="564"/>
      <c r="X8" s="582" t="s">
        <v>121</v>
      </c>
      <c r="Y8" s="584" t="s">
        <v>126</v>
      </c>
      <c r="Z8" s="583" t="s">
        <v>127</v>
      </c>
      <c r="AA8" s="583" t="s">
        <v>128</v>
      </c>
      <c r="AB8" s="694" t="s">
        <v>129</v>
      </c>
      <c r="AC8" s="583" t="s">
        <v>130</v>
      </c>
      <c r="AD8" s="701" t="s">
        <v>131</v>
      </c>
      <c r="AE8" s="582" t="s">
        <v>121</v>
      </c>
      <c r="AF8" s="694" t="s">
        <v>126</v>
      </c>
      <c r="AG8" s="583" t="s">
        <v>127</v>
      </c>
      <c r="AH8" s="583" t="s">
        <v>128</v>
      </c>
      <c r="AI8" s="694" t="s">
        <v>129</v>
      </c>
      <c r="AJ8" s="583" t="s">
        <v>130</v>
      </c>
      <c r="AK8" s="701" t="s">
        <v>131</v>
      </c>
      <c r="AL8" s="582" t="s">
        <v>121</v>
      </c>
      <c r="AM8" s="694" t="s">
        <v>126</v>
      </c>
      <c r="AN8" s="583" t="s">
        <v>127</v>
      </c>
      <c r="AO8" s="583" t="s">
        <v>128</v>
      </c>
      <c r="AP8" s="694" t="s">
        <v>129</v>
      </c>
      <c r="AQ8" s="583" t="s">
        <v>130</v>
      </c>
      <c r="AR8" s="696" t="s">
        <v>131</v>
      </c>
      <c r="AS8" s="582" t="s">
        <v>121</v>
      </c>
      <c r="AT8" s="694" t="s">
        <v>126</v>
      </c>
      <c r="AU8" s="695" t="s">
        <v>127</v>
      </c>
      <c r="AV8" s="695" t="s">
        <v>128</v>
      </c>
      <c r="AW8" s="694" t="s">
        <v>129</v>
      </c>
      <c r="AX8" s="583" t="s">
        <v>130</v>
      </c>
      <c r="AY8" s="696" t="s">
        <v>131</v>
      </c>
      <c r="AZ8" s="697"/>
      <c r="BA8" s="648" t="s">
        <v>121</v>
      </c>
      <c r="BB8" s="583" t="s">
        <v>143</v>
      </c>
      <c r="BC8" s="583" t="s">
        <v>888</v>
      </c>
      <c r="BD8" s="583" t="s">
        <v>1045</v>
      </c>
      <c r="BE8" s="583" t="s">
        <v>1044</v>
      </c>
      <c r="BF8" s="666" t="s">
        <v>1051</v>
      </c>
      <c r="BG8" s="666" t="s">
        <v>1052</v>
      </c>
      <c r="BH8" s="648" t="s">
        <v>121</v>
      </c>
      <c r="BI8" s="583" t="s">
        <v>143</v>
      </c>
      <c r="BJ8" s="583" t="s">
        <v>888</v>
      </c>
      <c r="BK8" s="583" t="s">
        <v>1045</v>
      </c>
      <c r="BL8" s="583" t="s">
        <v>1044</v>
      </c>
      <c r="BM8" s="666" t="s">
        <v>1051</v>
      </c>
      <c r="BN8" s="666" t="s">
        <v>1052</v>
      </c>
      <c r="BO8" s="648" t="s">
        <v>121</v>
      </c>
      <c r="BP8" s="583" t="s">
        <v>143</v>
      </c>
      <c r="BQ8" s="583" t="s">
        <v>888</v>
      </c>
      <c r="BR8" s="583" t="s">
        <v>1045</v>
      </c>
      <c r="BS8" s="583" t="s">
        <v>1044</v>
      </c>
      <c r="BT8" s="666" t="s">
        <v>1051</v>
      </c>
      <c r="BU8" s="666" t="s">
        <v>1052</v>
      </c>
      <c r="BV8" s="648" t="s">
        <v>121</v>
      </c>
      <c r="BW8" s="583" t="s">
        <v>143</v>
      </c>
      <c r="BX8" s="583" t="s">
        <v>888</v>
      </c>
      <c r="BY8" s="583" t="s">
        <v>1045</v>
      </c>
      <c r="BZ8" s="583" t="s">
        <v>1044</v>
      </c>
      <c r="CA8" s="666" t="s">
        <v>1051</v>
      </c>
      <c r="CB8" s="666" t="s">
        <v>1052</v>
      </c>
      <c r="CC8" s="560"/>
      <c r="CD8" s="560"/>
    </row>
    <row r="9" spans="1:82" ht="15.75">
      <c r="A9" s="564"/>
      <c r="B9" s="585" t="s">
        <v>120</v>
      </c>
      <c r="C9" s="586">
        <v>0</v>
      </c>
      <c r="D9" s="587">
        <v>447.53</v>
      </c>
      <c r="E9" s="562">
        <v>0</v>
      </c>
      <c r="F9" s="562">
        <v>0</v>
      </c>
      <c r="G9" s="588">
        <v>0</v>
      </c>
      <c r="H9" s="589">
        <v>0</v>
      </c>
      <c r="I9" s="590">
        <v>453.23</v>
      </c>
      <c r="J9" s="562">
        <v>0</v>
      </c>
      <c r="K9" s="559">
        <v>0</v>
      </c>
      <c r="L9" s="559">
        <v>0</v>
      </c>
      <c r="M9" s="589">
        <v>0</v>
      </c>
      <c r="N9" s="562">
        <v>462.66</v>
      </c>
      <c r="O9" s="562">
        <v>0</v>
      </c>
      <c r="P9" s="559">
        <v>0</v>
      </c>
      <c r="Q9" s="559">
        <v>0</v>
      </c>
      <c r="R9" s="589">
        <v>0</v>
      </c>
      <c r="S9" s="562">
        <v>451.09</v>
      </c>
      <c r="T9" s="562">
        <v>0</v>
      </c>
      <c r="U9" s="559">
        <v>0</v>
      </c>
      <c r="V9" s="559">
        <v>0</v>
      </c>
      <c r="W9" s="564"/>
      <c r="X9" s="591">
        <v>0</v>
      </c>
      <c r="Y9" s="592">
        <f t="shared" ref="Y9:Y24" si="0">AVERAGE(E9:G9)/10</f>
        <v>0</v>
      </c>
      <c r="Z9" s="593">
        <v>9.6440000000000001</v>
      </c>
      <c r="AA9" s="593">
        <v>4.5170000000000003</v>
      </c>
      <c r="AB9" s="593">
        <f t="shared" ref="AB9:AB24" si="1">Z9-(AA9+Y9)</f>
        <v>5.1269999999999998</v>
      </c>
      <c r="AC9" s="593">
        <f t="shared" ref="AC9:AC24" si="2">3*Z9+AA9+Y9</f>
        <v>33.449000000000005</v>
      </c>
      <c r="AD9" s="653">
        <f t="shared" ref="AD9:AD24" si="3">1.398*(10^-6)*(X9^2)*AB9*AC9</f>
        <v>0</v>
      </c>
      <c r="AE9" s="617">
        <v>0</v>
      </c>
      <c r="AF9" s="595">
        <f t="shared" ref="AF9:AF24" si="4">AVERAGE(J9:L9)/10</f>
        <v>0</v>
      </c>
      <c r="AG9" s="593">
        <v>9.6440000000000001</v>
      </c>
      <c r="AH9" s="593">
        <v>4.5170000000000003</v>
      </c>
      <c r="AI9" s="593">
        <f t="shared" ref="AI9:AI24" si="5">AG9-(AH9+AF9)</f>
        <v>5.1269999999999998</v>
      </c>
      <c r="AJ9" s="593">
        <f t="shared" ref="AJ9:AJ24" si="6">3*AG9+AH9+AF9</f>
        <v>33.449000000000005</v>
      </c>
      <c r="AK9" s="653">
        <f t="shared" ref="AK9:AK24" si="7">1.398*(10^-6)*(AE9^2)*AI9*AJ9</f>
        <v>0</v>
      </c>
      <c r="AL9" s="617">
        <v>0</v>
      </c>
      <c r="AM9" s="595">
        <f t="shared" ref="AM9:AM24" si="8">AVERAGE(O9:Q9)/10</f>
        <v>0</v>
      </c>
      <c r="AN9" s="593">
        <v>9.6440000000000001</v>
      </c>
      <c r="AO9" s="593">
        <v>4.5170000000000003</v>
      </c>
      <c r="AP9" s="593">
        <f t="shared" ref="AP9:AP24" si="9">AN9-(AO9+AM9)</f>
        <v>5.1269999999999998</v>
      </c>
      <c r="AQ9" s="593">
        <f t="shared" ref="AQ9:AQ24" si="10">3*AN9+AO9+AM9</f>
        <v>33.449000000000005</v>
      </c>
      <c r="AR9" s="698">
        <f t="shared" ref="AR9:AR24" si="11">1.398*(10^-6)*(AL9^2)*AP9*AQ9</f>
        <v>0</v>
      </c>
      <c r="AS9" s="591">
        <v>0</v>
      </c>
      <c r="AT9" s="595">
        <f t="shared" ref="AT9:AT24" si="12">AVERAGE(T9:V9)/10</f>
        <v>0</v>
      </c>
      <c r="AU9" s="593">
        <v>9.6440000000000001</v>
      </c>
      <c r="AV9" s="593">
        <v>4.5170000000000003</v>
      </c>
      <c r="AW9" s="593">
        <f t="shared" ref="AW9:AW24" si="13">AU9-(AV9+AT9)</f>
        <v>5.1269999999999998</v>
      </c>
      <c r="AX9" s="593">
        <f t="shared" ref="AX9:AX24" si="14">3*AU9+AV9+AT9</f>
        <v>33.449000000000005</v>
      </c>
      <c r="AY9" s="698">
        <f t="shared" ref="AY9:AY24" si="15">1.398*(10^-6)*(AS9^2)*AW9*AX9</f>
        <v>0</v>
      </c>
      <c r="AZ9" s="697"/>
      <c r="BA9" s="591">
        <v>0</v>
      </c>
      <c r="BB9" s="593">
        <v>103.50685607036536</v>
      </c>
      <c r="BC9" s="667">
        <f>(BB27-BB28)/BB9</f>
        <v>1.1481365052688972</v>
      </c>
      <c r="BD9" s="667">
        <f>D9-BB25</f>
        <v>41.359999999999957</v>
      </c>
      <c r="BE9" s="667">
        <f>BB27-BB28</f>
        <v>118.84000000000002</v>
      </c>
      <c r="BF9" s="667">
        <f t="shared" ref="BF9:BF24" si="16">BD9/BE9*100</f>
        <v>34.803096600471179</v>
      </c>
      <c r="BG9" s="668">
        <f t="shared" ref="BG9:BG24" si="17">BF9*BC9</f>
        <v>39.958705703400817</v>
      </c>
      <c r="BH9" s="591">
        <v>0</v>
      </c>
      <c r="BI9" s="593">
        <v>103.50685607036536</v>
      </c>
      <c r="BJ9" s="667">
        <f>(BI27-BI28)/BI9</f>
        <v>1.2437823433887396</v>
      </c>
      <c r="BK9" s="667">
        <f t="shared" ref="BK9:BK24" si="18">I9-415.6</f>
        <v>37.629999999999995</v>
      </c>
      <c r="BL9" s="667">
        <f>BI27-BI28</f>
        <v>128.74</v>
      </c>
      <c r="BM9" s="667">
        <f t="shared" ref="BM9:BM24" si="19">BK9/BL9*100</f>
        <v>29.229454714929311</v>
      </c>
      <c r="BN9" s="668">
        <f t="shared" ref="BN9:BN24" si="20">BM9*BJ9</f>
        <v>36.355079681309824</v>
      </c>
      <c r="BO9" s="617">
        <v>0</v>
      </c>
      <c r="BP9" s="679">
        <v>103.50685607036536</v>
      </c>
      <c r="BQ9" s="667">
        <f>(BP27-BP28)/BP9</f>
        <v>1.3366264347353747</v>
      </c>
      <c r="BR9" s="667">
        <f t="shared" ref="BR9:BR24" si="21">N9-426.59</f>
        <v>36.07000000000005</v>
      </c>
      <c r="BS9" s="667">
        <f>BP27-BP28</f>
        <v>138.35000000000002</v>
      </c>
      <c r="BT9" s="667">
        <f t="shared" ref="BT9:BT24" si="22">BR9/BS9*100</f>
        <v>26.071557643657421</v>
      </c>
      <c r="BU9" s="680">
        <f t="shared" ref="BU9:BU24" si="23">BT9*BQ9</f>
        <v>34.847933141239622</v>
      </c>
      <c r="BV9" s="591">
        <v>0</v>
      </c>
      <c r="BW9" s="593">
        <v>103.50685607036536</v>
      </c>
      <c r="BX9" s="667">
        <f>(BW27-BW28)/BW9</f>
        <v>1.1880372437976798</v>
      </c>
      <c r="BY9" s="667">
        <f t="shared" ref="BY9:BY24" si="24">S9-409.49</f>
        <v>41.599999999999966</v>
      </c>
      <c r="BZ9" s="667">
        <f>BW27-BW28</f>
        <v>122.97</v>
      </c>
      <c r="CA9" s="667">
        <f t="shared" ref="CA9:CA24" si="25">BY9/BZ9*100</f>
        <v>33.829389281938653</v>
      </c>
      <c r="CB9" s="668">
        <f t="shared" ref="CB9:CB24" si="26">CA9*BX9</f>
        <v>40.190574401873171</v>
      </c>
      <c r="CC9" s="560"/>
      <c r="CD9" s="560"/>
    </row>
    <row r="10" spans="1:82" ht="15.75">
      <c r="A10" s="564"/>
      <c r="B10" s="585" t="s">
        <v>116</v>
      </c>
      <c r="C10" s="586">
        <v>350</v>
      </c>
      <c r="D10" s="594">
        <v>445.05</v>
      </c>
      <c r="E10" s="595">
        <v>2.59</v>
      </c>
      <c r="F10" s="595">
        <v>2.4300000000000002</v>
      </c>
      <c r="G10" s="596">
        <v>3.11</v>
      </c>
      <c r="H10" s="589">
        <v>350</v>
      </c>
      <c r="I10" s="562">
        <v>451.69</v>
      </c>
      <c r="J10" s="562">
        <v>2.81</v>
      </c>
      <c r="K10" s="562">
        <v>3.41</v>
      </c>
      <c r="L10" s="562">
        <v>3.19</v>
      </c>
      <c r="M10" s="589">
        <v>350</v>
      </c>
      <c r="N10" s="562">
        <v>460.45</v>
      </c>
      <c r="O10" s="562">
        <v>4.17</v>
      </c>
      <c r="P10" s="562">
        <v>3.08</v>
      </c>
      <c r="Q10" s="562">
        <v>3.47</v>
      </c>
      <c r="R10" s="589">
        <v>350</v>
      </c>
      <c r="S10" s="562">
        <v>445.95</v>
      </c>
      <c r="T10" s="562">
        <v>3.34</v>
      </c>
      <c r="U10" s="562">
        <v>4.18</v>
      </c>
      <c r="V10" s="597">
        <v>3.82</v>
      </c>
      <c r="W10" s="564"/>
      <c r="X10" s="591">
        <v>350</v>
      </c>
      <c r="Y10" s="592">
        <f t="shared" si="0"/>
        <v>0.27099999999999996</v>
      </c>
      <c r="Z10" s="593">
        <v>9.6440000000000001</v>
      </c>
      <c r="AA10" s="593">
        <v>4.5170000000000003</v>
      </c>
      <c r="AB10" s="593">
        <f t="shared" si="1"/>
        <v>4.8559999999999999</v>
      </c>
      <c r="AC10" s="593">
        <f t="shared" si="2"/>
        <v>33.720000000000006</v>
      </c>
      <c r="AD10" s="653">
        <f t="shared" si="3"/>
        <v>28.042033521600001</v>
      </c>
      <c r="AE10" s="617">
        <v>350</v>
      </c>
      <c r="AF10" s="595">
        <f t="shared" si="4"/>
        <v>0.31366666666666665</v>
      </c>
      <c r="AG10" s="593">
        <v>9.6440000000000001</v>
      </c>
      <c r="AH10" s="593">
        <v>4.5170000000000003</v>
      </c>
      <c r="AI10" s="593">
        <f t="shared" si="5"/>
        <v>4.8133333333333335</v>
      </c>
      <c r="AJ10" s="593">
        <f t="shared" si="6"/>
        <v>33.762666666666675</v>
      </c>
      <c r="AK10" s="653">
        <f t="shared" si="7"/>
        <v>27.830815977066667</v>
      </c>
      <c r="AL10" s="617">
        <v>350</v>
      </c>
      <c r="AM10" s="595">
        <f t="shared" si="8"/>
        <v>0.35733333333333339</v>
      </c>
      <c r="AN10" s="593">
        <v>9.6440000000000001</v>
      </c>
      <c r="AO10" s="593">
        <v>4.5170000000000003</v>
      </c>
      <c r="AP10" s="593">
        <f t="shared" si="9"/>
        <v>4.7696666666666667</v>
      </c>
      <c r="AQ10" s="593">
        <f t="shared" si="10"/>
        <v>33.806333333333342</v>
      </c>
      <c r="AR10" s="698">
        <f t="shared" si="11"/>
        <v>27.614002409011668</v>
      </c>
      <c r="AS10" s="591">
        <v>350</v>
      </c>
      <c r="AT10" s="595">
        <f t="shared" si="12"/>
        <v>0.378</v>
      </c>
      <c r="AU10" s="593">
        <v>9.6440000000000001</v>
      </c>
      <c r="AV10" s="593">
        <v>4.5170000000000003</v>
      </c>
      <c r="AW10" s="593">
        <f t="shared" si="13"/>
        <v>4.7489999999999997</v>
      </c>
      <c r="AX10" s="593">
        <f t="shared" si="14"/>
        <v>33.827000000000005</v>
      </c>
      <c r="AY10" s="698">
        <f t="shared" si="15"/>
        <v>27.511160660864995</v>
      </c>
      <c r="AZ10" s="697"/>
      <c r="BA10" s="591">
        <v>350</v>
      </c>
      <c r="BB10" s="593">
        <v>103.50685607036536</v>
      </c>
      <c r="BC10" s="667">
        <v>1.1481365052688972</v>
      </c>
      <c r="BD10" s="667">
        <f>D10-BB25</f>
        <v>38.879999999999995</v>
      </c>
      <c r="BE10" s="667">
        <f>BB27-BB28</f>
        <v>118.84000000000002</v>
      </c>
      <c r="BF10" s="667">
        <f t="shared" si="16"/>
        <v>32.716257152473901</v>
      </c>
      <c r="BG10" s="668">
        <f t="shared" si="17"/>
        <v>37.56272915251995</v>
      </c>
      <c r="BH10" s="591">
        <v>350</v>
      </c>
      <c r="BI10" s="593">
        <v>103.50685607036536</v>
      </c>
      <c r="BJ10" s="667">
        <v>1.2437823433887396</v>
      </c>
      <c r="BK10" s="667">
        <f t="shared" si="18"/>
        <v>36.089999999999975</v>
      </c>
      <c r="BL10" s="667">
        <f>BI27-BI28</f>
        <v>128.74</v>
      </c>
      <c r="BM10" s="667">
        <f t="shared" si="19"/>
        <v>28.033245300605852</v>
      </c>
      <c r="BN10" s="668">
        <f t="shared" si="20"/>
        <v>34.86725553277892</v>
      </c>
      <c r="BO10" s="617">
        <v>350</v>
      </c>
      <c r="BP10" s="679">
        <v>103.50685607036536</v>
      </c>
      <c r="BQ10" s="667">
        <v>1.3366264347353747</v>
      </c>
      <c r="BR10" s="667">
        <f t="shared" si="21"/>
        <v>33.860000000000014</v>
      </c>
      <c r="BS10" s="667">
        <f>BP27-BP28</f>
        <v>138.35000000000002</v>
      </c>
      <c r="BT10" s="667">
        <f t="shared" si="22"/>
        <v>24.474159739790394</v>
      </c>
      <c r="BU10" s="680">
        <f t="shared" si="23"/>
        <v>32.71280887614008</v>
      </c>
      <c r="BV10" s="591">
        <v>350</v>
      </c>
      <c r="BW10" s="593">
        <v>103.50685607036536</v>
      </c>
      <c r="BX10" s="667">
        <v>1.1880372437976798</v>
      </c>
      <c r="BY10" s="667">
        <f t="shared" si="24"/>
        <v>36.45999999999998</v>
      </c>
      <c r="BZ10" s="667">
        <f>BW27-BW28</f>
        <v>122.97</v>
      </c>
      <c r="CA10" s="667">
        <f t="shared" si="25"/>
        <v>29.649508010083743</v>
      </c>
      <c r="CB10" s="668">
        <f t="shared" si="26"/>
        <v>35.224719776257118</v>
      </c>
      <c r="CC10" s="681"/>
      <c r="CD10" s="681"/>
    </row>
    <row r="11" spans="1:82" ht="15.75">
      <c r="A11" s="564"/>
      <c r="B11" s="585" t="s">
        <v>116</v>
      </c>
      <c r="C11" s="586">
        <v>450</v>
      </c>
      <c r="D11" s="594">
        <v>443.75</v>
      </c>
      <c r="E11" s="595">
        <v>2.58</v>
      </c>
      <c r="F11" s="595">
        <v>3.46</v>
      </c>
      <c r="G11" s="596">
        <v>4</v>
      </c>
      <c r="H11" s="589">
        <v>450</v>
      </c>
      <c r="I11" s="562">
        <v>450.3</v>
      </c>
      <c r="J11" s="562">
        <v>3.72</v>
      </c>
      <c r="K11" s="562">
        <v>3.73</v>
      </c>
      <c r="L11" s="562">
        <v>3.53</v>
      </c>
      <c r="M11" s="589">
        <v>450</v>
      </c>
      <c r="N11" s="562">
        <v>458.93</v>
      </c>
      <c r="O11" s="562">
        <v>4.8099999999999996</v>
      </c>
      <c r="P11" s="562">
        <v>4.25</v>
      </c>
      <c r="Q11" s="562">
        <v>4.88</v>
      </c>
      <c r="R11" s="589">
        <v>450</v>
      </c>
      <c r="S11" s="562">
        <v>443.24</v>
      </c>
      <c r="T11" s="562">
        <v>3.95</v>
      </c>
      <c r="U11" s="562">
        <v>5.04</v>
      </c>
      <c r="V11" s="597">
        <v>4.58</v>
      </c>
      <c r="W11" s="564"/>
      <c r="X11" s="598">
        <v>450</v>
      </c>
      <c r="Y11" s="592">
        <f t="shared" si="0"/>
        <v>0.33466666666666661</v>
      </c>
      <c r="Z11" s="593">
        <v>9.6440000000000001</v>
      </c>
      <c r="AA11" s="593">
        <v>4.5170000000000003</v>
      </c>
      <c r="AB11" s="593">
        <f t="shared" si="1"/>
        <v>4.7923333333333336</v>
      </c>
      <c r="AC11" s="593">
        <f t="shared" si="2"/>
        <v>33.783666666666669</v>
      </c>
      <c r="AD11" s="653">
        <f t="shared" si="3"/>
        <v>45.833814250784997</v>
      </c>
      <c r="AE11" s="621">
        <v>450</v>
      </c>
      <c r="AF11" s="595">
        <f t="shared" si="4"/>
        <v>0.36599999999999999</v>
      </c>
      <c r="AG11" s="593">
        <v>9.6440000000000001</v>
      </c>
      <c r="AH11" s="593">
        <v>4.5170000000000003</v>
      </c>
      <c r="AI11" s="593">
        <f t="shared" si="5"/>
        <v>4.7610000000000001</v>
      </c>
      <c r="AJ11" s="593">
        <f t="shared" si="6"/>
        <v>33.815000000000005</v>
      </c>
      <c r="AK11" s="653">
        <f t="shared" si="7"/>
        <v>45.576374200425001</v>
      </c>
      <c r="AL11" s="621">
        <v>450</v>
      </c>
      <c r="AM11" s="595">
        <f t="shared" si="8"/>
        <v>0.46466666666666656</v>
      </c>
      <c r="AN11" s="593">
        <v>9.6440000000000001</v>
      </c>
      <c r="AO11" s="593">
        <v>4.5170000000000003</v>
      </c>
      <c r="AP11" s="593">
        <f t="shared" si="9"/>
        <v>4.6623333333333328</v>
      </c>
      <c r="AQ11" s="593">
        <f t="shared" si="10"/>
        <v>33.913666666666671</v>
      </c>
      <c r="AR11" s="698">
        <f t="shared" si="11"/>
        <v>44.762080748984985</v>
      </c>
      <c r="AS11" s="598">
        <v>450</v>
      </c>
      <c r="AT11" s="595">
        <f t="shared" si="12"/>
        <v>0.45233333333333337</v>
      </c>
      <c r="AU11" s="593">
        <v>9.6440000000000001</v>
      </c>
      <c r="AV11" s="593">
        <v>4.5170000000000003</v>
      </c>
      <c r="AW11" s="593">
        <f t="shared" si="13"/>
        <v>4.6746666666666661</v>
      </c>
      <c r="AX11" s="593">
        <f t="shared" si="14"/>
        <v>33.901333333333341</v>
      </c>
      <c r="AY11" s="698">
        <f t="shared" si="15"/>
        <v>44.864168863679993</v>
      </c>
      <c r="AZ11" s="697"/>
      <c r="BA11" s="598">
        <v>450</v>
      </c>
      <c r="BB11" s="593">
        <v>103.50685607036536</v>
      </c>
      <c r="BC11" s="667">
        <v>1.1481365052688972</v>
      </c>
      <c r="BD11" s="667">
        <f>D11-BB25</f>
        <v>37.579999999999984</v>
      </c>
      <c r="BE11" s="667">
        <f>BB27-BB28</f>
        <v>118.84000000000002</v>
      </c>
      <c r="BF11" s="667">
        <f t="shared" si="16"/>
        <v>31.62234937731402</v>
      </c>
      <c r="BG11" s="668">
        <f t="shared" si="17"/>
        <v>36.306773702461406</v>
      </c>
      <c r="BH11" s="598">
        <v>450</v>
      </c>
      <c r="BI11" s="593">
        <v>103.50685607036536</v>
      </c>
      <c r="BJ11" s="667">
        <v>1.2437823433887396</v>
      </c>
      <c r="BK11" s="667">
        <f t="shared" si="18"/>
        <v>34.699999999999989</v>
      </c>
      <c r="BL11" s="667">
        <f>BI27-BI28</f>
        <v>128.74</v>
      </c>
      <c r="BM11" s="667">
        <f t="shared" si="19"/>
        <v>26.953549790274963</v>
      </c>
      <c r="BN11" s="668">
        <f t="shared" si="20"/>
        <v>33.524349320793263</v>
      </c>
      <c r="BO11" s="621">
        <v>450</v>
      </c>
      <c r="BP11" s="679">
        <v>103.50685607036536</v>
      </c>
      <c r="BQ11" s="667">
        <v>1.3366264347353747</v>
      </c>
      <c r="BR11" s="667">
        <f t="shared" si="21"/>
        <v>32.340000000000032</v>
      </c>
      <c r="BS11" s="667">
        <f>BP27-BP28</f>
        <v>138.35000000000002</v>
      </c>
      <c r="BT11" s="667">
        <f t="shared" si="22"/>
        <v>23.375496928080974</v>
      </c>
      <c r="BU11" s="680">
        <f t="shared" si="23"/>
        <v>31.244307119148576</v>
      </c>
      <c r="BV11" s="598">
        <v>450</v>
      </c>
      <c r="BW11" s="593">
        <v>103.50685607036536</v>
      </c>
      <c r="BX11" s="667">
        <v>1.1880372437976798</v>
      </c>
      <c r="BY11" s="667">
        <f t="shared" si="24"/>
        <v>33.75</v>
      </c>
      <c r="BZ11" s="667">
        <f>BW27-BW28</f>
        <v>122.97</v>
      </c>
      <c r="CA11" s="667">
        <f t="shared" si="25"/>
        <v>27.445718467919004</v>
      </c>
      <c r="CB11" s="668">
        <f t="shared" si="26"/>
        <v>32.606535722673577</v>
      </c>
      <c r="CC11" s="681"/>
      <c r="CD11" s="681"/>
    </row>
    <row r="12" spans="1:82" ht="15.75">
      <c r="A12" s="564"/>
      <c r="B12" s="585" t="s">
        <v>116</v>
      </c>
      <c r="C12" s="586">
        <v>550</v>
      </c>
      <c r="D12" s="594">
        <v>442.31</v>
      </c>
      <c r="E12" s="595">
        <v>4.63</v>
      </c>
      <c r="F12" s="595">
        <v>3.55</v>
      </c>
      <c r="G12" s="596">
        <v>3.11</v>
      </c>
      <c r="H12" s="589">
        <v>550</v>
      </c>
      <c r="I12" s="562">
        <v>449.06</v>
      </c>
      <c r="J12" s="562">
        <v>4.5199999999999996</v>
      </c>
      <c r="K12" s="562">
        <v>3.8</v>
      </c>
      <c r="L12" s="562">
        <v>3.81</v>
      </c>
      <c r="M12" s="589">
        <v>550</v>
      </c>
      <c r="N12" s="562">
        <v>457.75</v>
      </c>
      <c r="O12" s="562">
        <v>4.66</v>
      </c>
      <c r="P12" s="562">
        <v>3.79</v>
      </c>
      <c r="Q12" s="562">
        <v>5.3</v>
      </c>
      <c r="R12" s="589">
        <v>550</v>
      </c>
      <c r="S12" s="562">
        <v>441.23</v>
      </c>
      <c r="T12" s="562">
        <v>5.5</v>
      </c>
      <c r="U12" s="562">
        <v>4.74</v>
      </c>
      <c r="V12" s="597">
        <v>5.97</v>
      </c>
      <c r="W12" s="564"/>
      <c r="X12" s="598">
        <v>550</v>
      </c>
      <c r="Y12" s="592">
        <f t="shared" si="0"/>
        <v>0.3763333333333333</v>
      </c>
      <c r="Z12" s="593">
        <v>9.6440000000000001</v>
      </c>
      <c r="AA12" s="593">
        <v>4.5170000000000003</v>
      </c>
      <c r="AB12" s="593">
        <f t="shared" si="1"/>
        <v>4.7506666666666666</v>
      </c>
      <c r="AC12" s="593">
        <f t="shared" si="2"/>
        <v>33.82533333333334</v>
      </c>
      <c r="AD12" s="653">
        <f t="shared" si="3"/>
        <v>67.956216991226654</v>
      </c>
      <c r="AE12" s="621">
        <v>550</v>
      </c>
      <c r="AF12" s="595">
        <f t="shared" si="4"/>
        <v>0.40433333333333338</v>
      </c>
      <c r="AG12" s="593">
        <v>9.6440000000000001</v>
      </c>
      <c r="AH12" s="593">
        <v>4.5170000000000003</v>
      </c>
      <c r="AI12" s="593">
        <f t="shared" si="5"/>
        <v>4.7226666666666661</v>
      </c>
      <c r="AJ12" s="593">
        <f t="shared" si="6"/>
        <v>33.853333333333339</v>
      </c>
      <c r="AK12" s="653">
        <f t="shared" si="7"/>
        <v>67.611610569066656</v>
      </c>
      <c r="AL12" s="621">
        <v>550</v>
      </c>
      <c r="AM12" s="595">
        <f t="shared" si="8"/>
        <v>0.45833333333333331</v>
      </c>
      <c r="AN12" s="593">
        <v>9.6440000000000001</v>
      </c>
      <c r="AO12" s="593">
        <v>4.5170000000000003</v>
      </c>
      <c r="AP12" s="593">
        <f t="shared" si="9"/>
        <v>4.6686666666666667</v>
      </c>
      <c r="AQ12" s="593">
        <f t="shared" si="10"/>
        <v>33.907333333333341</v>
      </c>
      <c r="AR12" s="698">
        <f t="shared" si="11"/>
        <v>66.945139890126669</v>
      </c>
      <c r="AS12" s="598">
        <v>550</v>
      </c>
      <c r="AT12" s="595">
        <f t="shared" si="12"/>
        <v>0.54033333333333333</v>
      </c>
      <c r="AU12" s="593">
        <v>9.6440000000000001</v>
      </c>
      <c r="AV12" s="593">
        <v>4.5170000000000003</v>
      </c>
      <c r="AW12" s="593">
        <f t="shared" si="13"/>
        <v>4.586666666666666</v>
      </c>
      <c r="AX12" s="593">
        <f t="shared" si="14"/>
        <v>33.989333333333342</v>
      </c>
      <c r="AY12" s="698">
        <f t="shared" si="15"/>
        <v>65.928375697066656</v>
      </c>
      <c r="AZ12" s="697"/>
      <c r="BA12" s="598">
        <v>550</v>
      </c>
      <c r="BB12" s="593">
        <v>103.50685607036536</v>
      </c>
      <c r="BC12" s="667">
        <v>1.1481365052688972</v>
      </c>
      <c r="BD12" s="667">
        <f>D12-BB25</f>
        <v>36.139999999999986</v>
      </c>
      <c r="BE12" s="667">
        <f>BB27-BB28</f>
        <v>118.84000000000002</v>
      </c>
      <c r="BF12" s="667">
        <f t="shared" si="16"/>
        <v>30.410636149444613</v>
      </c>
      <c r="BG12" s="668">
        <f t="shared" si="17"/>
        <v>34.915561511627331</v>
      </c>
      <c r="BH12" s="598">
        <v>550</v>
      </c>
      <c r="BI12" s="593">
        <v>103.50685607036536</v>
      </c>
      <c r="BJ12" s="667">
        <v>1.2437823433887396</v>
      </c>
      <c r="BK12" s="667">
        <f t="shared" si="18"/>
        <v>33.45999999999998</v>
      </c>
      <c r="BL12" s="667">
        <f>BI27-BI28</f>
        <v>128.74</v>
      </c>
      <c r="BM12" s="667">
        <f t="shared" si="19"/>
        <v>25.990368183936596</v>
      </c>
      <c r="BN12" s="668">
        <f t="shared" si="20"/>
        <v>32.326361045352797</v>
      </c>
      <c r="BO12" s="621">
        <v>550</v>
      </c>
      <c r="BP12" s="679">
        <v>103.50685607036536</v>
      </c>
      <c r="BQ12" s="667">
        <v>1.3366264347353747</v>
      </c>
      <c r="BR12" s="667">
        <f t="shared" si="21"/>
        <v>31.160000000000025</v>
      </c>
      <c r="BS12" s="667">
        <f>BP27-BP28</f>
        <v>138.35000000000002</v>
      </c>
      <c r="BT12" s="667">
        <f t="shared" si="22"/>
        <v>22.522587640043383</v>
      </c>
      <c r="BU12" s="680">
        <f t="shared" si="23"/>
        <v>30.104286018326203</v>
      </c>
      <c r="BV12" s="598">
        <v>550</v>
      </c>
      <c r="BW12" s="593">
        <v>103.50685607036536</v>
      </c>
      <c r="BX12" s="667">
        <v>1.1880372437976798</v>
      </c>
      <c r="BY12" s="667">
        <f t="shared" si="24"/>
        <v>31.740000000000009</v>
      </c>
      <c r="BZ12" s="667">
        <f>BW27-BW28</f>
        <v>122.97</v>
      </c>
      <c r="CA12" s="667">
        <f t="shared" si="25"/>
        <v>25.811173456940722</v>
      </c>
      <c r="CB12" s="668">
        <f t="shared" si="26"/>
        <v>30.664635372967687</v>
      </c>
      <c r="CC12" s="681"/>
      <c r="CD12" s="681"/>
    </row>
    <row r="13" spans="1:82" ht="15.75">
      <c r="A13" s="564"/>
      <c r="B13" s="585" t="s">
        <v>116</v>
      </c>
      <c r="C13" s="586">
        <v>650</v>
      </c>
      <c r="D13" s="594">
        <v>441.08</v>
      </c>
      <c r="E13" s="595">
        <v>3.56</v>
      </c>
      <c r="F13" s="595">
        <v>4.3899999999999997</v>
      </c>
      <c r="G13" s="596">
        <v>4.2300000000000004</v>
      </c>
      <c r="H13" s="589">
        <v>650</v>
      </c>
      <c r="I13" s="562">
        <v>448.11</v>
      </c>
      <c r="J13" s="562">
        <v>4.1399999999999997</v>
      </c>
      <c r="K13" s="562">
        <v>4.28</v>
      </c>
      <c r="L13" s="562">
        <v>4.03</v>
      </c>
      <c r="M13" s="589">
        <v>650</v>
      </c>
      <c r="N13" s="562">
        <v>456.86</v>
      </c>
      <c r="O13" s="562">
        <v>4.62</v>
      </c>
      <c r="P13" s="562">
        <v>4.41</v>
      </c>
      <c r="Q13" s="562">
        <v>4.8600000000000003</v>
      </c>
      <c r="R13" s="589">
        <v>650</v>
      </c>
      <c r="S13" s="562">
        <v>439.82</v>
      </c>
      <c r="T13" s="562">
        <v>5.45</v>
      </c>
      <c r="U13" s="562">
        <v>4.7699999999999996</v>
      </c>
      <c r="V13" s="597">
        <v>6.44</v>
      </c>
      <c r="W13" s="564"/>
      <c r="X13" s="598">
        <v>650</v>
      </c>
      <c r="Y13" s="592">
        <f t="shared" si="0"/>
        <v>0.40599999999999997</v>
      </c>
      <c r="Z13" s="593">
        <v>9.6440000000000001</v>
      </c>
      <c r="AA13" s="593">
        <v>4.5170000000000003</v>
      </c>
      <c r="AB13" s="593">
        <f t="shared" si="1"/>
        <v>4.7210000000000001</v>
      </c>
      <c r="AC13" s="593">
        <f t="shared" si="2"/>
        <v>33.855000000000004</v>
      </c>
      <c r="AD13" s="653">
        <f t="shared" si="3"/>
        <v>94.404066743025012</v>
      </c>
      <c r="AE13" s="621">
        <v>650</v>
      </c>
      <c r="AF13" s="595">
        <f t="shared" si="4"/>
        <v>0.41499999999999992</v>
      </c>
      <c r="AG13" s="593">
        <v>9.6440000000000001</v>
      </c>
      <c r="AH13" s="593">
        <v>4.5170000000000003</v>
      </c>
      <c r="AI13" s="593">
        <f t="shared" si="5"/>
        <v>4.7119999999999997</v>
      </c>
      <c r="AJ13" s="593">
        <f t="shared" si="6"/>
        <v>33.864000000000004</v>
      </c>
      <c r="AK13" s="653">
        <f t="shared" si="7"/>
        <v>94.249145615039993</v>
      </c>
      <c r="AL13" s="621">
        <v>650</v>
      </c>
      <c r="AM13" s="595">
        <f t="shared" si="8"/>
        <v>0.46299999999999997</v>
      </c>
      <c r="AN13" s="593">
        <v>9.6440000000000001</v>
      </c>
      <c r="AO13" s="593">
        <v>4.5170000000000003</v>
      </c>
      <c r="AP13" s="593">
        <f t="shared" si="9"/>
        <v>4.6639999999999997</v>
      </c>
      <c r="AQ13" s="593">
        <f t="shared" si="10"/>
        <v>33.912000000000006</v>
      </c>
      <c r="AR13" s="698">
        <f t="shared" si="11"/>
        <v>93.421283567039993</v>
      </c>
      <c r="AS13" s="598">
        <v>650</v>
      </c>
      <c r="AT13" s="595">
        <f t="shared" si="12"/>
        <v>0.55533333333333335</v>
      </c>
      <c r="AU13" s="593">
        <v>9.6440000000000001</v>
      </c>
      <c r="AV13" s="593">
        <v>4.5170000000000003</v>
      </c>
      <c r="AW13" s="593">
        <f t="shared" si="13"/>
        <v>4.5716666666666663</v>
      </c>
      <c r="AX13" s="593">
        <f t="shared" si="14"/>
        <v>34.004333333333335</v>
      </c>
      <c r="AY13" s="698">
        <f t="shared" si="15"/>
        <v>91.82114555369165</v>
      </c>
      <c r="AZ13" s="697"/>
      <c r="BA13" s="598">
        <v>650</v>
      </c>
      <c r="BB13" s="593">
        <v>103.50685607036536</v>
      </c>
      <c r="BC13" s="667">
        <v>1.1481365052688972</v>
      </c>
      <c r="BD13" s="667">
        <f>D13-BB25</f>
        <v>34.909999999999968</v>
      </c>
      <c r="BE13" s="667">
        <f>BB27-BB28</f>
        <v>118.84000000000002</v>
      </c>
      <c r="BF13" s="667">
        <f t="shared" si="16"/>
        <v>29.375631100639481</v>
      </c>
      <c r="BG13" s="668">
        <f t="shared" si="17"/>
        <v>33.727234431956539</v>
      </c>
      <c r="BH13" s="598">
        <v>650</v>
      </c>
      <c r="BI13" s="593">
        <v>103.50685607036536</v>
      </c>
      <c r="BJ13" s="667">
        <v>1.2437823433887396</v>
      </c>
      <c r="BK13" s="667">
        <f t="shared" si="18"/>
        <v>32.509999999999991</v>
      </c>
      <c r="BL13" s="667">
        <f>BI27-BI28</f>
        <v>128.74</v>
      </c>
      <c r="BM13" s="667">
        <f t="shared" si="19"/>
        <v>25.252446791983836</v>
      </c>
      <c r="BN13" s="668">
        <f t="shared" si="20"/>
        <v>31.408547447233115</v>
      </c>
      <c r="BO13" s="621">
        <v>650</v>
      </c>
      <c r="BP13" s="679">
        <v>103.50685607036536</v>
      </c>
      <c r="BQ13" s="667">
        <v>1.3366264347353747</v>
      </c>
      <c r="BR13" s="667">
        <f t="shared" si="21"/>
        <v>30.270000000000039</v>
      </c>
      <c r="BS13" s="667">
        <f>BP27-BP28</f>
        <v>138.35000000000002</v>
      </c>
      <c r="BT13" s="667">
        <f t="shared" si="22"/>
        <v>21.879291651608266</v>
      </c>
      <c r="BU13" s="680">
        <f t="shared" si="23"/>
        <v>29.244439594824605</v>
      </c>
      <c r="BV13" s="598">
        <v>650</v>
      </c>
      <c r="BW13" s="593">
        <v>103.50685607036536</v>
      </c>
      <c r="BX13" s="667">
        <v>1.1880372437976798</v>
      </c>
      <c r="BY13" s="667">
        <f t="shared" si="24"/>
        <v>30.329999999999984</v>
      </c>
      <c r="BZ13" s="667">
        <f>BW27-BW28</f>
        <v>122.97</v>
      </c>
      <c r="CA13" s="667">
        <f t="shared" si="25"/>
        <v>24.664552329836535</v>
      </c>
      <c r="CB13" s="668">
        <f t="shared" si="26"/>
        <v>29.302406769442641</v>
      </c>
      <c r="CC13" s="681"/>
      <c r="CD13" s="681"/>
    </row>
    <row r="14" spans="1:82" ht="15.75">
      <c r="A14" s="564"/>
      <c r="B14" s="585" t="s">
        <v>116</v>
      </c>
      <c r="C14" s="586">
        <v>750</v>
      </c>
      <c r="D14" s="594">
        <v>439.7</v>
      </c>
      <c r="E14" s="595">
        <v>5.13</v>
      </c>
      <c r="F14" s="595">
        <v>3.72</v>
      </c>
      <c r="G14" s="596">
        <v>4.4400000000000004</v>
      </c>
      <c r="H14" s="589">
        <v>750</v>
      </c>
      <c r="I14" s="562">
        <v>446.9</v>
      </c>
      <c r="J14" s="562">
        <v>4.55</v>
      </c>
      <c r="K14" s="562">
        <v>4.6399999999999997</v>
      </c>
      <c r="L14" s="562">
        <v>4.96</v>
      </c>
      <c r="M14" s="589">
        <v>750</v>
      </c>
      <c r="N14" s="562">
        <v>455.8</v>
      </c>
      <c r="O14" s="562">
        <v>4.51</v>
      </c>
      <c r="P14" s="562">
        <v>5.45</v>
      </c>
      <c r="Q14" s="562">
        <v>4.6900000000000004</v>
      </c>
      <c r="R14" s="589">
        <v>750</v>
      </c>
      <c r="S14" s="562">
        <v>438.43</v>
      </c>
      <c r="T14" s="562">
        <v>4.7699999999999996</v>
      </c>
      <c r="U14" s="562">
        <v>5.4</v>
      </c>
      <c r="V14" s="597">
        <v>6.27</v>
      </c>
      <c r="W14" s="564"/>
      <c r="X14" s="598">
        <v>750</v>
      </c>
      <c r="Y14" s="592">
        <f t="shared" si="0"/>
        <v>0.44299999999999995</v>
      </c>
      <c r="Z14" s="593">
        <v>9.6440000000000001</v>
      </c>
      <c r="AA14" s="593">
        <v>4.5170000000000003</v>
      </c>
      <c r="AB14" s="593">
        <f t="shared" si="1"/>
        <v>4.6840000000000002</v>
      </c>
      <c r="AC14" s="593">
        <f t="shared" si="2"/>
        <v>33.892000000000003</v>
      </c>
      <c r="AD14" s="653">
        <f t="shared" si="3"/>
        <v>124.837131906</v>
      </c>
      <c r="AE14" s="621">
        <v>750</v>
      </c>
      <c r="AF14" s="595">
        <f t="shared" si="4"/>
        <v>0.47166666666666657</v>
      </c>
      <c r="AG14" s="593">
        <v>9.6440000000000001</v>
      </c>
      <c r="AH14" s="593">
        <v>4.5170000000000003</v>
      </c>
      <c r="AI14" s="593">
        <f t="shared" si="5"/>
        <v>4.6553333333333331</v>
      </c>
      <c r="AJ14" s="593">
        <f t="shared" si="6"/>
        <v>33.920666666666669</v>
      </c>
      <c r="AK14" s="653">
        <f t="shared" si="7"/>
        <v>124.17805703849999</v>
      </c>
      <c r="AL14" s="621">
        <v>750</v>
      </c>
      <c r="AM14" s="595">
        <f t="shared" si="8"/>
        <v>0.4883333333333334</v>
      </c>
      <c r="AN14" s="593">
        <v>9.6440000000000001</v>
      </c>
      <c r="AO14" s="593">
        <v>4.5170000000000003</v>
      </c>
      <c r="AP14" s="593">
        <f t="shared" si="9"/>
        <v>4.6386666666666665</v>
      </c>
      <c r="AQ14" s="593">
        <f t="shared" si="10"/>
        <v>33.937333333333342</v>
      </c>
      <c r="AR14" s="698">
        <f t="shared" si="11"/>
        <v>123.79427982600001</v>
      </c>
      <c r="AS14" s="598">
        <v>750</v>
      </c>
      <c r="AT14" s="595">
        <f t="shared" si="12"/>
        <v>0.54799999999999993</v>
      </c>
      <c r="AU14" s="593">
        <v>9.6440000000000001</v>
      </c>
      <c r="AV14" s="593">
        <v>4.5170000000000003</v>
      </c>
      <c r="AW14" s="593">
        <f t="shared" si="13"/>
        <v>4.5789999999999997</v>
      </c>
      <c r="AX14" s="593">
        <f t="shared" si="14"/>
        <v>33.997000000000007</v>
      </c>
      <c r="AY14" s="698">
        <f t="shared" si="15"/>
        <v>122.41677581662501</v>
      </c>
      <c r="AZ14" s="697"/>
      <c r="BA14" s="598">
        <v>750</v>
      </c>
      <c r="BB14" s="593">
        <v>103.50685607036536</v>
      </c>
      <c r="BC14" s="667">
        <v>1.1481365052688972</v>
      </c>
      <c r="BD14" s="667">
        <f>D14-BB25</f>
        <v>33.529999999999973</v>
      </c>
      <c r="BE14" s="667">
        <f>BB27-BB28</f>
        <v>118.84000000000002</v>
      </c>
      <c r="BF14" s="667">
        <f t="shared" si="16"/>
        <v>28.214405923931306</v>
      </c>
      <c r="BG14" s="668">
        <f t="shared" si="17"/>
        <v>32.393989415740563</v>
      </c>
      <c r="BH14" s="598">
        <v>750</v>
      </c>
      <c r="BI14" s="593">
        <v>103.50685607036536</v>
      </c>
      <c r="BJ14" s="667">
        <v>1.2437823433887396</v>
      </c>
      <c r="BK14" s="667">
        <f t="shared" si="18"/>
        <v>31.299999999999955</v>
      </c>
      <c r="BL14" s="667">
        <f>BI27-BI28</f>
        <v>128.74</v>
      </c>
      <c r="BM14" s="667">
        <f t="shared" si="19"/>
        <v>24.312567966443961</v>
      </c>
      <c r="BN14" s="668">
        <f t="shared" si="20"/>
        <v>30.239542759101674</v>
      </c>
      <c r="BO14" s="621">
        <v>750</v>
      </c>
      <c r="BP14" s="679">
        <v>103.50685607036536</v>
      </c>
      <c r="BQ14" s="667">
        <v>1.3366264347353747</v>
      </c>
      <c r="BR14" s="667">
        <f t="shared" si="21"/>
        <v>29.210000000000036</v>
      </c>
      <c r="BS14" s="667">
        <f>BP27-BP28</f>
        <v>138.35000000000002</v>
      </c>
      <c r="BT14" s="667">
        <f t="shared" si="22"/>
        <v>21.113118901337209</v>
      </c>
      <c r="BU14" s="680">
        <f t="shared" si="23"/>
        <v>28.220352843238405</v>
      </c>
      <c r="BV14" s="598">
        <v>750</v>
      </c>
      <c r="BW14" s="593">
        <v>103.50685607036536</v>
      </c>
      <c r="BX14" s="667">
        <v>1.1880372437976798</v>
      </c>
      <c r="BY14" s="667">
        <f t="shared" si="24"/>
        <v>28.939999999999998</v>
      </c>
      <c r="BZ14" s="667">
        <f>BW27-BW28</f>
        <v>122.97</v>
      </c>
      <c r="CA14" s="667">
        <f t="shared" si="25"/>
        <v>23.534195332194844</v>
      </c>
      <c r="CB14" s="668">
        <f t="shared" si="26"/>
        <v>27.959500557456984</v>
      </c>
      <c r="CC14" s="681"/>
      <c r="CD14" s="681"/>
    </row>
    <row r="15" spans="1:82" ht="15.75">
      <c r="A15" s="564"/>
      <c r="B15" s="585" t="s">
        <v>116</v>
      </c>
      <c r="C15" s="586">
        <v>850</v>
      </c>
      <c r="D15" s="594">
        <v>438.55</v>
      </c>
      <c r="E15" s="595">
        <v>4.07</v>
      </c>
      <c r="F15" s="595">
        <v>5.09</v>
      </c>
      <c r="G15" s="596">
        <v>4.9000000000000004</v>
      </c>
      <c r="H15" s="589">
        <v>850</v>
      </c>
      <c r="I15" s="562">
        <v>445.91</v>
      </c>
      <c r="J15" s="562">
        <v>4.6500000000000004</v>
      </c>
      <c r="K15" s="562">
        <v>4.49</v>
      </c>
      <c r="L15" s="562">
        <v>4.9000000000000004</v>
      </c>
      <c r="M15" s="589">
        <v>850</v>
      </c>
      <c r="N15" s="562">
        <v>455.03</v>
      </c>
      <c r="O15" s="562">
        <v>5.85</v>
      </c>
      <c r="P15" s="562">
        <v>5.24</v>
      </c>
      <c r="Q15" s="562">
        <v>6.05</v>
      </c>
      <c r="R15" s="589">
        <v>850</v>
      </c>
      <c r="S15" s="562">
        <v>437.53</v>
      </c>
      <c r="T15" s="562">
        <v>6.15</v>
      </c>
      <c r="U15" s="562">
        <v>6.61</v>
      </c>
      <c r="V15" s="597">
        <v>6.09</v>
      </c>
      <c r="W15" s="564"/>
      <c r="X15" s="598">
        <v>850</v>
      </c>
      <c r="Y15" s="592">
        <f t="shared" si="0"/>
        <v>0.46866666666666668</v>
      </c>
      <c r="Z15" s="593">
        <v>9.6440000000000001</v>
      </c>
      <c r="AA15" s="593">
        <v>4.5170000000000003</v>
      </c>
      <c r="AB15" s="593">
        <f t="shared" si="1"/>
        <v>4.6583333333333332</v>
      </c>
      <c r="AC15" s="593">
        <f t="shared" si="2"/>
        <v>33.917666666666669</v>
      </c>
      <c r="AD15" s="653">
        <f t="shared" si="3"/>
        <v>159.58848518329168</v>
      </c>
      <c r="AE15" s="621">
        <v>850</v>
      </c>
      <c r="AF15" s="595">
        <f t="shared" si="4"/>
        <v>0.46800000000000008</v>
      </c>
      <c r="AG15" s="593">
        <v>9.6440000000000001</v>
      </c>
      <c r="AH15" s="593">
        <v>4.5170000000000003</v>
      </c>
      <c r="AI15" s="593">
        <f t="shared" si="5"/>
        <v>4.6589999999999998</v>
      </c>
      <c r="AJ15" s="593">
        <f t="shared" si="6"/>
        <v>33.917000000000009</v>
      </c>
      <c r="AK15" s="653">
        <f t="shared" si="7"/>
        <v>159.608187091665</v>
      </c>
      <c r="AL15" s="621">
        <v>850</v>
      </c>
      <c r="AM15" s="595">
        <f t="shared" si="8"/>
        <v>0.57133333333333336</v>
      </c>
      <c r="AN15" s="593">
        <v>9.6440000000000001</v>
      </c>
      <c r="AO15" s="593">
        <v>4.5170000000000003</v>
      </c>
      <c r="AP15" s="593">
        <f t="shared" si="9"/>
        <v>4.5556666666666663</v>
      </c>
      <c r="AQ15" s="593">
        <f t="shared" si="10"/>
        <v>34.02033333333334</v>
      </c>
      <c r="AR15" s="698">
        <f t="shared" si="11"/>
        <v>156.54367573253165</v>
      </c>
      <c r="AS15" s="598">
        <v>850</v>
      </c>
      <c r="AT15" s="595">
        <f t="shared" si="12"/>
        <v>0.62833333333333341</v>
      </c>
      <c r="AU15" s="593">
        <v>9.6440000000000001</v>
      </c>
      <c r="AV15" s="593">
        <v>4.5170000000000003</v>
      </c>
      <c r="AW15" s="593">
        <f t="shared" si="13"/>
        <v>4.4986666666666668</v>
      </c>
      <c r="AX15" s="593">
        <f t="shared" si="14"/>
        <v>34.077333333333335</v>
      </c>
      <c r="AY15" s="698">
        <f t="shared" si="15"/>
        <v>154.84402083210665</v>
      </c>
      <c r="AZ15" s="697"/>
      <c r="BA15" s="598">
        <v>850</v>
      </c>
      <c r="BB15" s="593">
        <v>103.50685607036536</v>
      </c>
      <c r="BC15" s="667">
        <v>1.1481365052688972</v>
      </c>
      <c r="BD15" s="667">
        <f>D15-BB25</f>
        <v>32.379999999999995</v>
      </c>
      <c r="BE15" s="667">
        <f>BB27-BB28</f>
        <v>118.84000000000002</v>
      </c>
      <c r="BF15" s="667">
        <f t="shared" si="16"/>
        <v>27.246718276674514</v>
      </c>
      <c r="BG15" s="668">
        <f t="shared" si="17"/>
        <v>31.282951902227268</v>
      </c>
      <c r="BH15" s="598">
        <v>850</v>
      </c>
      <c r="BI15" s="593">
        <v>103.50685607036536</v>
      </c>
      <c r="BJ15" s="667">
        <v>1.2437823433887396</v>
      </c>
      <c r="BK15" s="667">
        <f t="shared" si="18"/>
        <v>30.310000000000002</v>
      </c>
      <c r="BL15" s="667">
        <f>BI27-BI28</f>
        <v>128.74</v>
      </c>
      <c r="BM15" s="667">
        <f t="shared" si="19"/>
        <v>23.543576200093209</v>
      </c>
      <c r="BN15" s="668">
        <f t="shared" si="20"/>
        <v>29.28308437790329</v>
      </c>
      <c r="BO15" s="621">
        <v>850</v>
      </c>
      <c r="BP15" s="679">
        <v>103.50685607036536</v>
      </c>
      <c r="BQ15" s="667">
        <v>1.3366264347353747</v>
      </c>
      <c r="BR15" s="667">
        <f t="shared" si="21"/>
        <v>28.439999999999998</v>
      </c>
      <c r="BS15" s="667">
        <f>BP27-BP28</f>
        <v>138.35000000000002</v>
      </c>
      <c r="BT15" s="667">
        <f t="shared" si="22"/>
        <v>20.556559450668587</v>
      </c>
      <c r="BU15" s="680">
        <f t="shared" si="23"/>
        <v>27.476440768972925</v>
      </c>
      <c r="BV15" s="598">
        <v>850</v>
      </c>
      <c r="BW15" s="593">
        <v>103.50685607036536</v>
      </c>
      <c r="BX15" s="667">
        <v>1.1880372437976798</v>
      </c>
      <c r="BY15" s="667">
        <f t="shared" si="24"/>
        <v>28.039999999999964</v>
      </c>
      <c r="BZ15" s="667">
        <f>BW27-BW28</f>
        <v>122.97</v>
      </c>
      <c r="CA15" s="667">
        <f t="shared" si="25"/>
        <v>22.80230950638364</v>
      </c>
      <c r="CB15" s="668">
        <f t="shared" si="26"/>
        <v>27.089992938185652</v>
      </c>
      <c r="CC15" s="681"/>
      <c r="CD15" s="681"/>
    </row>
    <row r="16" spans="1:82" ht="15.75">
      <c r="A16" s="564"/>
      <c r="B16" s="585" t="s">
        <v>116</v>
      </c>
      <c r="C16" s="586">
        <v>950</v>
      </c>
      <c r="D16" s="594">
        <v>437.16</v>
      </c>
      <c r="E16" s="595">
        <v>4.59</v>
      </c>
      <c r="F16" s="595">
        <v>5.72</v>
      </c>
      <c r="G16" s="596">
        <v>5.43</v>
      </c>
      <c r="H16" s="589">
        <v>950</v>
      </c>
      <c r="I16" s="562">
        <v>444.63</v>
      </c>
      <c r="J16" s="562">
        <v>4.68</v>
      </c>
      <c r="K16" s="562">
        <v>4.91</v>
      </c>
      <c r="L16" s="562">
        <v>4.8499999999999996</v>
      </c>
      <c r="M16" s="589">
        <v>950</v>
      </c>
      <c r="N16" s="562">
        <v>454.28</v>
      </c>
      <c r="O16" s="562">
        <v>4.6900000000000004</v>
      </c>
      <c r="P16" s="562">
        <v>4.5199999999999996</v>
      </c>
      <c r="Q16" s="562">
        <v>5.9</v>
      </c>
      <c r="R16" s="589">
        <v>950</v>
      </c>
      <c r="S16" s="562">
        <v>436.56</v>
      </c>
      <c r="T16" s="562">
        <v>6.82</v>
      </c>
      <c r="U16" s="562">
        <v>6.27</v>
      </c>
      <c r="V16" s="597">
        <v>6.85</v>
      </c>
      <c r="W16" s="564"/>
      <c r="X16" s="598">
        <v>950</v>
      </c>
      <c r="Y16" s="592">
        <f t="shared" si="0"/>
        <v>0.52466666666666661</v>
      </c>
      <c r="Z16" s="593">
        <v>9.6440000000000001</v>
      </c>
      <c r="AA16" s="593">
        <v>4.5170000000000003</v>
      </c>
      <c r="AB16" s="593">
        <f t="shared" si="1"/>
        <v>4.6023333333333332</v>
      </c>
      <c r="AC16" s="593">
        <f t="shared" si="2"/>
        <v>33.973666666666674</v>
      </c>
      <c r="AD16" s="653">
        <f t="shared" si="3"/>
        <v>197.27628162485166</v>
      </c>
      <c r="AE16" s="621">
        <v>950</v>
      </c>
      <c r="AF16" s="595">
        <f t="shared" si="4"/>
        <v>0.48133333333333334</v>
      </c>
      <c r="AG16" s="593">
        <v>9.6440000000000001</v>
      </c>
      <c r="AH16" s="593">
        <v>4.5170000000000003</v>
      </c>
      <c r="AI16" s="593">
        <f t="shared" si="5"/>
        <v>4.6456666666666662</v>
      </c>
      <c r="AJ16" s="593">
        <f t="shared" si="6"/>
        <v>33.930333333333337</v>
      </c>
      <c r="AK16" s="653">
        <f t="shared" si="7"/>
        <v>198.87974456645165</v>
      </c>
      <c r="AL16" s="621">
        <v>950</v>
      </c>
      <c r="AM16" s="595">
        <f t="shared" si="8"/>
        <v>0.50366666666666671</v>
      </c>
      <c r="AN16" s="593">
        <v>9.6440000000000001</v>
      </c>
      <c r="AO16" s="593">
        <v>4.5170000000000003</v>
      </c>
      <c r="AP16" s="593">
        <f t="shared" si="9"/>
        <v>4.6233333333333331</v>
      </c>
      <c r="AQ16" s="593">
        <f t="shared" si="10"/>
        <v>33.952666666666673</v>
      </c>
      <c r="AR16" s="698">
        <f t="shared" si="11"/>
        <v>198.05393616996665</v>
      </c>
      <c r="AS16" s="598">
        <v>950</v>
      </c>
      <c r="AT16" s="595">
        <f t="shared" si="12"/>
        <v>0.66466666666666652</v>
      </c>
      <c r="AU16" s="593">
        <v>9.6440000000000001</v>
      </c>
      <c r="AV16" s="593">
        <v>4.5170000000000003</v>
      </c>
      <c r="AW16" s="593">
        <f t="shared" si="13"/>
        <v>4.4623333333333335</v>
      </c>
      <c r="AX16" s="593">
        <f t="shared" si="14"/>
        <v>34.113666666666674</v>
      </c>
      <c r="AY16" s="698">
        <f t="shared" si="15"/>
        <v>192.06347938545167</v>
      </c>
      <c r="AZ16" s="697"/>
      <c r="BA16" s="598">
        <v>950</v>
      </c>
      <c r="BB16" s="593">
        <v>103.50685607036536</v>
      </c>
      <c r="BC16" s="667">
        <v>1.1481365052688972</v>
      </c>
      <c r="BD16" s="667">
        <f>D16-BB25</f>
        <v>30.990000000000009</v>
      </c>
      <c r="BE16" s="667">
        <f>BB27-BB28</f>
        <v>118.84000000000002</v>
      </c>
      <c r="BF16" s="667">
        <f t="shared" si="16"/>
        <v>26.077078424772811</v>
      </c>
      <c r="BG16" s="668">
        <f t="shared" si="17"/>
        <v>29.940045690241615</v>
      </c>
      <c r="BH16" s="598">
        <v>950</v>
      </c>
      <c r="BI16" s="593">
        <v>103.50685607036536</v>
      </c>
      <c r="BJ16" s="667">
        <v>1.2437823433887396</v>
      </c>
      <c r="BK16" s="667">
        <f t="shared" si="18"/>
        <v>29.029999999999973</v>
      </c>
      <c r="BL16" s="667">
        <f>BI27-BI28</f>
        <v>128.74</v>
      </c>
      <c r="BM16" s="667">
        <f t="shared" si="19"/>
        <v>22.549324219356819</v>
      </c>
      <c r="BN16" s="668">
        <f t="shared" si="20"/>
        <v>28.046451319384087</v>
      </c>
      <c r="BO16" s="621">
        <v>950</v>
      </c>
      <c r="BP16" s="679">
        <v>103.50685607036536</v>
      </c>
      <c r="BQ16" s="667">
        <v>1.3366264347353747</v>
      </c>
      <c r="BR16" s="667">
        <f t="shared" si="21"/>
        <v>27.689999999999998</v>
      </c>
      <c r="BS16" s="667">
        <f>BP27-BP28</f>
        <v>138.35000000000002</v>
      </c>
      <c r="BT16" s="667">
        <f t="shared" si="22"/>
        <v>20.01445608962775</v>
      </c>
      <c r="BU16" s="680">
        <f t="shared" si="23"/>
        <v>26.751851086246848</v>
      </c>
      <c r="BV16" s="598">
        <v>950</v>
      </c>
      <c r="BW16" s="593">
        <v>103.50685607036536</v>
      </c>
      <c r="BX16" s="667">
        <v>1.1880372437976798</v>
      </c>
      <c r="BY16" s="667">
        <f t="shared" si="24"/>
        <v>27.069999999999993</v>
      </c>
      <c r="BZ16" s="667">
        <f>BW27-BW28</f>
        <v>122.97</v>
      </c>
      <c r="CA16" s="667">
        <f t="shared" si="25"/>
        <v>22.013499227453845</v>
      </c>
      <c r="CB16" s="668">
        <f t="shared" si="26"/>
        <v>26.152856948526622</v>
      </c>
      <c r="CC16" s="681"/>
      <c r="CD16" s="681"/>
    </row>
    <row r="17" spans="1:84" ht="15.75">
      <c r="A17" s="564"/>
      <c r="B17" s="585" t="s">
        <v>116</v>
      </c>
      <c r="C17" s="586">
        <v>1000</v>
      </c>
      <c r="D17" s="594">
        <v>436.11</v>
      </c>
      <c r="E17" s="595">
        <v>5.7</v>
      </c>
      <c r="F17" s="595">
        <v>4.7699999999999996</v>
      </c>
      <c r="G17" s="596">
        <v>5.62</v>
      </c>
      <c r="H17" s="589">
        <v>1000</v>
      </c>
      <c r="I17" s="562">
        <v>443.76</v>
      </c>
      <c r="J17" s="562">
        <v>5.52</v>
      </c>
      <c r="K17" s="590">
        <v>5.13</v>
      </c>
      <c r="L17" s="562">
        <v>5.05</v>
      </c>
      <c r="M17" s="589">
        <v>1000</v>
      </c>
      <c r="N17" s="562">
        <v>453.76</v>
      </c>
      <c r="O17" s="562">
        <v>6.01</v>
      </c>
      <c r="P17" s="562">
        <v>6.45</v>
      </c>
      <c r="Q17" s="562">
        <v>5.49</v>
      </c>
      <c r="R17" s="589">
        <v>1000</v>
      </c>
      <c r="S17" s="562">
        <v>435.92</v>
      </c>
      <c r="T17" s="562">
        <v>5.98</v>
      </c>
      <c r="U17" s="562">
        <v>7.11</v>
      </c>
      <c r="V17" s="597">
        <v>6</v>
      </c>
      <c r="W17" s="564"/>
      <c r="X17" s="598">
        <v>1000</v>
      </c>
      <c r="Y17" s="592">
        <f t="shared" si="0"/>
        <v>0.53633333333333333</v>
      </c>
      <c r="Z17" s="593">
        <v>9.6440000000000001</v>
      </c>
      <c r="AA17" s="593">
        <v>4.5170000000000003</v>
      </c>
      <c r="AB17" s="593">
        <f t="shared" si="1"/>
        <v>4.5906666666666665</v>
      </c>
      <c r="AC17" s="593">
        <f t="shared" si="2"/>
        <v>33.985333333333337</v>
      </c>
      <c r="AD17" s="653">
        <f t="shared" si="3"/>
        <v>218.10944097066664</v>
      </c>
      <c r="AE17" s="621">
        <v>1000</v>
      </c>
      <c r="AF17" s="595">
        <f t="shared" si="4"/>
        <v>0.52333333333333332</v>
      </c>
      <c r="AG17" s="593">
        <v>9.6440000000000001</v>
      </c>
      <c r="AH17" s="593">
        <v>4.5170000000000003</v>
      </c>
      <c r="AI17" s="593">
        <f t="shared" si="5"/>
        <v>4.6036666666666664</v>
      </c>
      <c r="AJ17" s="593">
        <f t="shared" si="6"/>
        <v>33.972333333333339</v>
      </c>
      <c r="AK17" s="653">
        <f t="shared" si="7"/>
        <v>218.64342338066666</v>
      </c>
      <c r="AL17" s="621">
        <v>1000</v>
      </c>
      <c r="AM17" s="595">
        <f t="shared" si="8"/>
        <v>0.59833333333333338</v>
      </c>
      <c r="AN17" s="593">
        <v>9.6440000000000001</v>
      </c>
      <c r="AO17" s="593">
        <v>4.5170000000000003</v>
      </c>
      <c r="AP17" s="593">
        <f t="shared" si="9"/>
        <v>4.5286666666666662</v>
      </c>
      <c r="AQ17" s="593">
        <f t="shared" si="10"/>
        <v>34.047333333333341</v>
      </c>
      <c r="AR17" s="698">
        <f t="shared" si="11"/>
        <v>215.55625493066665</v>
      </c>
      <c r="AS17" s="598">
        <v>1000</v>
      </c>
      <c r="AT17" s="595">
        <f t="shared" si="12"/>
        <v>0.63633333333333331</v>
      </c>
      <c r="AU17" s="593">
        <v>9.6440000000000001</v>
      </c>
      <c r="AV17" s="593">
        <v>4.5170000000000003</v>
      </c>
      <c r="AW17" s="593">
        <f t="shared" si="13"/>
        <v>4.4906666666666668</v>
      </c>
      <c r="AX17" s="593">
        <f t="shared" si="14"/>
        <v>34.085333333333338</v>
      </c>
      <c r="AY17" s="698">
        <f t="shared" si="15"/>
        <v>213.98608657066666</v>
      </c>
      <c r="AZ17" s="697"/>
      <c r="BA17" s="598">
        <v>1000</v>
      </c>
      <c r="BB17" s="593">
        <v>103.50685607036536</v>
      </c>
      <c r="BC17" s="667">
        <v>1.1481365052688972</v>
      </c>
      <c r="BD17" s="667">
        <f>D17-BB25</f>
        <v>29.939999999999998</v>
      </c>
      <c r="BE17" s="667">
        <f>BB27-BB28</f>
        <v>118.84000000000002</v>
      </c>
      <c r="BF17" s="667">
        <f t="shared" si="16"/>
        <v>25.193537529451358</v>
      </c>
      <c r="BG17" s="668">
        <f t="shared" si="17"/>
        <v>28.925620134425088</v>
      </c>
      <c r="BH17" s="598">
        <v>1000</v>
      </c>
      <c r="BI17" s="593">
        <v>103.50685607036536</v>
      </c>
      <c r="BJ17" s="667">
        <v>1.2437823433887396</v>
      </c>
      <c r="BK17" s="667">
        <f t="shared" si="18"/>
        <v>28.159999999999968</v>
      </c>
      <c r="BL17" s="667">
        <f>BI27-BI28</f>
        <v>128.74</v>
      </c>
      <c r="BM17" s="667">
        <f t="shared" si="19"/>
        <v>21.873543576200067</v>
      </c>
      <c r="BN17" s="668">
        <f t="shared" si="20"/>
        <v>27.205927287421829</v>
      </c>
      <c r="BO17" s="621">
        <v>1000</v>
      </c>
      <c r="BP17" s="679">
        <v>103.50685607036536</v>
      </c>
      <c r="BQ17" s="667">
        <v>1.3366264347353747</v>
      </c>
      <c r="BR17" s="667">
        <f t="shared" si="21"/>
        <v>27.170000000000016</v>
      </c>
      <c r="BS17" s="667">
        <f>BP27-BP28</f>
        <v>138.35000000000002</v>
      </c>
      <c r="BT17" s="667">
        <f t="shared" si="22"/>
        <v>19.638597759306116</v>
      </c>
      <c r="BU17" s="680">
        <f t="shared" si="23"/>
        <v>26.249468906223452</v>
      </c>
      <c r="BV17" s="598">
        <v>1000</v>
      </c>
      <c r="BW17" s="593">
        <v>103.50685607036536</v>
      </c>
      <c r="BX17" s="667">
        <v>1.1880372437976798</v>
      </c>
      <c r="BY17" s="667">
        <f t="shared" si="24"/>
        <v>26.430000000000007</v>
      </c>
      <c r="BZ17" s="667">
        <f>BW27-BW28</f>
        <v>122.97</v>
      </c>
      <c r="CA17" s="667">
        <f t="shared" si="25"/>
        <v>21.493047084654798</v>
      </c>
      <c r="CB17" s="668">
        <f t="shared" si="26"/>
        <v>25.534540419267042</v>
      </c>
      <c r="CC17" s="681"/>
      <c r="CD17" s="681"/>
    </row>
    <row r="18" spans="1:84" ht="15.75">
      <c r="A18" s="564"/>
      <c r="B18" s="585" t="s">
        <v>116</v>
      </c>
      <c r="C18" s="586">
        <v>1200</v>
      </c>
      <c r="D18" s="594">
        <v>433.43</v>
      </c>
      <c r="E18" s="595">
        <v>5.93</v>
      </c>
      <c r="F18" s="595">
        <v>4.63</v>
      </c>
      <c r="G18" s="596">
        <v>5.84</v>
      </c>
      <c r="H18" s="589">
        <v>1200</v>
      </c>
      <c r="I18" s="562">
        <v>441.88</v>
      </c>
      <c r="J18" s="562">
        <v>5.7</v>
      </c>
      <c r="K18" s="562">
        <v>5.41</v>
      </c>
      <c r="L18" s="562">
        <v>5.37</v>
      </c>
      <c r="M18" s="589">
        <v>1200</v>
      </c>
      <c r="N18" s="562">
        <v>452.64</v>
      </c>
      <c r="O18" s="562">
        <v>6.44</v>
      </c>
      <c r="P18" s="562">
        <v>5.0999999999999996</v>
      </c>
      <c r="Q18" s="562">
        <v>6.19</v>
      </c>
      <c r="R18" s="589">
        <v>1200</v>
      </c>
      <c r="S18" s="562">
        <v>434.82</v>
      </c>
      <c r="T18" s="562">
        <v>6.43</v>
      </c>
      <c r="U18" s="562">
        <v>7.28</v>
      </c>
      <c r="V18" s="597">
        <v>7.48</v>
      </c>
      <c r="W18" s="564"/>
      <c r="X18" s="598">
        <v>1200</v>
      </c>
      <c r="Y18" s="592">
        <f t="shared" si="0"/>
        <v>0.54666666666666663</v>
      </c>
      <c r="Z18" s="593">
        <v>9.6440000000000001</v>
      </c>
      <c r="AA18" s="593">
        <v>4.5170000000000003</v>
      </c>
      <c r="AB18" s="593">
        <f t="shared" si="1"/>
        <v>4.5803333333333329</v>
      </c>
      <c r="AC18" s="593">
        <f t="shared" si="2"/>
        <v>33.995666666666672</v>
      </c>
      <c r="AD18" s="653">
        <f t="shared" si="3"/>
        <v>313.46590513055997</v>
      </c>
      <c r="AE18" s="621">
        <v>1200</v>
      </c>
      <c r="AF18" s="595">
        <f t="shared" si="4"/>
        <v>0.54933333333333334</v>
      </c>
      <c r="AG18" s="593">
        <v>9.6440000000000001</v>
      </c>
      <c r="AH18" s="593">
        <v>4.5170000000000003</v>
      </c>
      <c r="AI18" s="593">
        <f t="shared" si="5"/>
        <v>4.5776666666666666</v>
      </c>
      <c r="AJ18" s="593">
        <f t="shared" si="6"/>
        <v>33.998333333333342</v>
      </c>
      <c r="AK18" s="653">
        <f t="shared" si="7"/>
        <v>313.30797989280006</v>
      </c>
      <c r="AL18" s="621">
        <v>1200</v>
      </c>
      <c r="AM18" s="595">
        <f t="shared" si="8"/>
        <v>0.59099999999999997</v>
      </c>
      <c r="AN18" s="593">
        <v>9.6440000000000001</v>
      </c>
      <c r="AO18" s="593">
        <v>4.5170000000000003</v>
      </c>
      <c r="AP18" s="593">
        <f t="shared" si="9"/>
        <v>4.5359999999999996</v>
      </c>
      <c r="AQ18" s="593">
        <f t="shared" si="10"/>
        <v>34.040000000000006</v>
      </c>
      <c r="AR18" s="698">
        <f t="shared" si="11"/>
        <v>310.83667937280001</v>
      </c>
      <c r="AS18" s="598">
        <v>1200</v>
      </c>
      <c r="AT18" s="595">
        <f t="shared" si="12"/>
        <v>0.70633333333333337</v>
      </c>
      <c r="AU18" s="593">
        <v>9.6440000000000001</v>
      </c>
      <c r="AV18" s="593">
        <v>4.5170000000000003</v>
      </c>
      <c r="AW18" s="593">
        <f t="shared" si="13"/>
        <v>4.4206666666666665</v>
      </c>
      <c r="AX18" s="593">
        <f t="shared" si="14"/>
        <v>34.155333333333338</v>
      </c>
      <c r="AY18" s="698">
        <f t="shared" si="15"/>
        <v>303.95966729855996</v>
      </c>
      <c r="AZ18" s="697"/>
      <c r="BA18" s="598">
        <v>1200</v>
      </c>
      <c r="BB18" s="593">
        <v>103.50685607036536</v>
      </c>
      <c r="BC18" s="667">
        <v>1.1481365052688972</v>
      </c>
      <c r="BD18" s="667">
        <f>D18-BB25</f>
        <v>27.259999999999991</v>
      </c>
      <c r="BE18" s="667">
        <f>BB27-BB28</f>
        <v>118.84000000000002</v>
      </c>
      <c r="BF18" s="667">
        <f t="shared" si="16"/>
        <v>22.938404577583292</v>
      </c>
      <c r="BG18" s="668">
        <f t="shared" si="17"/>
        <v>26.336419668150555</v>
      </c>
      <c r="BH18" s="598">
        <v>1200</v>
      </c>
      <c r="BI18" s="593">
        <v>103.50685607036536</v>
      </c>
      <c r="BJ18" s="667">
        <v>1.2437823433887396</v>
      </c>
      <c r="BK18" s="667">
        <f t="shared" si="18"/>
        <v>26.279999999999973</v>
      </c>
      <c r="BL18" s="667">
        <f>BI27-BI28</f>
        <v>128.74</v>
      </c>
      <c r="BM18" s="667">
        <f t="shared" si="19"/>
        <v>20.413235979493528</v>
      </c>
      <c r="BN18" s="668">
        <f t="shared" si="20"/>
        <v>25.389622482721794</v>
      </c>
      <c r="BO18" s="621">
        <v>1200</v>
      </c>
      <c r="BP18" s="679">
        <v>103.50685607036536</v>
      </c>
      <c r="BQ18" s="667">
        <v>1.3366264347353747</v>
      </c>
      <c r="BR18" s="667">
        <f t="shared" si="21"/>
        <v>26.050000000000011</v>
      </c>
      <c r="BS18" s="667">
        <f>BP27-BP28</f>
        <v>138.35000000000002</v>
      </c>
      <c r="BT18" s="667">
        <f t="shared" si="22"/>
        <v>18.829056740151795</v>
      </c>
      <c r="BU18" s="680">
        <f t="shared" si="23"/>
        <v>25.167414980019171</v>
      </c>
      <c r="BV18" s="598">
        <v>1200</v>
      </c>
      <c r="BW18" s="593">
        <v>103.50685607036536</v>
      </c>
      <c r="BX18" s="667">
        <v>1.1880372437976798</v>
      </c>
      <c r="BY18" s="667">
        <f t="shared" si="24"/>
        <v>25.329999999999984</v>
      </c>
      <c r="BZ18" s="667">
        <f>BW27-BW28</f>
        <v>122.97</v>
      </c>
      <c r="CA18" s="667">
        <f t="shared" si="25"/>
        <v>20.598519964218902</v>
      </c>
      <c r="CB18" s="668">
        <f t="shared" si="26"/>
        <v>24.471808884602108</v>
      </c>
      <c r="CC18" s="681"/>
      <c r="CD18" s="681"/>
    </row>
    <row r="19" spans="1:84" ht="15.75">
      <c r="A19" s="564"/>
      <c r="B19" s="585" t="s">
        <v>116</v>
      </c>
      <c r="C19" s="586">
        <v>1500</v>
      </c>
      <c r="D19" s="594">
        <v>430.03</v>
      </c>
      <c r="E19" s="595">
        <v>6.12</v>
      </c>
      <c r="F19" s="595">
        <v>5.58</v>
      </c>
      <c r="G19" s="596">
        <v>6.3</v>
      </c>
      <c r="H19" s="589">
        <v>1500</v>
      </c>
      <c r="I19" s="562">
        <v>439.15</v>
      </c>
      <c r="J19" s="562">
        <v>5.48</v>
      </c>
      <c r="K19" s="562">
        <v>5.75</v>
      </c>
      <c r="L19" s="562">
        <v>5.85</v>
      </c>
      <c r="M19" s="589">
        <v>1500</v>
      </c>
      <c r="N19" s="562">
        <v>450.83</v>
      </c>
      <c r="O19" s="562">
        <v>6.36</v>
      </c>
      <c r="P19" s="562">
        <v>5.53</v>
      </c>
      <c r="Q19" s="562">
        <v>5.86</v>
      </c>
      <c r="R19" s="589">
        <v>1500</v>
      </c>
      <c r="S19" s="562">
        <v>433.11</v>
      </c>
      <c r="T19" s="562">
        <v>6.98</v>
      </c>
      <c r="U19" s="562">
        <v>7.71</v>
      </c>
      <c r="V19" s="597">
        <v>7.88</v>
      </c>
      <c r="W19" s="564"/>
      <c r="X19" s="598">
        <v>1500</v>
      </c>
      <c r="Y19" s="592">
        <f t="shared" si="0"/>
        <v>0.6</v>
      </c>
      <c r="Z19" s="593">
        <v>9.6440000000000001</v>
      </c>
      <c r="AA19" s="593">
        <v>4.5170000000000003</v>
      </c>
      <c r="AB19" s="593">
        <f t="shared" si="1"/>
        <v>4.5270000000000001</v>
      </c>
      <c r="AC19" s="593">
        <f t="shared" si="2"/>
        <v>34.049000000000007</v>
      </c>
      <c r="AD19" s="653">
        <f t="shared" si="3"/>
        <v>484.84681324650012</v>
      </c>
      <c r="AE19" s="621">
        <v>1500</v>
      </c>
      <c r="AF19" s="595">
        <f t="shared" si="4"/>
        <v>0.56933333333333325</v>
      </c>
      <c r="AG19" s="593">
        <v>9.6440000000000001</v>
      </c>
      <c r="AH19" s="593">
        <v>4.5170000000000003</v>
      </c>
      <c r="AI19" s="593">
        <f t="shared" si="5"/>
        <v>4.5576666666666661</v>
      </c>
      <c r="AJ19" s="593">
        <f t="shared" si="6"/>
        <v>34.018333333333338</v>
      </c>
      <c r="AK19" s="653">
        <f t="shared" si="7"/>
        <v>487.69160624249997</v>
      </c>
      <c r="AL19" s="621">
        <v>1500</v>
      </c>
      <c r="AM19" s="595">
        <f t="shared" si="8"/>
        <v>0.59166666666666667</v>
      </c>
      <c r="AN19" s="593">
        <v>9.6440000000000001</v>
      </c>
      <c r="AO19" s="593">
        <v>4.5170000000000003</v>
      </c>
      <c r="AP19" s="593">
        <f t="shared" si="9"/>
        <v>4.535333333333333</v>
      </c>
      <c r="AQ19" s="593">
        <f t="shared" si="10"/>
        <v>34.040666666666674</v>
      </c>
      <c r="AR19" s="698">
        <f t="shared" si="11"/>
        <v>485.62044023400006</v>
      </c>
      <c r="AS19" s="598">
        <v>1500</v>
      </c>
      <c r="AT19" s="595">
        <f t="shared" si="12"/>
        <v>0.7523333333333333</v>
      </c>
      <c r="AU19" s="593">
        <v>9.6440000000000001</v>
      </c>
      <c r="AV19" s="593">
        <v>4.5170000000000003</v>
      </c>
      <c r="AW19" s="593">
        <f t="shared" si="13"/>
        <v>4.3746666666666663</v>
      </c>
      <c r="AX19" s="593">
        <f t="shared" si="14"/>
        <v>34.201333333333338</v>
      </c>
      <c r="AY19" s="698">
        <f t="shared" si="15"/>
        <v>470.62792615199999</v>
      </c>
      <c r="AZ19" s="697"/>
      <c r="BA19" s="598">
        <v>1500</v>
      </c>
      <c r="BB19" s="593">
        <v>103.50685607036536</v>
      </c>
      <c r="BC19" s="667">
        <v>1.1481365052688972</v>
      </c>
      <c r="BD19" s="667">
        <f>D19-BB25</f>
        <v>23.859999999999957</v>
      </c>
      <c r="BE19" s="667">
        <f>BB27-BB28</f>
        <v>118.84000000000002</v>
      </c>
      <c r="BF19" s="667">
        <f t="shared" si="16"/>
        <v>20.077415011780506</v>
      </c>
      <c r="BG19" s="668">
        <f t="shared" si="17"/>
        <v>23.051613106458966</v>
      </c>
      <c r="BH19" s="598">
        <v>1500</v>
      </c>
      <c r="BI19" s="593">
        <v>103.50685607036536</v>
      </c>
      <c r="BJ19" s="667">
        <v>1.2437823433887396</v>
      </c>
      <c r="BK19" s="667">
        <f t="shared" si="18"/>
        <v>23.549999999999955</v>
      </c>
      <c r="BL19" s="667">
        <f>BI27-BI28</f>
        <v>128.74</v>
      </c>
      <c r="BM19" s="667">
        <f t="shared" si="19"/>
        <v>18.292682926829233</v>
      </c>
      <c r="BN19" s="668">
        <f t="shared" si="20"/>
        <v>22.752116037598853</v>
      </c>
      <c r="BO19" s="621">
        <v>1500</v>
      </c>
      <c r="BP19" s="679">
        <v>103.50685607036536</v>
      </c>
      <c r="BQ19" s="667">
        <v>1.3366264347353747</v>
      </c>
      <c r="BR19" s="667">
        <f t="shared" si="21"/>
        <v>24.240000000000009</v>
      </c>
      <c r="BS19" s="667">
        <f>BP27-BP28</f>
        <v>138.35000000000002</v>
      </c>
      <c r="BT19" s="667">
        <f t="shared" si="22"/>
        <v>17.520780628839901</v>
      </c>
      <c r="BU19" s="680">
        <f t="shared" si="23"/>
        <v>23.418738545706894</v>
      </c>
      <c r="BV19" s="598">
        <v>1500</v>
      </c>
      <c r="BW19" s="593">
        <v>103.50685607036536</v>
      </c>
      <c r="BX19" s="667">
        <v>1.1880372437976798</v>
      </c>
      <c r="BY19" s="667">
        <f t="shared" si="24"/>
        <v>23.620000000000005</v>
      </c>
      <c r="BZ19" s="667">
        <f>BW27-BW28</f>
        <v>122.97</v>
      </c>
      <c r="CA19" s="667">
        <f t="shared" si="25"/>
        <v>19.207936895177692</v>
      </c>
      <c r="CB19" s="668">
        <f t="shared" si="26"/>
        <v>22.819744407986668</v>
      </c>
      <c r="CC19" s="681"/>
      <c r="CD19" s="681"/>
    </row>
    <row r="20" spans="1:84" ht="15.75">
      <c r="A20" s="564"/>
      <c r="B20" s="585" t="s">
        <v>116</v>
      </c>
      <c r="C20" s="586">
        <v>2500</v>
      </c>
      <c r="D20" s="594">
        <v>425.17</v>
      </c>
      <c r="E20" s="595">
        <v>7.32</v>
      </c>
      <c r="F20" s="595">
        <v>6.43</v>
      </c>
      <c r="G20" s="596">
        <v>7.46</v>
      </c>
      <c r="H20" s="589">
        <v>2500</v>
      </c>
      <c r="I20" s="562">
        <v>434.84</v>
      </c>
      <c r="J20" s="562">
        <v>6.59</v>
      </c>
      <c r="K20" s="562">
        <v>7.04</v>
      </c>
      <c r="L20" s="562">
        <v>6.53</v>
      </c>
      <c r="M20" s="589">
        <v>2500</v>
      </c>
      <c r="N20" s="562">
        <v>446.5</v>
      </c>
      <c r="O20" s="562">
        <v>6.97</v>
      </c>
      <c r="P20" s="562">
        <v>6.19</v>
      </c>
      <c r="Q20" s="562">
        <v>7.08</v>
      </c>
      <c r="R20" s="589">
        <v>2500</v>
      </c>
      <c r="S20" s="562">
        <v>429.19</v>
      </c>
      <c r="T20" s="562">
        <v>8.93</v>
      </c>
      <c r="U20" s="562">
        <v>8.42</v>
      </c>
      <c r="V20" s="597">
        <v>7.75</v>
      </c>
      <c r="W20" s="564"/>
      <c r="X20" s="598">
        <v>2500</v>
      </c>
      <c r="Y20" s="592">
        <f t="shared" si="0"/>
        <v>0.70700000000000007</v>
      </c>
      <c r="Z20" s="593">
        <v>9.6440000000000001</v>
      </c>
      <c r="AA20" s="593">
        <v>4.5170000000000003</v>
      </c>
      <c r="AB20" s="593">
        <f t="shared" si="1"/>
        <v>4.42</v>
      </c>
      <c r="AC20" s="593">
        <f t="shared" si="2"/>
        <v>34.156000000000006</v>
      </c>
      <c r="AD20" s="653">
        <f t="shared" si="3"/>
        <v>1319.0961810000001</v>
      </c>
      <c r="AE20" s="621">
        <v>2500</v>
      </c>
      <c r="AF20" s="595">
        <f t="shared" si="4"/>
        <v>0.67199999999999993</v>
      </c>
      <c r="AG20" s="593">
        <v>9.6440000000000001</v>
      </c>
      <c r="AH20" s="593">
        <v>4.5170000000000003</v>
      </c>
      <c r="AI20" s="593">
        <f t="shared" si="5"/>
        <v>4.4550000000000001</v>
      </c>
      <c r="AJ20" s="593">
        <f t="shared" si="6"/>
        <v>34.121000000000002</v>
      </c>
      <c r="AK20" s="653">
        <f t="shared" si="7"/>
        <v>1328.1791180625</v>
      </c>
      <c r="AL20" s="621">
        <v>2500</v>
      </c>
      <c r="AM20" s="595">
        <f t="shared" si="8"/>
        <v>0.67466666666666675</v>
      </c>
      <c r="AN20" s="593">
        <v>9.6440000000000001</v>
      </c>
      <c r="AO20" s="593">
        <v>4.5170000000000003</v>
      </c>
      <c r="AP20" s="593">
        <f t="shared" si="9"/>
        <v>4.4523333333333328</v>
      </c>
      <c r="AQ20" s="593">
        <f t="shared" si="10"/>
        <v>34.123666666666672</v>
      </c>
      <c r="AR20" s="698">
        <f t="shared" si="11"/>
        <v>1327.4878381291667</v>
      </c>
      <c r="AS20" s="598">
        <v>2500</v>
      </c>
      <c r="AT20" s="595">
        <f t="shared" si="12"/>
        <v>0.83666666666666667</v>
      </c>
      <c r="AU20" s="593">
        <v>9.6440000000000001</v>
      </c>
      <c r="AV20" s="593">
        <v>4.5170000000000003</v>
      </c>
      <c r="AW20" s="593">
        <f t="shared" si="13"/>
        <v>4.2903333333333329</v>
      </c>
      <c r="AX20" s="593">
        <f t="shared" si="14"/>
        <v>34.285666666666671</v>
      </c>
      <c r="AY20" s="698">
        <f t="shared" si="15"/>
        <v>1285.2595006291665</v>
      </c>
      <c r="AZ20" s="697"/>
      <c r="BA20" s="598">
        <v>2500</v>
      </c>
      <c r="BB20" s="593">
        <v>103.50685607036536</v>
      </c>
      <c r="BC20" s="667">
        <v>1.1481365052688972</v>
      </c>
      <c r="BD20" s="667">
        <f>D20-BB25</f>
        <v>19</v>
      </c>
      <c r="BE20" s="667">
        <f>BB27-BB28</f>
        <v>118.84000000000002</v>
      </c>
      <c r="BF20" s="667">
        <f t="shared" si="16"/>
        <v>15.987882867721304</v>
      </c>
      <c r="BG20" s="668">
        <f t="shared" si="17"/>
        <v>18.356271962394011</v>
      </c>
      <c r="BH20" s="598">
        <v>2500</v>
      </c>
      <c r="BI20" s="593">
        <v>103.50685607036536</v>
      </c>
      <c r="BJ20" s="667">
        <v>1.2437823433887396</v>
      </c>
      <c r="BK20" s="667">
        <f t="shared" si="18"/>
        <v>19.239999999999952</v>
      </c>
      <c r="BL20" s="667">
        <f>BI27-BI28</f>
        <v>128.74</v>
      </c>
      <c r="BM20" s="667">
        <f t="shared" si="19"/>
        <v>14.944850085443493</v>
      </c>
      <c r="BN20" s="668">
        <f t="shared" si="20"/>
        <v>18.588140660866312</v>
      </c>
      <c r="BO20" s="621">
        <v>2500</v>
      </c>
      <c r="BP20" s="679">
        <v>103.50685607036536</v>
      </c>
      <c r="BQ20" s="667">
        <v>1.3366264347353747</v>
      </c>
      <c r="BR20" s="667">
        <f t="shared" si="21"/>
        <v>19.910000000000025</v>
      </c>
      <c r="BS20" s="667">
        <f>BP27-BP28</f>
        <v>138.35000000000002</v>
      </c>
      <c r="BT20" s="667">
        <f t="shared" si="22"/>
        <v>14.391037224430809</v>
      </c>
      <c r="BU20" s="680">
        <f t="shared" si="23"/>
        <v>19.235440777435013</v>
      </c>
      <c r="BV20" s="598">
        <v>2500</v>
      </c>
      <c r="BW20" s="593">
        <v>103.50685607036536</v>
      </c>
      <c r="BX20" s="667">
        <v>1.1880372437976798</v>
      </c>
      <c r="BY20" s="667">
        <f t="shared" si="24"/>
        <v>19.699999999999989</v>
      </c>
      <c r="BZ20" s="667">
        <f>BW27-BW28</f>
        <v>122.97</v>
      </c>
      <c r="CA20" s="667">
        <f t="shared" si="25"/>
        <v>16.020167520533455</v>
      </c>
      <c r="CB20" s="668">
        <f t="shared" si="26"/>
        <v>19.032555666271676</v>
      </c>
      <c r="CC20" s="681"/>
      <c r="CD20" s="681"/>
    </row>
    <row r="21" spans="1:84" ht="15.75">
      <c r="A21" s="564"/>
      <c r="B21" s="585" t="s">
        <v>116</v>
      </c>
      <c r="C21" s="586">
        <v>5000</v>
      </c>
      <c r="D21" s="594">
        <v>420.89</v>
      </c>
      <c r="E21" s="595">
        <v>10.63</v>
      </c>
      <c r="F21" s="595">
        <v>8.66</v>
      </c>
      <c r="G21" s="596">
        <v>9.73</v>
      </c>
      <c r="H21" s="589">
        <v>5000</v>
      </c>
      <c r="I21" s="562">
        <v>430.71</v>
      </c>
      <c r="J21" s="562">
        <v>8.8800000000000008</v>
      </c>
      <c r="K21" s="562">
        <v>8.85</v>
      </c>
      <c r="L21" s="562">
        <v>8.27</v>
      </c>
      <c r="M21" s="589">
        <v>5000</v>
      </c>
      <c r="N21" s="562">
        <v>441.62</v>
      </c>
      <c r="O21" s="562">
        <v>9.0500000000000007</v>
      </c>
      <c r="P21" s="562">
        <v>7.61</v>
      </c>
      <c r="Q21" s="562">
        <v>8.3800000000000008</v>
      </c>
      <c r="R21" s="589">
        <v>5000</v>
      </c>
      <c r="S21" s="562">
        <v>424.5</v>
      </c>
      <c r="T21" s="562">
        <v>10.37</v>
      </c>
      <c r="U21" s="562">
        <v>11.92</v>
      </c>
      <c r="V21" s="597">
        <v>10.95</v>
      </c>
      <c r="W21" s="564"/>
      <c r="X21" s="598">
        <v>5000</v>
      </c>
      <c r="Y21" s="592">
        <f t="shared" si="0"/>
        <v>0.96733333333333338</v>
      </c>
      <c r="Z21" s="593">
        <v>9.6440000000000001</v>
      </c>
      <c r="AA21" s="593">
        <v>4.5170000000000003</v>
      </c>
      <c r="AB21" s="593">
        <f t="shared" si="1"/>
        <v>4.1596666666666664</v>
      </c>
      <c r="AC21" s="593">
        <f t="shared" si="2"/>
        <v>34.416333333333341</v>
      </c>
      <c r="AD21" s="653">
        <f t="shared" si="3"/>
        <v>5003.4585857166667</v>
      </c>
      <c r="AE21" s="621">
        <v>5000</v>
      </c>
      <c r="AF21" s="595">
        <f t="shared" si="4"/>
        <v>0.86666666666666659</v>
      </c>
      <c r="AG21" s="593">
        <v>9.6440000000000001</v>
      </c>
      <c r="AH21" s="593">
        <v>4.5170000000000003</v>
      </c>
      <c r="AI21" s="593">
        <f t="shared" si="5"/>
        <v>4.2603333333333335</v>
      </c>
      <c r="AJ21" s="593">
        <f t="shared" si="6"/>
        <v>34.315666666666672</v>
      </c>
      <c r="AK21" s="653">
        <f t="shared" si="7"/>
        <v>5109.556440516667</v>
      </c>
      <c r="AL21" s="621">
        <v>5000</v>
      </c>
      <c r="AM21" s="595">
        <f t="shared" si="8"/>
        <v>0.83466666666666656</v>
      </c>
      <c r="AN21" s="593">
        <v>9.6440000000000001</v>
      </c>
      <c r="AO21" s="593">
        <v>4.5170000000000003</v>
      </c>
      <c r="AP21" s="593">
        <f t="shared" si="9"/>
        <v>4.2923333333333336</v>
      </c>
      <c r="AQ21" s="593">
        <f t="shared" si="10"/>
        <v>34.283666666666669</v>
      </c>
      <c r="AR21" s="698">
        <f t="shared" si="11"/>
        <v>5143.1345365166662</v>
      </c>
      <c r="AS21" s="598">
        <v>5000</v>
      </c>
      <c r="AT21" s="595">
        <f t="shared" si="12"/>
        <v>1.1079999999999999</v>
      </c>
      <c r="AU21" s="593">
        <v>9.6440000000000001</v>
      </c>
      <c r="AV21" s="593">
        <v>4.5170000000000003</v>
      </c>
      <c r="AW21" s="593">
        <f t="shared" si="13"/>
        <v>4.0190000000000001</v>
      </c>
      <c r="AX21" s="593">
        <f t="shared" si="14"/>
        <v>34.557000000000002</v>
      </c>
      <c r="AY21" s="698">
        <f t="shared" si="15"/>
        <v>4854.0161758499999</v>
      </c>
      <c r="AZ21" s="697"/>
      <c r="BA21" s="598">
        <v>5000</v>
      </c>
      <c r="BB21" s="593">
        <v>103.50685607036536</v>
      </c>
      <c r="BC21" s="667">
        <v>1.1481365052688972</v>
      </c>
      <c r="BD21" s="667">
        <f>D21-BB25</f>
        <v>14.71999999999997</v>
      </c>
      <c r="BE21" s="667">
        <f>BB27-BB28</f>
        <v>118.84000000000002</v>
      </c>
      <c r="BF21" s="667">
        <f t="shared" si="16"/>
        <v>12.386401884887217</v>
      </c>
      <c r="BG21" s="668">
        <f t="shared" si="17"/>
        <v>14.221280172970491</v>
      </c>
      <c r="BH21" s="598">
        <v>5000</v>
      </c>
      <c r="BI21" s="593">
        <v>103.50685607036536</v>
      </c>
      <c r="BJ21" s="667">
        <v>1.2437823433887396</v>
      </c>
      <c r="BK21" s="667">
        <f t="shared" si="18"/>
        <v>15.109999999999957</v>
      </c>
      <c r="BL21" s="667">
        <f>BI27-BI28</f>
        <v>128.74</v>
      </c>
      <c r="BM21" s="667">
        <f t="shared" si="19"/>
        <v>11.736833928848808</v>
      </c>
      <c r="BN21" s="668">
        <f t="shared" si="20"/>
        <v>14.598066807988038</v>
      </c>
      <c r="BO21" s="621">
        <v>5000</v>
      </c>
      <c r="BP21" s="679">
        <v>103.50685607036536</v>
      </c>
      <c r="BQ21" s="667">
        <v>1.3366264347353747</v>
      </c>
      <c r="BR21" s="667">
        <f t="shared" si="21"/>
        <v>15.03000000000003</v>
      </c>
      <c r="BS21" s="667">
        <f>BP27-BP28</f>
        <v>138.35000000000002</v>
      </c>
      <c r="BT21" s="667">
        <f t="shared" si="22"/>
        <v>10.863751355258422</v>
      </c>
      <c r="BU21" s="680">
        <f t="shared" si="23"/>
        <v>14.520777241830659</v>
      </c>
      <c r="BV21" s="598">
        <v>5000</v>
      </c>
      <c r="BW21" s="593">
        <v>103.50685607036536</v>
      </c>
      <c r="BX21" s="667">
        <v>1.1880372437976798</v>
      </c>
      <c r="BY21" s="667">
        <f t="shared" si="24"/>
        <v>15.009999999999991</v>
      </c>
      <c r="BZ21" s="667">
        <f>BW27-BW28</f>
        <v>122.97</v>
      </c>
      <c r="CA21" s="667">
        <f t="shared" si="25"/>
        <v>12.206229161584119</v>
      </c>
      <c r="CB21" s="668">
        <f t="shared" si="26"/>
        <v>14.50145485029126</v>
      </c>
      <c r="CC21" s="681"/>
      <c r="CD21" s="681"/>
    </row>
    <row r="22" spans="1:84" ht="15.75">
      <c r="A22" s="564"/>
      <c r="B22" s="585" t="s">
        <v>116</v>
      </c>
      <c r="C22" s="586">
        <v>7000</v>
      </c>
      <c r="D22" s="594">
        <v>418.98</v>
      </c>
      <c r="E22" s="595">
        <v>9.93</v>
      </c>
      <c r="F22" s="595">
        <v>12.01</v>
      </c>
      <c r="G22" s="596">
        <v>10.75</v>
      </c>
      <c r="H22" s="589">
        <v>7000</v>
      </c>
      <c r="I22" s="562">
        <v>428.64</v>
      </c>
      <c r="J22" s="562">
        <v>9.68</v>
      </c>
      <c r="K22" s="562">
        <v>9.9600000000000009</v>
      </c>
      <c r="L22" s="562">
        <v>9.6300000000000008</v>
      </c>
      <c r="M22" s="589">
        <v>7000</v>
      </c>
      <c r="N22" s="562">
        <v>439.31</v>
      </c>
      <c r="O22" s="562">
        <v>9.07</v>
      </c>
      <c r="P22" s="562">
        <v>8.35</v>
      </c>
      <c r="Q22" s="562">
        <v>9.73</v>
      </c>
      <c r="R22" s="589">
        <v>7000</v>
      </c>
      <c r="S22" s="562">
        <v>422.38</v>
      </c>
      <c r="T22" s="562">
        <v>10.9</v>
      </c>
      <c r="U22" s="562">
        <v>12.45</v>
      </c>
      <c r="V22" s="597">
        <v>11.19</v>
      </c>
      <c r="W22" s="564"/>
      <c r="X22" s="598">
        <v>7000</v>
      </c>
      <c r="Y22" s="592">
        <f t="shared" si="0"/>
        <v>1.0896666666666666</v>
      </c>
      <c r="Z22" s="593">
        <v>9.6440000000000001</v>
      </c>
      <c r="AA22" s="593">
        <v>4.5170000000000003</v>
      </c>
      <c r="AB22" s="593">
        <f t="shared" si="1"/>
        <v>4.0373333333333328</v>
      </c>
      <c r="AC22" s="593">
        <f t="shared" si="2"/>
        <v>34.538666666666671</v>
      </c>
      <c r="AD22" s="653">
        <f t="shared" si="3"/>
        <v>9552.2004384426655</v>
      </c>
      <c r="AE22" s="621">
        <v>7000</v>
      </c>
      <c r="AF22" s="595">
        <f t="shared" si="4"/>
        <v>0.97566666666666679</v>
      </c>
      <c r="AG22" s="593">
        <v>9.6440000000000001</v>
      </c>
      <c r="AH22" s="593">
        <v>4.5170000000000003</v>
      </c>
      <c r="AI22" s="593">
        <f t="shared" si="5"/>
        <v>4.1513333333333327</v>
      </c>
      <c r="AJ22" s="593">
        <f t="shared" si="6"/>
        <v>34.424666666666674</v>
      </c>
      <c r="AK22" s="653">
        <f t="shared" si="7"/>
        <v>9789.5020527546676</v>
      </c>
      <c r="AL22" s="621">
        <v>7000</v>
      </c>
      <c r="AM22" s="595">
        <f t="shared" si="8"/>
        <v>0.90500000000000003</v>
      </c>
      <c r="AN22" s="593">
        <v>9.6440000000000001</v>
      </c>
      <c r="AO22" s="593">
        <v>4.5170000000000003</v>
      </c>
      <c r="AP22" s="593">
        <f t="shared" si="9"/>
        <v>4.2219999999999995</v>
      </c>
      <c r="AQ22" s="593">
        <f t="shared" si="10"/>
        <v>34.354000000000006</v>
      </c>
      <c r="AR22" s="698">
        <f t="shared" si="11"/>
        <v>9935.7073631759995</v>
      </c>
      <c r="AS22" s="598">
        <v>7000</v>
      </c>
      <c r="AT22" s="595">
        <f t="shared" si="12"/>
        <v>1.1513333333333333</v>
      </c>
      <c r="AU22" s="593">
        <v>9.6440000000000001</v>
      </c>
      <c r="AV22" s="593">
        <v>4.5170000000000003</v>
      </c>
      <c r="AW22" s="593">
        <f t="shared" si="13"/>
        <v>3.9756666666666662</v>
      </c>
      <c r="AX22" s="593">
        <f t="shared" si="14"/>
        <v>34.600333333333339</v>
      </c>
      <c r="AY22" s="698">
        <f t="shared" si="15"/>
        <v>9423.0934631726668</v>
      </c>
      <c r="AZ22" s="697"/>
      <c r="BA22" s="598">
        <v>7000</v>
      </c>
      <c r="BB22" s="593">
        <v>103.50685607036536</v>
      </c>
      <c r="BC22" s="667">
        <v>1.1481365052688972</v>
      </c>
      <c r="BD22" s="667">
        <f>D22-BB25</f>
        <v>12.810000000000002</v>
      </c>
      <c r="BE22" s="667">
        <f>BB27-BB28</f>
        <v>118.84000000000002</v>
      </c>
      <c r="BF22" s="667">
        <f t="shared" si="16"/>
        <v>10.779198922921577</v>
      </c>
      <c r="BG22" s="668">
        <f t="shared" si="17"/>
        <v>12.37599178096144</v>
      </c>
      <c r="BH22" s="598">
        <v>7000</v>
      </c>
      <c r="BI22" s="593">
        <v>103.50685607036536</v>
      </c>
      <c r="BJ22" s="667">
        <v>1.2437823433887396</v>
      </c>
      <c r="BK22" s="667">
        <f t="shared" si="18"/>
        <v>13.039999999999964</v>
      </c>
      <c r="BL22" s="667">
        <f>BI27-BI28</f>
        <v>128.74</v>
      </c>
      <c r="BM22" s="667">
        <f t="shared" si="19"/>
        <v>10.128942053751718</v>
      </c>
      <c r="BN22" s="668">
        <f t="shared" si="20"/>
        <v>12.598199283664064</v>
      </c>
      <c r="BO22" s="621">
        <v>7000</v>
      </c>
      <c r="BP22" s="679">
        <v>103.50685607036536</v>
      </c>
      <c r="BQ22" s="667">
        <v>1.3366264347353747</v>
      </c>
      <c r="BR22" s="667">
        <f t="shared" si="21"/>
        <v>12.720000000000027</v>
      </c>
      <c r="BS22" s="667">
        <f>BP27-BP28</f>
        <v>138.35000000000002</v>
      </c>
      <c r="BT22" s="667">
        <f t="shared" si="22"/>
        <v>9.1940730032526385</v>
      </c>
      <c r="BU22" s="680">
        <f t="shared" si="23"/>
        <v>12.289041019034332</v>
      </c>
      <c r="BV22" s="598">
        <v>7000</v>
      </c>
      <c r="BW22" s="593">
        <v>103.50685607036536</v>
      </c>
      <c r="BX22" s="667">
        <v>1.1880372437976798</v>
      </c>
      <c r="BY22" s="667">
        <f t="shared" si="24"/>
        <v>12.889999999999986</v>
      </c>
      <c r="BZ22" s="667">
        <f>BW27-BW28</f>
        <v>122.97</v>
      </c>
      <c r="CA22" s="667">
        <f t="shared" si="25"/>
        <v>10.482231438562239</v>
      </c>
      <c r="CB22" s="668">
        <f t="shared" si="26"/>
        <v>12.453281347118871</v>
      </c>
      <c r="CC22" s="681"/>
      <c r="CD22" s="681"/>
    </row>
    <row r="23" spans="1:84" ht="15.75">
      <c r="A23" s="564"/>
      <c r="B23" s="585" t="s">
        <v>116</v>
      </c>
      <c r="C23" s="586">
        <v>8000</v>
      </c>
      <c r="D23" s="594">
        <v>417.91</v>
      </c>
      <c r="E23" s="595">
        <v>11.54</v>
      </c>
      <c r="F23" s="595">
        <v>10.39</v>
      </c>
      <c r="G23" s="596">
        <v>12.6</v>
      </c>
      <c r="H23" s="589">
        <v>8000</v>
      </c>
      <c r="I23" s="562">
        <v>427.55</v>
      </c>
      <c r="J23" s="562">
        <v>10.31</v>
      </c>
      <c r="K23" s="562">
        <v>10.58</v>
      </c>
      <c r="L23" s="562">
        <v>9.94</v>
      </c>
      <c r="M23" s="589">
        <v>8000</v>
      </c>
      <c r="N23" s="562">
        <v>438.06</v>
      </c>
      <c r="O23" s="562">
        <v>9.92</v>
      </c>
      <c r="P23" s="562">
        <v>8.3699999999999992</v>
      </c>
      <c r="Q23" s="562">
        <v>9.34</v>
      </c>
      <c r="R23" s="589">
        <v>8000</v>
      </c>
      <c r="S23" s="562">
        <v>421.21</v>
      </c>
      <c r="T23" s="562">
        <v>13.22</v>
      </c>
      <c r="U23" s="562">
        <v>12.51</v>
      </c>
      <c r="V23" s="597">
        <v>11.75</v>
      </c>
      <c r="W23" s="564"/>
      <c r="X23" s="598">
        <v>8000</v>
      </c>
      <c r="Y23" s="592">
        <f t="shared" si="0"/>
        <v>1.151</v>
      </c>
      <c r="Z23" s="593">
        <v>9.6440000000000001</v>
      </c>
      <c r="AA23" s="593">
        <v>4.5170000000000003</v>
      </c>
      <c r="AB23" s="593">
        <f t="shared" si="1"/>
        <v>3.976</v>
      </c>
      <c r="AC23" s="593">
        <f t="shared" si="2"/>
        <v>34.600000000000009</v>
      </c>
      <c r="AD23" s="653">
        <f t="shared" si="3"/>
        <v>12308.6272512</v>
      </c>
      <c r="AE23" s="621">
        <v>8000</v>
      </c>
      <c r="AF23" s="595">
        <f t="shared" si="4"/>
        <v>1.0276666666666665</v>
      </c>
      <c r="AG23" s="593">
        <v>9.6440000000000001</v>
      </c>
      <c r="AH23" s="593">
        <v>4.5170000000000003</v>
      </c>
      <c r="AI23" s="593">
        <f t="shared" si="5"/>
        <v>4.0993333333333331</v>
      </c>
      <c r="AJ23" s="593">
        <f t="shared" si="6"/>
        <v>34.476666666666674</v>
      </c>
      <c r="AK23" s="653">
        <f t="shared" si="7"/>
        <v>12645.198447786666</v>
      </c>
      <c r="AL23" s="621">
        <v>8000</v>
      </c>
      <c r="AM23" s="595">
        <f t="shared" si="8"/>
        <v>0.92099999999999993</v>
      </c>
      <c r="AN23" s="593">
        <v>9.6440000000000001</v>
      </c>
      <c r="AO23" s="593">
        <v>4.5170000000000003</v>
      </c>
      <c r="AP23" s="593">
        <f t="shared" si="9"/>
        <v>4.2059999999999995</v>
      </c>
      <c r="AQ23" s="593">
        <f t="shared" si="10"/>
        <v>34.370000000000005</v>
      </c>
      <c r="AR23" s="698">
        <f t="shared" si="11"/>
        <v>12934.092003839998</v>
      </c>
      <c r="AS23" s="598">
        <v>8000</v>
      </c>
      <c r="AT23" s="595">
        <f t="shared" si="12"/>
        <v>1.2493333333333334</v>
      </c>
      <c r="AU23" s="593">
        <v>9.6440000000000001</v>
      </c>
      <c r="AV23" s="593">
        <v>4.5170000000000003</v>
      </c>
      <c r="AW23" s="593">
        <f t="shared" si="13"/>
        <v>3.8776666666666664</v>
      </c>
      <c r="AX23" s="593">
        <f t="shared" si="14"/>
        <v>34.698333333333338</v>
      </c>
      <c r="AY23" s="698">
        <f t="shared" si="15"/>
        <v>12038.329704746664</v>
      </c>
      <c r="AZ23" s="697"/>
      <c r="BA23" s="598">
        <v>8000</v>
      </c>
      <c r="BB23" s="593">
        <v>103.50685607036536</v>
      </c>
      <c r="BC23" s="667">
        <v>1.1481365052688972</v>
      </c>
      <c r="BD23" s="667">
        <f>D23-BB25</f>
        <v>11.740000000000009</v>
      </c>
      <c r="BE23" s="667">
        <f>BB27-BB28</f>
        <v>118.84000000000002</v>
      </c>
      <c r="BF23" s="667">
        <f t="shared" si="16"/>
        <v>9.8788286772130647</v>
      </c>
      <c r="BG23" s="668">
        <f t="shared" si="17"/>
        <v>11.34224383360557</v>
      </c>
      <c r="BH23" s="598">
        <v>8000</v>
      </c>
      <c r="BI23" s="593">
        <v>103.50685607036536</v>
      </c>
      <c r="BJ23" s="667">
        <v>1.2437823433887396</v>
      </c>
      <c r="BK23" s="667">
        <f t="shared" si="18"/>
        <v>11.949999999999989</v>
      </c>
      <c r="BL23" s="667">
        <f>BI27-BI28</f>
        <v>128.74</v>
      </c>
      <c r="BM23" s="667">
        <f t="shared" si="19"/>
        <v>9.2822743514059258</v>
      </c>
      <c r="BN23" s="668">
        <f t="shared" si="20"/>
        <v>11.545128944768855</v>
      </c>
      <c r="BO23" s="621">
        <v>8000</v>
      </c>
      <c r="BP23" s="679">
        <v>103.50685607036536</v>
      </c>
      <c r="BQ23" s="667">
        <v>1.3366264347353747</v>
      </c>
      <c r="BR23" s="667">
        <f t="shared" si="21"/>
        <v>11.470000000000027</v>
      </c>
      <c r="BS23" s="667">
        <f>BP27-BP28</f>
        <v>138.35000000000002</v>
      </c>
      <c r="BT23" s="667">
        <f t="shared" si="22"/>
        <v>8.2905674015179081</v>
      </c>
      <c r="BU23" s="680">
        <f t="shared" si="23"/>
        <v>11.0813915478242</v>
      </c>
      <c r="BV23" s="598">
        <v>8000</v>
      </c>
      <c r="BW23" s="593">
        <v>103.50685607036536</v>
      </c>
      <c r="BX23" s="667">
        <v>1.1880372437976798</v>
      </c>
      <c r="BY23" s="667">
        <f t="shared" si="24"/>
        <v>11.71999999999997</v>
      </c>
      <c r="BZ23" s="667">
        <f>BW27-BW28</f>
        <v>122.97</v>
      </c>
      <c r="CA23" s="667">
        <f t="shared" si="25"/>
        <v>9.5307798650077018</v>
      </c>
      <c r="CB23" s="668">
        <f t="shared" si="26"/>
        <v>11.322921442066173</v>
      </c>
      <c r="CC23" s="681"/>
      <c r="CD23" s="681"/>
    </row>
    <row r="24" spans="1:84" ht="15.75">
      <c r="A24" s="564"/>
      <c r="B24" s="599"/>
      <c r="C24" s="600">
        <v>10000</v>
      </c>
      <c r="D24" s="601">
        <v>416.9</v>
      </c>
      <c r="E24" s="602">
        <v>14.81</v>
      </c>
      <c r="F24" s="602">
        <v>10.76</v>
      </c>
      <c r="G24" s="603">
        <v>12.5</v>
      </c>
      <c r="H24" s="604">
        <v>10000</v>
      </c>
      <c r="I24" s="605">
        <v>426.5</v>
      </c>
      <c r="J24" s="605">
        <v>11.3</v>
      </c>
      <c r="K24" s="605">
        <v>11.46</v>
      </c>
      <c r="L24" s="605">
        <v>10.96</v>
      </c>
      <c r="M24" s="604">
        <v>10000</v>
      </c>
      <c r="N24" s="605">
        <v>436.95</v>
      </c>
      <c r="O24" s="605">
        <v>10.65</v>
      </c>
      <c r="P24" s="605">
        <v>9.17</v>
      </c>
      <c r="Q24" s="605">
        <v>9.91</v>
      </c>
      <c r="R24" s="604">
        <v>10000</v>
      </c>
      <c r="S24" s="605">
        <v>420.08</v>
      </c>
      <c r="T24" s="605">
        <v>12.16</v>
      </c>
      <c r="U24" s="605">
        <v>13.79</v>
      </c>
      <c r="V24" s="606">
        <v>12.23</v>
      </c>
      <c r="W24" s="564"/>
      <c r="X24" s="607">
        <v>10000</v>
      </c>
      <c r="Y24" s="608">
        <f t="shared" si="0"/>
        <v>1.2689999999999999</v>
      </c>
      <c r="Z24" s="609">
        <v>9.6440000000000001</v>
      </c>
      <c r="AA24" s="609">
        <v>4.5170000000000003</v>
      </c>
      <c r="AB24" s="609">
        <f t="shared" si="1"/>
        <v>3.8579999999999997</v>
      </c>
      <c r="AC24" s="609">
        <f t="shared" si="2"/>
        <v>34.718000000000004</v>
      </c>
      <c r="AD24" s="702">
        <f t="shared" si="3"/>
        <v>18725.097751199995</v>
      </c>
      <c r="AE24" s="622">
        <v>10000</v>
      </c>
      <c r="AF24" s="602">
        <f t="shared" si="4"/>
        <v>1.1240000000000001</v>
      </c>
      <c r="AG24" s="609">
        <v>9.6440000000000001</v>
      </c>
      <c r="AH24" s="609">
        <v>4.5170000000000003</v>
      </c>
      <c r="AI24" s="609">
        <f t="shared" si="5"/>
        <v>4.0030000000000001</v>
      </c>
      <c r="AJ24" s="609">
        <f t="shared" si="6"/>
        <v>34.573000000000008</v>
      </c>
      <c r="AK24" s="702">
        <f t="shared" si="7"/>
        <v>19347.721516200003</v>
      </c>
      <c r="AL24" s="622">
        <v>10000</v>
      </c>
      <c r="AM24" s="602">
        <f t="shared" si="8"/>
        <v>0.99099999999999999</v>
      </c>
      <c r="AN24" s="609">
        <v>9.6440000000000001</v>
      </c>
      <c r="AO24" s="609">
        <v>4.5170000000000003</v>
      </c>
      <c r="AP24" s="609">
        <f t="shared" si="9"/>
        <v>4.1360000000000001</v>
      </c>
      <c r="AQ24" s="609">
        <f t="shared" si="10"/>
        <v>34.440000000000005</v>
      </c>
      <c r="AR24" s="699">
        <f t="shared" si="11"/>
        <v>19913.648831999999</v>
      </c>
      <c r="AS24" s="607">
        <v>10000</v>
      </c>
      <c r="AT24" s="602">
        <f t="shared" si="12"/>
        <v>1.2726666666666666</v>
      </c>
      <c r="AU24" s="609">
        <v>9.6440000000000001</v>
      </c>
      <c r="AV24" s="609">
        <v>4.5170000000000003</v>
      </c>
      <c r="AW24" s="609">
        <f t="shared" si="13"/>
        <v>3.8543333333333329</v>
      </c>
      <c r="AX24" s="609">
        <f t="shared" si="14"/>
        <v>34.721666666666671</v>
      </c>
      <c r="AY24" s="699">
        <f t="shared" si="15"/>
        <v>18709.277035666662</v>
      </c>
      <c r="AZ24" s="697"/>
      <c r="BA24" s="607">
        <v>10000</v>
      </c>
      <c r="BB24" s="609">
        <v>103.50685607036536</v>
      </c>
      <c r="BC24" s="667">
        <v>1.1481365052688972</v>
      </c>
      <c r="BD24" s="682">
        <f>D24-BB25</f>
        <v>10.729999999999961</v>
      </c>
      <c r="BE24" s="682">
        <f>BB27-BB28</f>
        <v>118.84000000000002</v>
      </c>
      <c r="BF24" s="682">
        <f t="shared" si="16"/>
        <v>9.0289464826657362</v>
      </c>
      <c r="BG24" s="683">
        <f t="shared" si="17"/>
        <v>10.366463060867741</v>
      </c>
      <c r="BH24" s="607">
        <v>10000</v>
      </c>
      <c r="BI24" s="609">
        <v>103.50685607036536</v>
      </c>
      <c r="BJ24" s="667">
        <v>1.2437823433887396</v>
      </c>
      <c r="BK24" s="682">
        <f t="shared" si="18"/>
        <v>10.899999999999977</v>
      </c>
      <c r="BL24" s="682">
        <f>BI27-BI28</f>
        <v>128.74</v>
      </c>
      <c r="BM24" s="682">
        <f t="shared" si="19"/>
        <v>8.4666770234581143</v>
      </c>
      <c r="BN24" s="683">
        <f t="shared" si="20"/>
        <v>10.530703388952332</v>
      </c>
      <c r="BO24" s="622">
        <v>10000</v>
      </c>
      <c r="BP24" s="684">
        <v>103.50685607036536</v>
      </c>
      <c r="BQ24" s="667">
        <v>1.3366264347353747</v>
      </c>
      <c r="BR24" s="682">
        <f t="shared" si="21"/>
        <v>10.360000000000014</v>
      </c>
      <c r="BS24" s="682">
        <f>BP27-BP28</f>
        <v>138.35000000000002</v>
      </c>
      <c r="BT24" s="682">
        <f t="shared" si="22"/>
        <v>7.4882544271774574</v>
      </c>
      <c r="BU24" s="685">
        <f t="shared" si="23"/>
        <v>10.008998817389591</v>
      </c>
      <c r="BV24" s="607">
        <v>10000</v>
      </c>
      <c r="BW24" s="609">
        <v>103.50685607036536</v>
      </c>
      <c r="BX24" s="667">
        <v>1.1880372437976798</v>
      </c>
      <c r="BY24" s="682">
        <f t="shared" si="24"/>
        <v>10.589999999999975</v>
      </c>
      <c r="BZ24" s="682">
        <f>BW27-BW28</f>
        <v>122.97</v>
      </c>
      <c r="CA24" s="682">
        <f t="shared" si="25"/>
        <v>8.6118565503781213</v>
      </c>
      <c r="CB24" s="683">
        <f t="shared" si="26"/>
        <v>10.231206320092218</v>
      </c>
      <c r="CC24" s="681"/>
      <c r="CD24" s="681"/>
    </row>
    <row r="25" spans="1:84" ht="45">
      <c r="A25" s="560" t="s">
        <v>142</v>
      </c>
      <c r="B25" s="560"/>
      <c r="C25" s="610" t="s">
        <v>1015</v>
      </c>
      <c r="D25" s="610" t="s">
        <v>117</v>
      </c>
      <c r="E25" s="610"/>
      <c r="F25" s="610"/>
      <c r="G25" s="611"/>
      <c r="H25" s="610" t="s">
        <v>1015</v>
      </c>
      <c r="I25" s="612">
        <v>200.57</v>
      </c>
      <c r="J25" s="612"/>
      <c r="K25" s="612"/>
      <c r="L25" s="612"/>
      <c r="M25" s="610" t="s">
        <v>1015</v>
      </c>
      <c r="N25" s="590">
        <v>211.71</v>
      </c>
      <c r="O25" s="590"/>
      <c r="P25" s="590"/>
      <c r="Q25" s="590"/>
      <c r="R25" s="610" t="s">
        <v>1015</v>
      </c>
      <c r="S25" s="559">
        <v>194.91</v>
      </c>
      <c r="T25" s="559"/>
      <c r="U25" s="559"/>
      <c r="V25" s="560"/>
      <c r="W25" s="560"/>
      <c r="X25" s="560"/>
      <c r="Y25" s="560"/>
      <c r="Z25" s="560"/>
      <c r="AA25" s="560"/>
      <c r="AB25" s="560"/>
      <c r="AC25" s="560"/>
      <c r="AD25" s="560"/>
      <c r="AE25" s="559"/>
      <c r="AF25" s="559"/>
      <c r="AG25" s="559"/>
      <c r="AH25" s="559"/>
      <c r="AI25" s="559"/>
      <c r="AJ25" s="559"/>
      <c r="AK25" s="559"/>
      <c r="AL25" s="560"/>
      <c r="AM25" s="560"/>
      <c r="AN25" s="559"/>
      <c r="AO25" s="559"/>
      <c r="AP25" s="560"/>
      <c r="AQ25" s="560"/>
      <c r="AR25" s="560"/>
      <c r="AS25" s="560"/>
      <c r="AT25" s="560"/>
      <c r="AU25" s="560"/>
      <c r="AV25" s="560"/>
      <c r="AW25" s="560"/>
      <c r="AX25" s="560"/>
      <c r="AY25" s="560"/>
      <c r="AZ25" s="809" t="s">
        <v>144</v>
      </c>
      <c r="BA25" s="610" t="s">
        <v>1047</v>
      </c>
      <c r="BB25" s="559">
        <f>BB27+215.12</f>
        <v>406.17</v>
      </c>
      <c r="BC25" s="559"/>
      <c r="BD25" s="559"/>
      <c r="BE25" s="559"/>
      <c r="BF25" s="559"/>
      <c r="BG25" s="559"/>
      <c r="BH25" s="610" t="s">
        <v>1047</v>
      </c>
      <c r="BI25" s="559">
        <f>BI27+BI26</f>
        <v>415.6</v>
      </c>
      <c r="BJ25" s="686"/>
      <c r="BK25" s="687"/>
      <c r="BL25" s="687"/>
      <c r="BM25" s="687"/>
      <c r="BN25" s="688"/>
      <c r="BO25" s="610" t="s">
        <v>1047</v>
      </c>
      <c r="BP25" s="559">
        <f>BP26+BP27</f>
        <v>426.59000000000003</v>
      </c>
      <c r="BQ25" s="560"/>
      <c r="BR25" s="559"/>
      <c r="BS25" s="559"/>
      <c r="BT25" s="559"/>
      <c r="BU25" s="559"/>
      <c r="BV25" s="610" t="s">
        <v>1047</v>
      </c>
      <c r="BW25" s="559">
        <f>BW26+BW27</f>
        <v>409.49</v>
      </c>
      <c r="BX25" s="560"/>
      <c r="BY25" s="560"/>
      <c r="BZ25" s="560"/>
      <c r="CA25" s="560"/>
      <c r="CB25" s="560"/>
      <c r="CC25" s="560"/>
      <c r="CD25" s="689"/>
      <c r="CE25" s="6"/>
      <c r="CF25" s="6"/>
    </row>
    <row r="26" spans="1:84">
      <c r="X26" s="560"/>
      <c r="Y26" s="560"/>
      <c r="Z26" s="560"/>
      <c r="AA26" s="560"/>
      <c r="AB26" s="560"/>
      <c r="AC26" s="560"/>
      <c r="AD26" s="560"/>
      <c r="AE26" s="559"/>
      <c r="AF26" s="559"/>
      <c r="AG26" s="559"/>
      <c r="AH26" s="559"/>
      <c r="AI26" s="559"/>
      <c r="AJ26" s="559"/>
      <c r="AK26" s="559"/>
      <c r="AL26" s="560"/>
      <c r="AM26" s="560"/>
      <c r="AN26" s="559"/>
      <c r="AO26" s="559"/>
      <c r="AP26" s="560"/>
      <c r="AQ26" s="560"/>
      <c r="AR26" s="560"/>
      <c r="AS26" s="560"/>
      <c r="AT26" s="560"/>
      <c r="AU26" s="560"/>
      <c r="AV26" s="560"/>
      <c r="AW26" s="560"/>
      <c r="AX26" s="560"/>
      <c r="AY26" s="560"/>
      <c r="AZ26" s="809"/>
      <c r="BA26" s="559" t="s">
        <v>1048</v>
      </c>
      <c r="BB26" s="559">
        <v>215.12</v>
      </c>
      <c r="BC26" s="559"/>
      <c r="BD26" s="559"/>
      <c r="BE26" s="559"/>
      <c r="BF26" s="559"/>
      <c r="BG26" s="559"/>
      <c r="BH26" s="559" t="s">
        <v>1048</v>
      </c>
      <c r="BI26" s="559">
        <v>215.03</v>
      </c>
      <c r="BJ26" s="559"/>
      <c r="BK26" s="569"/>
      <c r="BL26" s="569"/>
      <c r="BM26" s="569"/>
      <c r="BN26" s="569"/>
      <c r="BO26" s="559" t="s">
        <v>1048</v>
      </c>
      <c r="BP26" s="559">
        <v>214.88</v>
      </c>
      <c r="BQ26" s="560"/>
      <c r="BR26" s="559"/>
      <c r="BS26" s="559"/>
      <c r="BT26" s="559"/>
      <c r="BU26" s="559"/>
      <c r="BV26" s="559" t="s">
        <v>1048</v>
      </c>
      <c r="BW26" s="559">
        <v>214.58</v>
      </c>
      <c r="BX26" s="560"/>
      <c r="BY26" s="560"/>
      <c r="BZ26" s="560"/>
      <c r="CA26" s="560"/>
      <c r="CB26" s="560"/>
      <c r="CC26" s="560"/>
      <c r="CD26" s="560"/>
    </row>
    <row r="27" spans="1:84" s="90" customFormat="1" ht="18.75">
      <c r="A27" s="70" t="s">
        <v>146</v>
      </c>
      <c r="B27" s="71"/>
      <c r="C27" s="89"/>
      <c r="O27" s="89"/>
      <c r="P27" s="89"/>
      <c r="Q27" s="89"/>
      <c r="X27" s="613"/>
      <c r="Y27" s="613"/>
      <c r="Z27" s="613"/>
      <c r="AA27" s="613"/>
      <c r="AB27" s="613"/>
      <c r="AC27" s="613"/>
      <c r="AD27" s="613"/>
      <c r="AE27" s="614"/>
      <c r="AF27" s="614"/>
      <c r="AG27" s="614"/>
      <c r="AH27" s="614"/>
      <c r="AI27" s="614"/>
      <c r="AJ27" s="614"/>
      <c r="AK27" s="614"/>
      <c r="AL27" s="613"/>
      <c r="AM27" s="613"/>
      <c r="AN27" s="614"/>
      <c r="AO27" s="614"/>
      <c r="AP27" s="613"/>
      <c r="AQ27" s="613"/>
      <c r="AR27" s="613"/>
      <c r="AS27" s="613"/>
      <c r="AT27" s="613"/>
      <c r="AU27" s="613"/>
      <c r="AV27" s="613"/>
      <c r="AW27" s="613"/>
      <c r="AX27" s="613"/>
      <c r="AY27" s="613"/>
      <c r="AZ27" s="809"/>
      <c r="BA27" s="614" t="s">
        <v>1049</v>
      </c>
      <c r="BB27" s="690">
        <v>191.05</v>
      </c>
      <c r="BC27" s="614"/>
      <c r="BD27" s="614"/>
      <c r="BE27" s="614"/>
      <c r="BF27" s="614"/>
      <c r="BG27" s="614"/>
      <c r="BH27" s="614" t="s">
        <v>1049</v>
      </c>
      <c r="BI27" s="614">
        <v>200.57</v>
      </c>
      <c r="BJ27" s="614"/>
      <c r="BK27" s="691"/>
      <c r="BL27" s="691"/>
      <c r="BM27" s="691"/>
      <c r="BN27" s="691"/>
      <c r="BO27" s="614" t="s">
        <v>1049</v>
      </c>
      <c r="BP27" s="614">
        <v>211.71</v>
      </c>
      <c r="BQ27" s="613"/>
      <c r="BR27" s="614"/>
      <c r="BS27" s="614"/>
      <c r="BT27" s="692"/>
      <c r="BU27" s="692"/>
      <c r="BV27" s="614" t="s">
        <v>1049</v>
      </c>
      <c r="BW27" s="614">
        <v>194.91</v>
      </c>
      <c r="BX27" s="613"/>
      <c r="BY27" s="613"/>
      <c r="BZ27" s="613"/>
      <c r="CA27" s="613"/>
      <c r="CB27" s="613"/>
      <c r="CC27" s="613"/>
      <c r="CD27" s="613"/>
    </row>
    <row r="28" spans="1:84" s="90" customFormat="1" ht="18.75" customHeight="1">
      <c r="A28" s="792" t="s">
        <v>147</v>
      </c>
      <c r="B28" s="792"/>
      <c r="C28" s="792"/>
      <c r="D28" s="792"/>
      <c r="E28" s="613"/>
      <c r="F28" s="613"/>
      <c r="G28" s="613"/>
      <c r="H28" s="613"/>
      <c r="I28" s="613"/>
      <c r="J28" s="613"/>
      <c r="K28" s="613"/>
      <c r="L28" s="613"/>
      <c r="M28" s="613"/>
      <c r="N28" s="613"/>
      <c r="O28" s="614"/>
      <c r="P28" s="614"/>
      <c r="Q28" s="614"/>
      <c r="R28" s="613"/>
      <c r="S28" s="613"/>
      <c r="T28" s="613"/>
      <c r="U28" s="613"/>
      <c r="V28" s="613"/>
      <c r="W28" s="613"/>
      <c r="X28" s="613"/>
      <c r="Y28" s="613"/>
      <c r="Z28" s="613"/>
      <c r="AA28" s="613"/>
      <c r="AB28" s="613"/>
      <c r="AC28" s="613"/>
      <c r="AD28" s="613"/>
      <c r="AE28" s="614"/>
      <c r="AF28" s="614"/>
      <c r="AG28" s="614"/>
      <c r="AH28" s="614"/>
      <c r="AI28" s="614"/>
      <c r="AJ28" s="614"/>
      <c r="AK28" s="614"/>
      <c r="AL28" s="613"/>
      <c r="AM28" s="613"/>
      <c r="AN28" s="614"/>
      <c r="AO28" s="614"/>
      <c r="AP28" s="613"/>
      <c r="AQ28" s="613"/>
      <c r="AR28" s="613"/>
      <c r="AS28" s="613"/>
      <c r="AT28" s="613"/>
      <c r="AU28" s="613"/>
      <c r="AV28" s="613"/>
      <c r="AW28" s="613"/>
      <c r="AX28" s="613"/>
      <c r="AY28" s="613"/>
      <c r="AZ28" s="809"/>
      <c r="BA28" s="614" t="s">
        <v>1050</v>
      </c>
      <c r="BB28" s="614">
        <v>72.209999999999994</v>
      </c>
      <c r="BC28" s="614"/>
      <c r="BD28" s="614"/>
      <c r="BE28" s="614"/>
      <c r="BF28" s="614"/>
      <c r="BG28" s="614"/>
      <c r="BH28" s="614" t="s">
        <v>1050</v>
      </c>
      <c r="BI28" s="614">
        <v>71.83</v>
      </c>
      <c r="BJ28" s="614"/>
      <c r="BK28" s="691"/>
      <c r="BL28" s="691"/>
      <c r="BM28" s="691"/>
      <c r="BN28" s="691"/>
      <c r="BO28" s="614" t="s">
        <v>1050</v>
      </c>
      <c r="BP28" s="614">
        <v>73.36</v>
      </c>
      <c r="BQ28" s="613"/>
      <c r="BR28" s="614"/>
      <c r="BS28" s="614"/>
      <c r="BT28" s="692"/>
      <c r="BU28" s="692"/>
      <c r="BV28" s="614" t="s">
        <v>1050</v>
      </c>
      <c r="BW28" s="614">
        <v>71.94</v>
      </c>
      <c r="BX28" s="613"/>
      <c r="BY28" s="613"/>
      <c r="BZ28" s="613"/>
      <c r="CA28" s="613"/>
      <c r="CB28" s="613"/>
      <c r="CC28" s="613"/>
      <c r="CD28" s="613"/>
    </row>
    <row r="29" spans="1:84">
      <c r="A29" s="563"/>
      <c r="B29" s="560"/>
      <c r="C29" s="559"/>
      <c r="D29" s="560"/>
      <c r="E29" s="560"/>
      <c r="F29" s="560"/>
      <c r="G29" s="560"/>
      <c r="H29" s="560"/>
      <c r="I29" s="560"/>
      <c r="J29" s="560"/>
      <c r="K29" s="560"/>
      <c r="L29" s="560"/>
      <c r="M29" s="561"/>
      <c r="N29" s="561"/>
      <c r="O29" s="562"/>
      <c r="P29" s="562"/>
      <c r="Q29" s="562"/>
      <c r="R29" s="561"/>
      <c r="S29" s="560"/>
      <c r="T29" s="560"/>
      <c r="U29" s="560"/>
      <c r="V29" s="560"/>
      <c r="W29" s="564" t="s">
        <v>132</v>
      </c>
      <c r="X29" s="560"/>
      <c r="Y29" s="560"/>
      <c r="Z29" s="560"/>
      <c r="AA29" s="560"/>
      <c r="AB29" s="560"/>
      <c r="AC29" s="560"/>
      <c r="AD29" s="560"/>
      <c r="AE29" s="559"/>
      <c r="AF29" s="559"/>
      <c r="AG29" s="559"/>
      <c r="AH29" s="559"/>
      <c r="AI29" s="559"/>
      <c r="AJ29" s="559"/>
      <c r="AK29" s="559"/>
      <c r="AL29" s="560"/>
      <c r="AM29" s="560"/>
      <c r="AN29" s="559"/>
      <c r="AO29" s="559"/>
      <c r="AP29" s="560"/>
      <c r="AQ29" s="560"/>
      <c r="AR29" s="560"/>
      <c r="AS29" s="560"/>
      <c r="AT29" s="560"/>
      <c r="AU29" s="560"/>
      <c r="AV29" s="560"/>
      <c r="AW29" s="560"/>
      <c r="AX29" s="560"/>
      <c r="AY29" s="560"/>
      <c r="BA29" s="561"/>
      <c r="BB29" s="561"/>
      <c r="BC29" s="562"/>
      <c r="BD29" s="561"/>
      <c r="BE29" s="561"/>
      <c r="BF29" s="561"/>
      <c r="BG29" s="562"/>
      <c r="BH29" s="593"/>
      <c r="BI29" s="562"/>
      <c r="BJ29" s="562"/>
      <c r="BK29" s="561"/>
      <c r="BL29" s="561"/>
      <c r="BM29" s="561"/>
      <c r="BN29" s="561"/>
      <c r="BO29" s="560"/>
      <c r="BP29" s="560"/>
      <c r="BQ29" s="560"/>
      <c r="BR29" s="560"/>
      <c r="BS29" s="560"/>
      <c r="BT29" s="560"/>
      <c r="BU29" s="560"/>
      <c r="BV29" s="560"/>
      <c r="BW29" s="560"/>
      <c r="BX29" s="560"/>
      <c r="BY29" s="560"/>
      <c r="BZ29" s="560"/>
      <c r="CA29" s="560"/>
      <c r="CB29" s="560"/>
      <c r="CC29" s="560"/>
      <c r="CD29" s="560"/>
    </row>
    <row r="30" spans="1:84">
      <c r="A30" s="565" t="s">
        <v>134</v>
      </c>
      <c r="B30" s="566" t="s">
        <v>124</v>
      </c>
      <c r="C30" s="567" t="s">
        <v>119</v>
      </c>
      <c r="D30" s="568" t="s">
        <v>111</v>
      </c>
      <c r="E30" s="569"/>
      <c r="F30" s="569"/>
      <c r="G30" s="570"/>
      <c r="H30" s="566" t="s">
        <v>124</v>
      </c>
      <c r="I30" s="568" t="s">
        <v>119</v>
      </c>
      <c r="J30" s="568" t="s">
        <v>111</v>
      </c>
      <c r="K30" s="569"/>
      <c r="L30" s="569"/>
      <c r="M30" s="571" t="s">
        <v>124</v>
      </c>
      <c r="N30" s="568" t="s">
        <v>119</v>
      </c>
      <c r="O30" s="567" t="s">
        <v>111</v>
      </c>
      <c r="P30" s="562"/>
      <c r="Q30" s="562"/>
      <c r="R30" s="571" t="s">
        <v>124</v>
      </c>
      <c r="S30" s="568" t="s">
        <v>119</v>
      </c>
      <c r="T30" s="568" t="s">
        <v>111</v>
      </c>
      <c r="U30" s="569"/>
      <c r="V30" s="569"/>
      <c r="W30" s="565" t="s">
        <v>133</v>
      </c>
      <c r="X30" s="571" t="s">
        <v>124</v>
      </c>
      <c r="Y30" s="568" t="s">
        <v>119</v>
      </c>
      <c r="Z30" s="568" t="s">
        <v>111</v>
      </c>
      <c r="AA30" s="569"/>
      <c r="AB30" s="569"/>
      <c r="AC30" s="665"/>
      <c r="AD30" s="570"/>
      <c r="AE30" s="566" t="s">
        <v>124</v>
      </c>
      <c r="AF30" s="568" t="s">
        <v>119</v>
      </c>
      <c r="AG30" s="568" t="s">
        <v>111</v>
      </c>
      <c r="AH30" s="665"/>
      <c r="AI30" s="665"/>
      <c r="AJ30" s="665"/>
      <c r="AK30" s="570"/>
      <c r="AL30" s="571" t="s">
        <v>124</v>
      </c>
      <c r="AM30" s="568" t="s">
        <v>119</v>
      </c>
      <c r="AN30" s="568" t="s">
        <v>111</v>
      </c>
      <c r="AO30" s="665"/>
      <c r="AP30" s="569"/>
      <c r="AQ30" s="569"/>
      <c r="AR30" s="700"/>
      <c r="AS30" s="571" t="s">
        <v>124</v>
      </c>
      <c r="AT30" s="568" t="s">
        <v>119</v>
      </c>
      <c r="AU30" s="568" t="s">
        <v>111</v>
      </c>
      <c r="AV30" s="569"/>
      <c r="AW30" s="569"/>
      <c r="AX30" s="569"/>
      <c r="AY30" s="700"/>
      <c r="AZ30" s="447" t="s">
        <v>141</v>
      </c>
      <c r="BA30" s="566" t="s">
        <v>124</v>
      </c>
      <c r="BB30" s="568" t="s">
        <v>119</v>
      </c>
      <c r="BC30" s="568" t="s">
        <v>111</v>
      </c>
      <c r="BD30" s="569"/>
      <c r="BE30" s="569"/>
      <c r="BF30" s="569"/>
      <c r="BG30" s="665"/>
      <c r="BH30" s="566" t="s">
        <v>124</v>
      </c>
      <c r="BI30" s="567" t="s">
        <v>119</v>
      </c>
      <c r="BJ30" s="567" t="s">
        <v>111</v>
      </c>
      <c r="BK30" s="665"/>
      <c r="BL30" s="665"/>
      <c r="BM30" s="665"/>
      <c r="BN30" s="665"/>
      <c r="BO30" s="570"/>
      <c r="BP30" s="571" t="s">
        <v>124</v>
      </c>
      <c r="BQ30" s="568" t="s">
        <v>119</v>
      </c>
      <c r="BR30" s="568" t="s">
        <v>111</v>
      </c>
      <c r="BS30" s="665"/>
      <c r="BT30" s="569"/>
      <c r="BU30" s="569"/>
      <c r="BV30" s="672" t="s">
        <v>124</v>
      </c>
      <c r="BW30" s="567" t="s">
        <v>119</v>
      </c>
      <c r="BX30" s="567" t="s">
        <v>111</v>
      </c>
      <c r="BY30" s="559"/>
      <c r="BZ30" s="559"/>
      <c r="CA30" s="559"/>
      <c r="CB30" s="570"/>
      <c r="CC30" s="560"/>
      <c r="CD30" s="560"/>
    </row>
    <row r="31" spans="1:84">
      <c r="A31" s="565"/>
      <c r="B31" s="572" t="s">
        <v>63</v>
      </c>
      <c r="C31" s="573" t="s">
        <v>7</v>
      </c>
      <c r="D31" s="574" t="s">
        <v>112</v>
      </c>
      <c r="E31" s="569"/>
      <c r="F31" s="569"/>
      <c r="G31" s="570"/>
      <c r="H31" s="566" t="s">
        <v>63</v>
      </c>
      <c r="I31" s="572" t="s">
        <v>7</v>
      </c>
      <c r="J31" s="575" t="s">
        <v>114</v>
      </c>
      <c r="K31" s="569"/>
      <c r="L31" s="569"/>
      <c r="M31" s="571" t="s">
        <v>63</v>
      </c>
      <c r="N31" s="575" t="s">
        <v>148</v>
      </c>
      <c r="O31" s="615" t="s">
        <v>4</v>
      </c>
      <c r="P31" s="562"/>
      <c r="Q31" s="562"/>
      <c r="R31" s="571" t="s">
        <v>63</v>
      </c>
      <c r="S31" s="575" t="s">
        <v>148</v>
      </c>
      <c r="T31" s="575" t="s">
        <v>114</v>
      </c>
      <c r="U31" s="802"/>
      <c r="V31" s="802"/>
      <c r="W31" s="565"/>
      <c r="X31" s="578" t="s">
        <v>63</v>
      </c>
      <c r="Y31" s="572" t="s">
        <v>7</v>
      </c>
      <c r="Z31" s="574" t="s">
        <v>112</v>
      </c>
      <c r="AA31" s="569"/>
      <c r="AB31" s="569"/>
      <c r="AC31" s="665"/>
      <c r="AD31" s="570"/>
      <c r="AE31" s="566" t="s">
        <v>63</v>
      </c>
      <c r="AF31" s="572" t="s">
        <v>7</v>
      </c>
      <c r="AG31" s="575" t="s">
        <v>114</v>
      </c>
      <c r="AH31" s="665"/>
      <c r="AI31" s="677"/>
      <c r="AJ31" s="665"/>
      <c r="AK31" s="570"/>
      <c r="AL31" s="571" t="s">
        <v>63</v>
      </c>
      <c r="AM31" s="572" t="s">
        <v>8</v>
      </c>
      <c r="AN31" s="575" t="s">
        <v>112</v>
      </c>
      <c r="AO31" s="665"/>
      <c r="AP31" s="677"/>
      <c r="AQ31" s="569"/>
      <c r="AR31" s="700"/>
      <c r="AS31" s="571" t="s">
        <v>63</v>
      </c>
      <c r="AT31" s="676" t="s">
        <v>148</v>
      </c>
      <c r="AU31" s="575" t="s">
        <v>114</v>
      </c>
      <c r="AV31" s="802"/>
      <c r="AW31" s="802"/>
      <c r="AX31" s="569"/>
      <c r="AY31" s="700"/>
      <c r="AZ31" s="80"/>
      <c r="BA31" s="566" t="s">
        <v>63</v>
      </c>
      <c r="BB31" s="566" t="s">
        <v>7</v>
      </c>
      <c r="BC31" s="575" t="s">
        <v>112</v>
      </c>
      <c r="BD31" s="665"/>
      <c r="BE31" s="569"/>
      <c r="BF31" s="673"/>
      <c r="BG31" s="676"/>
      <c r="BH31" s="566" t="s">
        <v>63</v>
      </c>
      <c r="BI31" s="566" t="s">
        <v>7</v>
      </c>
      <c r="BJ31" s="615" t="s">
        <v>114</v>
      </c>
      <c r="BK31" s="665" t="s">
        <v>143</v>
      </c>
      <c r="BL31" s="665"/>
      <c r="BM31" s="665"/>
      <c r="BN31" s="665"/>
      <c r="BO31" s="570"/>
      <c r="BP31" s="571" t="s">
        <v>63</v>
      </c>
      <c r="BQ31" s="575" t="s">
        <v>8</v>
      </c>
      <c r="BR31" s="615" t="s">
        <v>4</v>
      </c>
      <c r="BS31" s="665"/>
      <c r="BT31" s="677"/>
      <c r="BU31" s="569"/>
      <c r="BV31" s="672" t="s">
        <v>63</v>
      </c>
      <c r="BW31" s="615" t="s">
        <v>148</v>
      </c>
      <c r="BX31" s="615" t="s">
        <v>114</v>
      </c>
      <c r="BY31" s="806"/>
      <c r="BZ31" s="806"/>
      <c r="CA31" s="559"/>
      <c r="CB31" s="570"/>
      <c r="CC31" s="560"/>
      <c r="CD31" s="560"/>
    </row>
    <row r="32" spans="1:84" ht="63">
      <c r="A32" s="564"/>
      <c r="B32" s="579" t="s">
        <v>122</v>
      </c>
      <c r="C32" s="582" t="s">
        <v>121</v>
      </c>
      <c r="D32" s="581" t="s">
        <v>125</v>
      </c>
      <c r="E32" s="796" t="s">
        <v>1013</v>
      </c>
      <c r="F32" s="796"/>
      <c r="G32" s="797"/>
      <c r="H32" s="580" t="s">
        <v>121</v>
      </c>
      <c r="I32" s="581" t="s">
        <v>125</v>
      </c>
      <c r="J32" s="796" t="s">
        <v>1013</v>
      </c>
      <c r="K32" s="796"/>
      <c r="L32" s="797"/>
      <c r="M32" s="582" t="s">
        <v>121</v>
      </c>
      <c r="N32" s="581" t="s">
        <v>125</v>
      </c>
      <c r="O32" s="796" t="s">
        <v>1013</v>
      </c>
      <c r="P32" s="796"/>
      <c r="Q32" s="797"/>
      <c r="R32" s="582" t="s">
        <v>121</v>
      </c>
      <c r="S32" s="581" t="s">
        <v>125</v>
      </c>
      <c r="T32" s="796" t="s">
        <v>1017</v>
      </c>
      <c r="U32" s="796"/>
      <c r="V32" s="797"/>
      <c r="W32" s="564"/>
      <c r="X32" s="582" t="s">
        <v>121</v>
      </c>
      <c r="Y32" s="616" t="s">
        <v>126</v>
      </c>
      <c r="Z32" s="559" t="s">
        <v>127</v>
      </c>
      <c r="AA32" s="583" t="s">
        <v>128</v>
      </c>
      <c r="AB32" s="694" t="s">
        <v>129</v>
      </c>
      <c r="AC32" s="583" t="s">
        <v>130</v>
      </c>
      <c r="AD32" s="701" t="s">
        <v>131</v>
      </c>
      <c r="AE32" s="582" t="s">
        <v>121</v>
      </c>
      <c r="AF32" s="694" t="s">
        <v>126</v>
      </c>
      <c r="AG32" s="583" t="s">
        <v>127</v>
      </c>
      <c r="AH32" s="583" t="s">
        <v>128</v>
      </c>
      <c r="AI32" s="694" t="s">
        <v>129</v>
      </c>
      <c r="AJ32" s="583" t="s">
        <v>130</v>
      </c>
      <c r="AK32" s="701" t="s">
        <v>131</v>
      </c>
      <c r="AL32" s="582" t="s">
        <v>121</v>
      </c>
      <c r="AM32" s="694" t="s">
        <v>126</v>
      </c>
      <c r="AN32" s="583" t="s">
        <v>127</v>
      </c>
      <c r="AO32" s="583" t="s">
        <v>128</v>
      </c>
      <c r="AP32" s="694" t="s">
        <v>129</v>
      </c>
      <c r="AQ32" s="583" t="s">
        <v>130</v>
      </c>
      <c r="AR32" s="696" t="s">
        <v>131</v>
      </c>
      <c r="AS32" s="582" t="s">
        <v>121</v>
      </c>
      <c r="AT32" s="694" t="s">
        <v>126</v>
      </c>
      <c r="AU32" s="695" t="s">
        <v>127</v>
      </c>
      <c r="AV32" s="695" t="s">
        <v>128</v>
      </c>
      <c r="AW32" s="694" t="s">
        <v>129</v>
      </c>
      <c r="AX32" s="583" t="s">
        <v>130</v>
      </c>
      <c r="AY32" s="696" t="s">
        <v>131</v>
      </c>
      <c r="AZ32" s="75"/>
      <c r="BA32" s="648" t="s">
        <v>121</v>
      </c>
      <c r="BB32" s="583" t="s">
        <v>143</v>
      </c>
      <c r="BC32" s="583" t="s">
        <v>888</v>
      </c>
      <c r="BD32" s="583" t="s">
        <v>1045</v>
      </c>
      <c r="BE32" s="583" t="s">
        <v>1044</v>
      </c>
      <c r="BF32" s="666" t="s">
        <v>1051</v>
      </c>
      <c r="BG32" s="666" t="s">
        <v>1052</v>
      </c>
      <c r="BH32" s="648" t="s">
        <v>121</v>
      </c>
      <c r="BI32" s="583" t="s">
        <v>143</v>
      </c>
      <c r="BJ32" s="583" t="s">
        <v>888</v>
      </c>
      <c r="BK32" s="583" t="s">
        <v>1045</v>
      </c>
      <c r="BL32" s="583" t="s">
        <v>1044</v>
      </c>
      <c r="BM32" s="666" t="s">
        <v>1051</v>
      </c>
      <c r="BN32" s="666" t="s">
        <v>1052</v>
      </c>
      <c r="BO32" s="648" t="s">
        <v>121</v>
      </c>
      <c r="BP32" s="583" t="s">
        <v>143</v>
      </c>
      <c r="BQ32" s="583" t="s">
        <v>888</v>
      </c>
      <c r="BR32" s="583" t="s">
        <v>1045</v>
      </c>
      <c r="BS32" s="583" t="s">
        <v>1044</v>
      </c>
      <c r="BT32" s="666" t="s">
        <v>1051</v>
      </c>
      <c r="BU32" s="666" t="s">
        <v>1052</v>
      </c>
      <c r="BV32" s="648" t="s">
        <v>121</v>
      </c>
      <c r="BW32" s="583" t="s">
        <v>143</v>
      </c>
      <c r="BX32" s="583" t="s">
        <v>888</v>
      </c>
      <c r="BY32" s="583" t="s">
        <v>1045</v>
      </c>
      <c r="BZ32" s="583" t="s">
        <v>1044</v>
      </c>
      <c r="CA32" s="666" t="s">
        <v>1051</v>
      </c>
      <c r="CB32" s="666" t="s">
        <v>1052</v>
      </c>
      <c r="CC32" s="560"/>
      <c r="CD32" s="560"/>
    </row>
    <row r="33" spans="1:82" ht="15.75">
      <c r="A33" s="564"/>
      <c r="B33" s="585" t="s">
        <v>120</v>
      </c>
      <c r="C33" s="617">
        <v>0</v>
      </c>
      <c r="D33" s="590">
        <v>446.32</v>
      </c>
      <c r="E33" s="562">
        <v>0</v>
      </c>
      <c r="F33" s="562">
        <v>0</v>
      </c>
      <c r="G33" s="588">
        <v>0</v>
      </c>
      <c r="H33" s="617">
        <v>0</v>
      </c>
      <c r="I33" s="612">
        <v>438.54</v>
      </c>
      <c r="J33" s="617">
        <v>0</v>
      </c>
      <c r="K33" s="618">
        <v>0</v>
      </c>
      <c r="L33" s="617">
        <v>0</v>
      </c>
      <c r="M33" s="591">
        <v>0</v>
      </c>
      <c r="N33" s="562">
        <v>458.28</v>
      </c>
      <c r="O33" s="617">
        <v>0</v>
      </c>
      <c r="P33" s="617">
        <v>0</v>
      </c>
      <c r="Q33" s="617">
        <v>0</v>
      </c>
      <c r="R33" s="591">
        <v>0</v>
      </c>
      <c r="S33" s="562">
        <v>463.62</v>
      </c>
      <c r="T33" s="617">
        <v>0</v>
      </c>
      <c r="U33" s="617">
        <v>0</v>
      </c>
      <c r="V33" s="619">
        <v>0</v>
      </c>
      <c r="W33" s="564"/>
      <c r="X33" s="591">
        <v>0</v>
      </c>
      <c r="Y33" s="592">
        <f t="shared" ref="Y33:Y47" si="27">AVERAGE(E33:G33)/10</f>
        <v>0</v>
      </c>
      <c r="Z33" s="620">
        <v>9.6440000000000001</v>
      </c>
      <c r="AA33" s="593">
        <v>4.5170000000000003</v>
      </c>
      <c r="AB33" s="593">
        <f t="shared" ref="AB33:AB47" si="28">Z33-(AA33+Y33)</f>
        <v>5.1269999999999998</v>
      </c>
      <c r="AC33" s="593">
        <f t="shared" ref="AC33:AC47" si="29">3*Z33+AA33+Y33</f>
        <v>33.449000000000005</v>
      </c>
      <c r="AD33" s="653">
        <f t="shared" ref="AD33:AD47" si="30">1.398*(10^-6)*(X33^2)*AB33*AC33</f>
        <v>0</v>
      </c>
      <c r="AE33" s="703">
        <v>0</v>
      </c>
      <c r="AF33" s="595">
        <f t="shared" ref="AF33:AF47" si="31">AVERAGE(J33:L33)/10</f>
        <v>0</v>
      </c>
      <c r="AG33" s="593">
        <v>9.6440000000000001</v>
      </c>
      <c r="AH33" s="593">
        <v>4.5170000000000003</v>
      </c>
      <c r="AI33" s="593">
        <f t="shared" ref="AI33:AI47" si="32">AG33-(AH33+AF33)</f>
        <v>5.1269999999999998</v>
      </c>
      <c r="AJ33" s="593">
        <f t="shared" ref="AJ33:AJ47" si="33">3*AG33+AH33+AF33</f>
        <v>33.449000000000005</v>
      </c>
      <c r="AK33" s="653">
        <f t="shared" ref="AK33:AK47" si="34">1.398*(10^-6)*(AE33^2)*AI33*AJ33</f>
        <v>0</v>
      </c>
      <c r="AL33" s="617">
        <v>0</v>
      </c>
      <c r="AM33" s="595">
        <f t="shared" ref="AM33:AM47" si="35">AVERAGE(O33:Q33)/10</f>
        <v>0</v>
      </c>
      <c r="AN33" s="593">
        <v>9.6440000000000001</v>
      </c>
      <c r="AO33" s="593">
        <v>4.5170000000000003</v>
      </c>
      <c r="AP33" s="593">
        <f t="shared" ref="AP33:AP47" si="36">AN33-(AO33+AM33)</f>
        <v>5.1269999999999998</v>
      </c>
      <c r="AQ33" s="593">
        <f t="shared" ref="AQ33:AQ47" si="37">3*AN33+AO33+AM33</f>
        <v>33.449000000000005</v>
      </c>
      <c r="AR33" s="698">
        <f t="shared" ref="AR33:AR47" si="38">1.398*(10^-6)*(AL33^2)*AP33*AQ33</f>
        <v>0</v>
      </c>
      <c r="AS33" s="617">
        <v>0</v>
      </c>
      <c r="AT33" s="595">
        <f t="shared" ref="AT33:AT47" si="39">AVERAGE(T33:V33)/10</f>
        <v>0</v>
      </c>
      <c r="AU33" s="593">
        <v>9.6440000000000001</v>
      </c>
      <c r="AV33" s="593">
        <v>4.5170000000000003</v>
      </c>
      <c r="AW33" s="593">
        <f t="shared" ref="AW33:AW47" si="40">AU33-(AV33+AT33)</f>
        <v>5.1269999999999998</v>
      </c>
      <c r="AX33" s="593">
        <f t="shared" ref="AX33:AX47" si="41">3*AU33+AV33+AT33</f>
        <v>33.449000000000005</v>
      </c>
      <c r="AY33" s="698">
        <f t="shared" ref="AY33:AY47" si="42">1.398*(10^-6)*(AS33^2)*AW33*AX33</f>
        <v>0</v>
      </c>
      <c r="AZ33" s="75"/>
      <c r="BA33" s="617">
        <v>0</v>
      </c>
      <c r="BB33" s="593">
        <v>103.50685607036536</v>
      </c>
      <c r="BC33" s="667">
        <f>(BB50-BB51)/BB33</f>
        <v>1.0865946882160287</v>
      </c>
      <c r="BD33" s="667">
        <f>D33-BB48</f>
        <v>46.609999999999957</v>
      </c>
      <c r="BE33" s="667">
        <f>BB50-BB51</f>
        <v>112.47</v>
      </c>
      <c r="BF33" s="667">
        <f t="shared" ref="BF33:BF47" si="43">BD33/BE33*100</f>
        <v>41.442162354405582</v>
      </c>
      <c r="BG33" s="689">
        <f t="shared" ref="BG33:BG47" si="44">BF33*BC33</f>
        <v>45.030833482483374</v>
      </c>
      <c r="BH33" s="591">
        <v>0</v>
      </c>
      <c r="BI33" s="593">
        <v>103.50685607036536</v>
      </c>
      <c r="BJ33" s="667">
        <f>(BI50-BI51)/BI33</f>
        <v>0.91375589589643469</v>
      </c>
      <c r="BK33" s="667">
        <f>I33-BI48</f>
        <v>52.860000000000014</v>
      </c>
      <c r="BL33" s="667">
        <f>BI50-BI51</f>
        <v>94.580000000000013</v>
      </c>
      <c r="BM33" s="667">
        <f t="shared" ref="BM33:BM47" si="45">BK33/BL33*100</f>
        <v>55.889194332839928</v>
      </c>
      <c r="BN33" s="668">
        <f t="shared" ref="BN33:BN47" si="46">BM33*BJ33</f>
        <v>51.069080838534092</v>
      </c>
      <c r="BO33" s="617">
        <v>0</v>
      </c>
      <c r="BP33" s="681">
        <v>103.50685607036536</v>
      </c>
      <c r="BQ33" s="667">
        <f>(BP50-BP51)/BP33</f>
        <v>1.3517945120937738</v>
      </c>
      <c r="BR33" s="693">
        <f t="shared" ref="BR33:BR47" si="47">N33-425.88</f>
        <v>32.399999999999977</v>
      </c>
      <c r="BS33" s="667">
        <f>BP50-BP51</f>
        <v>139.92000000000002</v>
      </c>
      <c r="BT33" s="693">
        <f t="shared" ref="BT33:BT47" si="48">BR33/BS33*100</f>
        <v>23.156089193825025</v>
      </c>
      <c r="BU33" s="680">
        <f t="shared" ref="BU33:BU47" si="49">BT33*BQ33</f>
        <v>31.302274293766608</v>
      </c>
      <c r="BV33" s="591">
        <v>0</v>
      </c>
      <c r="BW33" s="620">
        <v>103.50685607036536</v>
      </c>
      <c r="BX33" s="667">
        <f>(BW50-BW51)/BW33</f>
        <v>1.396525848507397</v>
      </c>
      <c r="BY33" s="693">
        <f t="shared" ref="BY33:BY47" si="50">S33-431.48</f>
        <v>32.139999999999986</v>
      </c>
      <c r="BZ33" s="667">
        <f>BW50-BW51</f>
        <v>144.55000000000001</v>
      </c>
      <c r="CA33" s="693">
        <f t="shared" ref="CA33:CA47" si="51">BY33/BZ33*100</f>
        <v>22.234520927014863</v>
      </c>
      <c r="CB33" s="668">
        <f t="shared" ref="CB33:CB47" si="52">CA33*BX33</f>
        <v>31.051083203754906</v>
      </c>
      <c r="CC33" s="560"/>
      <c r="CD33" s="560"/>
    </row>
    <row r="34" spans="1:82" ht="15.75">
      <c r="A34" s="564"/>
      <c r="B34" s="585" t="s">
        <v>116</v>
      </c>
      <c r="C34" s="617">
        <v>350</v>
      </c>
      <c r="D34" s="562">
        <v>440.86</v>
      </c>
      <c r="E34" s="595">
        <v>0.63</v>
      </c>
      <c r="F34" s="595">
        <v>0.83</v>
      </c>
      <c r="G34" s="596">
        <v>0.89</v>
      </c>
      <c r="H34" s="617">
        <v>350</v>
      </c>
      <c r="I34" s="559">
        <v>427.23</v>
      </c>
      <c r="J34" s="617">
        <v>3.37</v>
      </c>
      <c r="K34" s="617">
        <v>3.6</v>
      </c>
      <c r="L34" s="617">
        <v>3.53</v>
      </c>
      <c r="M34" s="591">
        <v>350</v>
      </c>
      <c r="N34" s="562">
        <v>458.28</v>
      </c>
      <c r="O34" s="617">
        <v>0.95</v>
      </c>
      <c r="P34" s="617">
        <v>1.1200000000000001</v>
      </c>
      <c r="Q34" s="617">
        <v>0.87</v>
      </c>
      <c r="R34" s="591">
        <v>350</v>
      </c>
      <c r="S34" s="562">
        <v>463.62</v>
      </c>
      <c r="T34" s="617">
        <v>0.52</v>
      </c>
      <c r="U34" s="617">
        <v>0.8</v>
      </c>
      <c r="V34" s="619">
        <v>0.71</v>
      </c>
      <c r="W34" s="564"/>
      <c r="X34" s="591">
        <v>350</v>
      </c>
      <c r="Y34" s="592">
        <f t="shared" si="27"/>
        <v>7.8333333333333338E-2</v>
      </c>
      <c r="Z34" s="620">
        <v>9.6440000000000001</v>
      </c>
      <c r="AA34" s="593">
        <v>4.5170000000000003</v>
      </c>
      <c r="AB34" s="593">
        <f t="shared" si="28"/>
        <v>5.0486666666666666</v>
      </c>
      <c r="AC34" s="593">
        <f t="shared" si="29"/>
        <v>33.527333333333338</v>
      </c>
      <c r="AD34" s="653">
        <f t="shared" si="30"/>
        <v>28.988047892206666</v>
      </c>
      <c r="AE34" s="703">
        <v>350</v>
      </c>
      <c r="AF34" s="595">
        <f t="shared" si="31"/>
        <v>0.35</v>
      </c>
      <c r="AG34" s="593">
        <v>9.6440000000000001</v>
      </c>
      <c r="AH34" s="593">
        <v>4.5170000000000003</v>
      </c>
      <c r="AI34" s="593">
        <f t="shared" si="32"/>
        <v>4.7770000000000001</v>
      </c>
      <c r="AJ34" s="593">
        <f t="shared" si="33"/>
        <v>33.799000000000007</v>
      </c>
      <c r="AK34" s="653">
        <f t="shared" si="34"/>
        <v>27.650459477864999</v>
      </c>
      <c r="AL34" s="617">
        <v>350</v>
      </c>
      <c r="AM34" s="595">
        <f t="shared" si="35"/>
        <v>9.8000000000000004E-2</v>
      </c>
      <c r="AN34" s="593">
        <v>9.6440000000000001</v>
      </c>
      <c r="AO34" s="593">
        <v>4.5170000000000003</v>
      </c>
      <c r="AP34" s="593">
        <f t="shared" si="36"/>
        <v>5.0289999999999999</v>
      </c>
      <c r="AQ34" s="593">
        <f t="shared" si="37"/>
        <v>33.547000000000004</v>
      </c>
      <c r="AR34" s="698">
        <f t="shared" si="38"/>
        <v>28.892065078064995</v>
      </c>
      <c r="AS34" s="617">
        <v>350</v>
      </c>
      <c r="AT34" s="595">
        <f t="shared" si="39"/>
        <v>6.7666666666666681E-2</v>
      </c>
      <c r="AU34" s="593">
        <v>9.6440000000000001</v>
      </c>
      <c r="AV34" s="593">
        <v>4.5170000000000003</v>
      </c>
      <c r="AW34" s="593">
        <f t="shared" si="40"/>
        <v>5.059333333333333</v>
      </c>
      <c r="AX34" s="593">
        <f t="shared" si="41"/>
        <v>33.516666666666673</v>
      </c>
      <c r="AY34" s="698">
        <f t="shared" si="42"/>
        <v>29.040050957166663</v>
      </c>
      <c r="AZ34" s="75"/>
      <c r="BA34" s="617">
        <v>350</v>
      </c>
      <c r="BB34" s="593">
        <v>103.50685607036536</v>
      </c>
      <c r="BC34" s="693">
        <v>1.0865946882160287</v>
      </c>
      <c r="BD34" s="667">
        <f>D34-BB48</f>
        <v>41.149999999999977</v>
      </c>
      <c r="BE34" s="667">
        <f>BB50-BB51</f>
        <v>112.47</v>
      </c>
      <c r="BF34" s="667">
        <f t="shared" si="43"/>
        <v>36.58753445363206</v>
      </c>
      <c r="BG34" s="689">
        <f t="shared" si="44"/>
        <v>39.755820592237534</v>
      </c>
      <c r="BH34" s="591">
        <v>350</v>
      </c>
      <c r="BI34" s="593">
        <v>103.50685607036536</v>
      </c>
      <c r="BJ34" s="667">
        <v>0.91375589589643469</v>
      </c>
      <c r="BK34" s="667">
        <f>I34-BI48</f>
        <v>41.550000000000011</v>
      </c>
      <c r="BL34" s="667">
        <f>BI50-BI51</f>
        <v>94.580000000000013</v>
      </c>
      <c r="BM34" s="667">
        <f t="shared" si="45"/>
        <v>43.93106364982026</v>
      </c>
      <c r="BN34" s="668">
        <f t="shared" si="46"/>
        <v>40.142268423024809</v>
      </c>
      <c r="BO34" s="617">
        <v>350</v>
      </c>
      <c r="BP34" s="681">
        <v>103.50685607036536</v>
      </c>
      <c r="BQ34" s="693">
        <v>1.3517945120937738</v>
      </c>
      <c r="BR34" s="693">
        <f t="shared" si="47"/>
        <v>32.399999999999977</v>
      </c>
      <c r="BS34" s="667">
        <f>BP50-BP51</f>
        <v>139.92000000000002</v>
      </c>
      <c r="BT34" s="693">
        <f t="shared" si="48"/>
        <v>23.156089193825025</v>
      </c>
      <c r="BU34" s="680">
        <f t="shared" si="49"/>
        <v>31.302274293766608</v>
      </c>
      <c r="BV34" s="591">
        <v>350</v>
      </c>
      <c r="BW34" s="620">
        <v>103.50685607036536</v>
      </c>
      <c r="BX34" s="693">
        <v>1.396525848507397</v>
      </c>
      <c r="BY34" s="693">
        <f t="shared" si="50"/>
        <v>32.139999999999986</v>
      </c>
      <c r="BZ34" s="667">
        <f>BW50-BW51</f>
        <v>144.55000000000001</v>
      </c>
      <c r="CA34" s="693">
        <f t="shared" si="51"/>
        <v>22.234520927014863</v>
      </c>
      <c r="CB34" s="668">
        <f t="shared" si="52"/>
        <v>31.051083203754906</v>
      </c>
      <c r="CC34" s="560"/>
      <c r="CD34" s="560"/>
    </row>
    <row r="35" spans="1:82" ht="15.75">
      <c r="A35" s="564"/>
      <c r="B35" s="585" t="s">
        <v>116</v>
      </c>
      <c r="C35" s="621">
        <v>450</v>
      </c>
      <c r="D35" s="594">
        <v>437.56</v>
      </c>
      <c r="E35" s="595">
        <v>1.45</v>
      </c>
      <c r="F35" s="595">
        <v>0.93</v>
      </c>
      <c r="G35" s="596">
        <v>1.82</v>
      </c>
      <c r="H35" s="621">
        <v>450</v>
      </c>
      <c r="I35" s="559">
        <v>422.91</v>
      </c>
      <c r="J35" s="617">
        <v>3.61</v>
      </c>
      <c r="K35" s="617">
        <v>3.56</v>
      </c>
      <c r="L35" s="617">
        <v>3.39</v>
      </c>
      <c r="M35" s="598">
        <v>450</v>
      </c>
      <c r="N35" s="562">
        <v>457.04</v>
      </c>
      <c r="O35" s="617">
        <v>1.38</v>
      </c>
      <c r="P35" s="617">
        <v>1.6</v>
      </c>
      <c r="Q35" s="617">
        <v>1.85</v>
      </c>
      <c r="R35" s="598">
        <v>450</v>
      </c>
      <c r="S35" s="562">
        <v>463.11</v>
      </c>
      <c r="T35" s="617">
        <v>0.56000000000000005</v>
      </c>
      <c r="U35" s="617">
        <v>0.83</v>
      </c>
      <c r="V35" s="619">
        <v>0.7</v>
      </c>
      <c r="W35" s="564"/>
      <c r="X35" s="598">
        <v>450</v>
      </c>
      <c r="Y35" s="592">
        <f t="shared" si="27"/>
        <v>0.14000000000000001</v>
      </c>
      <c r="Z35" s="620">
        <v>9.6440000000000001</v>
      </c>
      <c r="AA35" s="593">
        <v>4.5170000000000003</v>
      </c>
      <c r="AB35" s="593">
        <f t="shared" si="28"/>
        <v>4.9870000000000001</v>
      </c>
      <c r="AC35" s="593">
        <f t="shared" si="29"/>
        <v>33.589000000000006</v>
      </c>
      <c r="AD35" s="653">
        <f t="shared" si="30"/>
        <v>47.420774361585003</v>
      </c>
      <c r="AE35" s="704">
        <v>450</v>
      </c>
      <c r="AF35" s="595">
        <f t="shared" si="31"/>
        <v>0.35199999999999998</v>
      </c>
      <c r="AG35" s="593">
        <v>9.6440000000000001</v>
      </c>
      <c r="AH35" s="593">
        <v>4.5170000000000003</v>
      </c>
      <c r="AI35" s="593">
        <f t="shared" si="32"/>
        <v>4.7749999999999995</v>
      </c>
      <c r="AJ35" s="593">
        <f t="shared" si="33"/>
        <v>33.801000000000002</v>
      </c>
      <c r="AK35" s="653">
        <f t="shared" si="34"/>
        <v>45.691469303624984</v>
      </c>
      <c r="AL35" s="621">
        <v>450</v>
      </c>
      <c r="AM35" s="595">
        <f t="shared" si="35"/>
        <v>0.161</v>
      </c>
      <c r="AN35" s="593">
        <v>9.6440000000000001</v>
      </c>
      <c r="AO35" s="593">
        <v>4.5170000000000003</v>
      </c>
      <c r="AP35" s="593">
        <f t="shared" si="36"/>
        <v>4.9660000000000002</v>
      </c>
      <c r="AQ35" s="593">
        <f t="shared" si="37"/>
        <v>33.610000000000007</v>
      </c>
      <c r="AR35" s="698">
        <f t="shared" si="38"/>
        <v>47.250610769699996</v>
      </c>
      <c r="AS35" s="621">
        <v>450</v>
      </c>
      <c r="AT35" s="595">
        <f t="shared" si="39"/>
        <v>6.9666666666666668E-2</v>
      </c>
      <c r="AU35" s="593">
        <v>9.6440000000000001</v>
      </c>
      <c r="AV35" s="593">
        <v>4.5170000000000003</v>
      </c>
      <c r="AW35" s="593">
        <f t="shared" si="40"/>
        <v>5.0573333333333332</v>
      </c>
      <c r="AX35" s="593">
        <f t="shared" si="41"/>
        <v>33.518666666666675</v>
      </c>
      <c r="AY35" s="698">
        <f t="shared" si="42"/>
        <v>47.988868804559999</v>
      </c>
      <c r="AZ35" s="75"/>
      <c r="BA35" s="621">
        <v>450</v>
      </c>
      <c r="BB35" s="593">
        <v>103.50685607036536</v>
      </c>
      <c r="BC35" s="693">
        <v>1.0865946882160287</v>
      </c>
      <c r="BD35" s="667">
        <f>D35-BB48</f>
        <v>37.849999999999966</v>
      </c>
      <c r="BE35" s="667">
        <f>BB50-BB51</f>
        <v>112.47</v>
      </c>
      <c r="BF35" s="667">
        <f t="shared" si="43"/>
        <v>33.653418689428264</v>
      </c>
      <c r="BG35" s="689">
        <f t="shared" si="44"/>
        <v>36.567625988242774</v>
      </c>
      <c r="BH35" s="598">
        <v>450</v>
      </c>
      <c r="BI35" s="593">
        <v>103.50685607036536</v>
      </c>
      <c r="BJ35" s="667">
        <v>0.91375589589643469</v>
      </c>
      <c r="BK35" s="667">
        <f>I35-BI48</f>
        <v>37.230000000000018</v>
      </c>
      <c r="BL35" s="667">
        <f>BI50-BI51</f>
        <v>94.580000000000013</v>
      </c>
      <c r="BM35" s="667">
        <f t="shared" si="45"/>
        <v>39.363501797420184</v>
      </c>
      <c r="BN35" s="668">
        <f t="shared" si="46"/>
        <v>35.968631850522598</v>
      </c>
      <c r="BO35" s="621">
        <v>450</v>
      </c>
      <c r="BP35" s="681">
        <v>103.50685607036536</v>
      </c>
      <c r="BQ35" s="693">
        <v>1.3517945120937738</v>
      </c>
      <c r="BR35" s="693">
        <f t="shared" si="47"/>
        <v>31.160000000000025</v>
      </c>
      <c r="BS35" s="667">
        <f>BP50-BP51</f>
        <v>139.92000000000002</v>
      </c>
      <c r="BT35" s="693">
        <f t="shared" si="48"/>
        <v>22.269868496283607</v>
      </c>
      <c r="BU35" s="680">
        <f t="shared" si="49"/>
        <v>30.104286018326203</v>
      </c>
      <c r="BV35" s="598">
        <v>450</v>
      </c>
      <c r="BW35" s="620">
        <v>103.50685607036536</v>
      </c>
      <c r="BX35" s="693">
        <v>1.396525848507397</v>
      </c>
      <c r="BY35" s="693">
        <f t="shared" si="50"/>
        <v>31.629999999999995</v>
      </c>
      <c r="BZ35" s="667">
        <f>BW50-BW51</f>
        <v>144.55000000000001</v>
      </c>
      <c r="CA35" s="693">
        <f t="shared" si="51"/>
        <v>21.881701833275681</v>
      </c>
      <c r="CB35" s="668">
        <f t="shared" si="52"/>
        <v>30.558362219501184</v>
      </c>
      <c r="CC35" s="560"/>
      <c r="CD35" s="560"/>
    </row>
    <row r="36" spans="1:82" ht="15.75">
      <c r="A36" s="564"/>
      <c r="B36" s="585" t="s">
        <v>116</v>
      </c>
      <c r="C36" s="621">
        <v>550</v>
      </c>
      <c r="D36" s="594">
        <v>435.07</v>
      </c>
      <c r="E36" s="595">
        <v>1.78</v>
      </c>
      <c r="F36" s="595">
        <v>1.47</v>
      </c>
      <c r="G36" s="596">
        <v>1.95</v>
      </c>
      <c r="H36" s="621">
        <v>550</v>
      </c>
      <c r="I36" s="559">
        <v>419.8</v>
      </c>
      <c r="J36" s="617">
        <v>3.96</v>
      </c>
      <c r="K36" s="617">
        <v>4.1399999999999997</v>
      </c>
      <c r="L36" s="617">
        <v>3.55</v>
      </c>
      <c r="M36" s="598">
        <v>550</v>
      </c>
      <c r="N36" s="562">
        <v>455.44</v>
      </c>
      <c r="O36" s="617">
        <v>1.6</v>
      </c>
      <c r="P36" s="617">
        <v>2.0699999999999998</v>
      </c>
      <c r="Q36" s="617">
        <v>2.16</v>
      </c>
      <c r="R36" s="598">
        <v>550</v>
      </c>
      <c r="S36" s="562">
        <v>462.5</v>
      </c>
      <c r="T36" s="617">
        <v>0.99</v>
      </c>
      <c r="U36" s="617">
        <v>0.91</v>
      </c>
      <c r="V36" s="619">
        <v>0.97</v>
      </c>
      <c r="W36" s="564"/>
      <c r="X36" s="598">
        <v>550</v>
      </c>
      <c r="Y36" s="592">
        <f t="shared" si="27"/>
        <v>0.17333333333333334</v>
      </c>
      <c r="Z36" s="620">
        <v>9.6440000000000001</v>
      </c>
      <c r="AA36" s="593">
        <v>4.5170000000000003</v>
      </c>
      <c r="AB36" s="593">
        <f t="shared" si="28"/>
        <v>4.9536666666666669</v>
      </c>
      <c r="AC36" s="593">
        <f t="shared" si="29"/>
        <v>33.622333333333337</v>
      </c>
      <c r="AD36" s="653">
        <f t="shared" si="30"/>
        <v>70.434782736651655</v>
      </c>
      <c r="AE36" s="704">
        <v>550</v>
      </c>
      <c r="AF36" s="595">
        <f t="shared" si="31"/>
        <v>0.38833333333333331</v>
      </c>
      <c r="AG36" s="593">
        <v>9.6440000000000001</v>
      </c>
      <c r="AH36" s="593">
        <v>4.5170000000000003</v>
      </c>
      <c r="AI36" s="593">
        <f t="shared" si="32"/>
        <v>4.7386666666666661</v>
      </c>
      <c r="AJ36" s="593">
        <f t="shared" si="33"/>
        <v>33.837333333333341</v>
      </c>
      <c r="AK36" s="653">
        <f t="shared" si="34"/>
        <v>67.808609720426659</v>
      </c>
      <c r="AL36" s="621">
        <v>550</v>
      </c>
      <c r="AM36" s="595">
        <f t="shared" si="35"/>
        <v>0.19433333333333333</v>
      </c>
      <c r="AN36" s="593">
        <v>9.6440000000000001</v>
      </c>
      <c r="AO36" s="593">
        <v>4.5170000000000003</v>
      </c>
      <c r="AP36" s="593">
        <f t="shared" si="36"/>
        <v>4.9326666666666661</v>
      </c>
      <c r="AQ36" s="593">
        <f t="shared" si="37"/>
        <v>33.643333333333338</v>
      </c>
      <c r="AR36" s="698">
        <f t="shared" si="38"/>
        <v>70.17999568836666</v>
      </c>
      <c r="AS36" s="621">
        <v>550</v>
      </c>
      <c r="AT36" s="595">
        <f t="shared" si="39"/>
        <v>9.5666666666666664E-2</v>
      </c>
      <c r="AU36" s="593">
        <v>9.6440000000000001</v>
      </c>
      <c r="AV36" s="593">
        <v>4.5170000000000003</v>
      </c>
      <c r="AW36" s="593">
        <f t="shared" si="40"/>
        <v>5.0313333333333334</v>
      </c>
      <c r="AX36" s="593">
        <f t="shared" si="41"/>
        <v>33.544666666666672</v>
      </c>
      <c r="AY36" s="698">
        <f t="shared" si="42"/>
        <v>71.373849700046662</v>
      </c>
      <c r="AZ36" s="75"/>
      <c r="BA36" s="621">
        <v>550</v>
      </c>
      <c r="BB36" s="593">
        <v>103.50685607036536</v>
      </c>
      <c r="BC36" s="693">
        <v>1.0865946882160287</v>
      </c>
      <c r="BD36" s="667">
        <f>D36-BB48</f>
        <v>35.359999999999957</v>
      </c>
      <c r="BE36" s="667">
        <f>BB50-BB51</f>
        <v>112.47</v>
      </c>
      <c r="BF36" s="667">
        <f t="shared" si="43"/>
        <v>31.439494976438127</v>
      </c>
      <c r="BG36" s="689">
        <f t="shared" si="44"/>
        <v>34.161988241592184</v>
      </c>
      <c r="BH36" s="598">
        <v>550</v>
      </c>
      <c r="BI36" s="593">
        <v>103.50685607036536</v>
      </c>
      <c r="BJ36" s="667">
        <v>0.91375589589643469</v>
      </c>
      <c r="BK36" s="667">
        <f>I36-BI48</f>
        <v>34.120000000000005</v>
      </c>
      <c r="BL36" s="667">
        <f>BI50-BI51</f>
        <v>94.580000000000013</v>
      </c>
      <c r="BM36" s="667">
        <f t="shared" si="45"/>
        <v>36.075280186085848</v>
      </c>
      <c r="BN36" s="668">
        <f t="shared" si="46"/>
        <v>32.963999966151775</v>
      </c>
      <c r="BO36" s="621">
        <v>550</v>
      </c>
      <c r="BP36" s="681">
        <v>103.50685607036536</v>
      </c>
      <c r="BQ36" s="693">
        <v>1.3517945120937738</v>
      </c>
      <c r="BR36" s="693">
        <f t="shared" si="47"/>
        <v>29.560000000000002</v>
      </c>
      <c r="BS36" s="667">
        <f>BP50-BP51</f>
        <v>139.92000000000002</v>
      </c>
      <c r="BT36" s="693">
        <f t="shared" si="48"/>
        <v>21.126357918810747</v>
      </c>
      <c r="BU36" s="680">
        <f t="shared" si="49"/>
        <v>28.558494695177206</v>
      </c>
      <c r="BV36" s="598">
        <v>550</v>
      </c>
      <c r="BW36" s="620">
        <v>103.50685607036536</v>
      </c>
      <c r="BX36" s="693">
        <v>1.396525848507397</v>
      </c>
      <c r="BY36" s="693">
        <f t="shared" si="50"/>
        <v>31.019999999999982</v>
      </c>
      <c r="BZ36" s="667">
        <f>BW50-BW51</f>
        <v>144.55000000000001</v>
      </c>
      <c r="CA36" s="693">
        <f t="shared" si="51"/>
        <v>21.459702525077816</v>
      </c>
      <c r="CB36" s="668">
        <f t="shared" si="52"/>
        <v>29.969029277550629</v>
      </c>
      <c r="CC36" s="560"/>
      <c r="CD36" s="560"/>
    </row>
    <row r="37" spans="1:82" ht="15.75">
      <c r="A37" s="564"/>
      <c r="B37" s="585" t="s">
        <v>116</v>
      </c>
      <c r="C37" s="621">
        <v>650</v>
      </c>
      <c r="D37" s="594">
        <v>432.86</v>
      </c>
      <c r="E37" s="595">
        <v>2.35</v>
      </c>
      <c r="F37" s="595">
        <v>1.88</v>
      </c>
      <c r="G37" s="596">
        <v>2.61</v>
      </c>
      <c r="H37" s="621">
        <v>650</v>
      </c>
      <c r="I37" s="559">
        <v>417.3</v>
      </c>
      <c r="J37" s="617">
        <v>5.59</v>
      </c>
      <c r="K37" s="617">
        <v>4.4000000000000004</v>
      </c>
      <c r="L37" s="617">
        <v>4.59</v>
      </c>
      <c r="M37" s="598">
        <v>650</v>
      </c>
      <c r="N37" s="562">
        <v>454.07</v>
      </c>
      <c r="O37" s="617">
        <v>1.79</v>
      </c>
      <c r="P37" s="617">
        <v>2.19</v>
      </c>
      <c r="Q37" s="617">
        <v>2.3199999999999998</v>
      </c>
      <c r="R37" s="598">
        <v>650</v>
      </c>
      <c r="S37" s="562">
        <v>461.3</v>
      </c>
      <c r="T37" s="617">
        <v>1.1499999999999999</v>
      </c>
      <c r="U37" s="617">
        <v>1.51</v>
      </c>
      <c r="V37" s="619">
        <v>1.5</v>
      </c>
      <c r="W37" s="564"/>
      <c r="X37" s="598">
        <v>650</v>
      </c>
      <c r="Y37" s="592">
        <f t="shared" si="27"/>
        <v>0.22799999999999998</v>
      </c>
      <c r="Z37" s="620">
        <v>9.6440000000000001</v>
      </c>
      <c r="AA37" s="593">
        <v>4.5170000000000003</v>
      </c>
      <c r="AB37" s="593">
        <f t="shared" si="28"/>
        <v>4.899</v>
      </c>
      <c r="AC37" s="593">
        <f t="shared" si="29"/>
        <v>33.677000000000007</v>
      </c>
      <c r="AD37" s="653">
        <f t="shared" si="30"/>
        <v>97.448401843065014</v>
      </c>
      <c r="AE37" s="704">
        <v>650</v>
      </c>
      <c r="AF37" s="595">
        <f t="shared" si="31"/>
        <v>0.48600000000000004</v>
      </c>
      <c r="AG37" s="593">
        <v>9.6440000000000001</v>
      </c>
      <c r="AH37" s="593">
        <v>4.5170000000000003</v>
      </c>
      <c r="AI37" s="593">
        <f t="shared" si="32"/>
        <v>4.641</v>
      </c>
      <c r="AJ37" s="593">
        <f t="shared" si="33"/>
        <v>33.935000000000002</v>
      </c>
      <c r="AK37" s="653">
        <f t="shared" si="34"/>
        <v>93.023635129425003</v>
      </c>
      <c r="AL37" s="621">
        <v>650</v>
      </c>
      <c r="AM37" s="595">
        <f t="shared" si="35"/>
        <v>0.21000000000000002</v>
      </c>
      <c r="AN37" s="593">
        <v>9.6440000000000001</v>
      </c>
      <c r="AO37" s="593">
        <v>4.5170000000000003</v>
      </c>
      <c r="AP37" s="593">
        <f t="shared" si="36"/>
        <v>4.9169999999999998</v>
      </c>
      <c r="AQ37" s="593">
        <f t="shared" si="37"/>
        <v>33.659000000000006</v>
      </c>
      <c r="AR37" s="698">
        <f t="shared" si="38"/>
        <v>97.754172123464997</v>
      </c>
      <c r="AS37" s="621">
        <v>650</v>
      </c>
      <c r="AT37" s="595">
        <f t="shared" si="39"/>
        <v>0.13866666666666666</v>
      </c>
      <c r="AU37" s="593">
        <v>9.6440000000000001</v>
      </c>
      <c r="AV37" s="593">
        <v>4.5170000000000003</v>
      </c>
      <c r="AW37" s="593">
        <f t="shared" si="40"/>
        <v>4.9883333333333333</v>
      </c>
      <c r="AX37" s="593">
        <f t="shared" si="41"/>
        <v>33.587666666666671</v>
      </c>
      <c r="AY37" s="698">
        <f t="shared" si="42"/>
        <v>98.962164503691668</v>
      </c>
      <c r="AZ37" s="75"/>
      <c r="BA37" s="621">
        <v>650</v>
      </c>
      <c r="BB37" s="593">
        <v>103.50685607036536</v>
      </c>
      <c r="BC37" s="693">
        <v>1.0865946882160287</v>
      </c>
      <c r="BD37" s="667">
        <f>D37-BB48</f>
        <v>33.149999999999977</v>
      </c>
      <c r="BE37" s="667">
        <f>BB50-BB51</f>
        <v>112.47</v>
      </c>
      <c r="BF37" s="667">
        <f t="shared" si="43"/>
        <v>29.474526540410757</v>
      </c>
      <c r="BG37" s="689">
        <f t="shared" si="44"/>
        <v>32.026863976492692</v>
      </c>
      <c r="BH37" s="598">
        <v>650</v>
      </c>
      <c r="BI37" s="593">
        <v>103.50685607036536</v>
      </c>
      <c r="BJ37" s="667">
        <v>0.91375589589643469</v>
      </c>
      <c r="BK37" s="667">
        <f>I37-BI48</f>
        <v>31.620000000000005</v>
      </c>
      <c r="BL37" s="667">
        <f>BI50-BI51</f>
        <v>94.580000000000013</v>
      </c>
      <c r="BM37" s="667">
        <f t="shared" si="45"/>
        <v>33.432015225206172</v>
      </c>
      <c r="BN37" s="668">
        <f t="shared" si="46"/>
        <v>30.54870102373151</v>
      </c>
      <c r="BO37" s="621">
        <v>650</v>
      </c>
      <c r="BP37" s="681">
        <v>103.50685607036536</v>
      </c>
      <c r="BQ37" s="693">
        <v>1.3517945120937738</v>
      </c>
      <c r="BR37" s="693">
        <f t="shared" si="47"/>
        <v>28.189999999999998</v>
      </c>
      <c r="BS37" s="667">
        <f>BP50-BP51</f>
        <v>139.92000000000002</v>
      </c>
      <c r="BT37" s="693">
        <f t="shared" si="48"/>
        <v>20.147226986849624</v>
      </c>
      <c r="BU37" s="680">
        <f t="shared" si="49"/>
        <v>27.2349108747309</v>
      </c>
      <c r="BV37" s="598">
        <v>650</v>
      </c>
      <c r="BW37" s="620">
        <v>103.50685607036536</v>
      </c>
      <c r="BX37" s="693">
        <v>1.396525848507397</v>
      </c>
      <c r="BY37" s="693">
        <f t="shared" si="50"/>
        <v>29.819999999999993</v>
      </c>
      <c r="BZ37" s="667">
        <f>BW50-BW51</f>
        <v>144.55000000000001</v>
      </c>
      <c r="CA37" s="693">
        <f t="shared" si="51"/>
        <v>20.629539951573843</v>
      </c>
      <c r="CB37" s="668">
        <f t="shared" si="52"/>
        <v>28.809685785188908</v>
      </c>
      <c r="CC37" s="560"/>
      <c r="CD37" s="560"/>
    </row>
    <row r="38" spans="1:82" ht="15.75">
      <c r="A38" s="564"/>
      <c r="B38" s="585" t="s">
        <v>116</v>
      </c>
      <c r="C38" s="621">
        <v>750</v>
      </c>
      <c r="D38" s="594">
        <v>430.94</v>
      </c>
      <c r="E38" s="595">
        <v>3.46</v>
      </c>
      <c r="F38" s="595">
        <v>2.83</v>
      </c>
      <c r="G38" s="596">
        <v>3.56</v>
      </c>
      <c r="H38" s="621">
        <v>750</v>
      </c>
      <c r="I38" s="559">
        <v>415.17</v>
      </c>
      <c r="J38" s="617">
        <v>6.24</v>
      </c>
      <c r="K38" s="617">
        <v>4.4000000000000004</v>
      </c>
      <c r="L38" s="617">
        <v>4.62</v>
      </c>
      <c r="M38" s="598">
        <v>750</v>
      </c>
      <c r="N38" s="562">
        <v>452.96</v>
      </c>
      <c r="O38" s="617">
        <v>2.33</v>
      </c>
      <c r="P38" s="617">
        <v>2.34</v>
      </c>
      <c r="Q38" s="617">
        <v>3.03</v>
      </c>
      <c r="R38" s="598">
        <v>750</v>
      </c>
      <c r="S38" s="562">
        <v>460.41</v>
      </c>
      <c r="T38" s="617">
        <v>1.44</v>
      </c>
      <c r="U38" s="617">
        <v>1.97</v>
      </c>
      <c r="V38" s="619">
        <v>2.0099999999999998</v>
      </c>
      <c r="W38" s="564"/>
      <c r="X38" s="598">
        <v>750</v>
      </c>
      <c r="Y38" s="592">
        <f t="shared" si="27"/>
        <v>0.32833333333333331</v>
      </c>
      <c r="Z38" s="620">
        <v>9.6440000000000001</v>
      </c>
      <c r="AA38" s="593">
        <v>4.5170000000000003</v>
      </c>
      <c r="AB38" s="593">
        <f t="shared" si="28"/>
        <v>4.7986666666666666</v>
      </c>
      <c r="AC38" s="593">
        <f t="shared" si="29"/>
        <v>33.777333333333338</v>
      </c>
      <c r="AD38" s="653">
        <f t="shared" si="30"/>
        <v>127.460506866</v>
      </c>
      <c r="AE38" s="704">
        <v>750</v>
      </c>
      <c r="AF38" s="595">
        <f t="shared" si="31"/>
        <v>0.50866666666666671</v>
      </c>
      <c r="AG38" s="593">
        <v>9.6440000000000001</v>
      </c>
      <c r="AH38" s="593">
        <v>4.5170000000000003</v>
      </c>
      <c r="AI38" s="593">
        <f t="shared" si="32"/>
        <v>4.6183333333333332</v>
      </c>
      <c r="AJ38" s="593">
        <f t="shared" si="33"/>
        <v>33.957666666666675</v>
      </c>
      <c r="AK38" s="653">
        <f t="shared" si="34"/>
        <v>123.32548001062501</v>
      </c>
      <c r="AL38" s="621">
        <v>750</v>
      </c>
      <c r="AM38" s="595">
        <f t="shared" si="35"/>
        <v>0.25666666666666665</v>
      </c>
      <c r="AN38" s="593">
        <v>9.6440000000000001</v>
      </c>
      <c r="AO38" s="593">
        <v>4.5170000000000003</v>
      </c>
      <c r="AP38" s="593">
        <f t="shared" si="36"/>
        <v>4.870333333333333</v>
      </c>
      <c r="AQ38" s="593">
        <f t="shared" si="37"/>
        <v>33.705666666666673</v>
      </c>
      <c r="AR38" s="698">
        <f t="shared" si="38"/>
        <v>129.089615051625</v>
      </c>
      <c r="AS38" s="621">
        <v>750</v>
      </c>
      <c r="AT38" s="595">
        <f t="shared" si="39"/>
        <v>0.18066666666666667</v>
      </c>
      <c r="AU38" s="593">
        <v>9.6440000000000001</v>
      </c>
      <c r="AV38" s="593">
        <v>4.5170000000000003</v>
      </c>
      <c r="AW38" s="593">
        <f t="shared" si="40"/>
        <v>4.9463333333333335</v>
      </c>
      <c r="AX38" s="593">
        <f t="shared" si="41"/>
        <v>33.629666666666672</v>
      </c>
      <c r="AY38" s="698">
        <f t="shared" si="42"/>
        <v>130.808402228625</v>
      </c>
      <c r="AZ38" s="75"/>
      <c r="BA38" s="621">
        <v>750</v>
      </c>
      <c r="BB38" s="593">
        <v>103.50685607036536</v>
      </c>
      <c r="BC38" s="693">
        <v>1.0865946882160287</v>
      </c>
      <c r="BD38" s="667">
        <f>D38-BB48</f>
        <v>31.229999999999961</v>
      </c>
      <c r="BE38" s="667">
        <f>BB50-BB51</f>
        <v>112.47</v>
      </c>
      <c r="BF38" s="667">
        <f t="shared" si="43"/>
        <v>27.767404641237629</v>
      </c>
      <c r="BG38" s="689">
        <f t="shared" si="44"/>
        <v>30.171914388713908</v>
      </c>
      <c r="BH38" s="598">
        <v>750</v>
      </c>
      <c r="BI38" s="593">
        <v>103.50685607036536</v>
      </c>
      <c r="BJ38" s="667">
        <v>0.91375589589643469</v>
      </c>
      <c r="BK38" s="667">
        <f>I38-BI48</f>
        <v>29.490000000000009</v>
      </c>
      <c r="BL38" s="667">
        <f>BI50-BI51</f>
        <v>94.580000000000013</v>
      </c>
      <c r="BM38" s="667">
        <f t="shared" si="45"/>
        <v>31.179953478536692</v>
      </c>
      <c r="BN38" s="668">
        <f t="shared" si="46"/>
        <v>28.490866324789451</v>
      </c>
      <c r="BO38" s="621">
        <v>750</v>
      </c>
      <c r="BP38" s="681">
        <v>103.50685607036536</v>
      </c>
      <c r="BQ38" s="693">
        <v>1.3517945120937738</v>
      </c>
      <c r="BR38" s="693">
        <f t="shared" si="47"/>
        <v>27.079999999999984</v>
      </c>
      <c r="BS38" s="667">
        <f>BP50-BP51</f>
        <v>139.92000000000002</v>
      </c>
      <c r="BT38" s="693">
        <f t="shared" si="48"/>
        <v>19.353916523727833</v>
      </c>
      <c r="BU38" s="680">
        <f t="shared" si="49"/>
        <v>26.162518144296293</v>
      </c>
      <c r="BV38" s="598">
        <v>750</v>
      </c>
      <c r="BW38" s="620">
        <v>103.50685607036536</v>
      </c>
      <c r="BX38" s="693">
        <v>1.396525848507397</v>
      </c>
      <c r="BY38" s="693">
        <f t="shared" si="50"/>
        <v>28.930000000000007</v>
      </c>
      <c r="BZ38" s="667">
        <f>BW50-BW51</f>
        <v>144.55000000000001</v>
      </c>
      <c r="CA38" s="693">
        <f t="shared" si="51"/>
        <v>20.013836042891736</v>
      </c>
      <c r="CB38" s="668">
        <f t="shared" si="52"/>
        <v>27.949839361687307</v>
      </c>
      <c r="CC38" s="560"/>
      <c r="CD38" s="560"/>
    </row>
    <row r="39" spans="1:82" ht="15.75">
      <c r="A39" s="564"/>
      <c r="B39" s="585" t="s">
        <v>116</v>
      </c>
      <c r="C39" s="621">
        <v>850</v>
      </c>
      <c r="D39" s="594">
        <v>430.14</v>
      </c>
      <c r="E39" s="595">
        <v>3.33</v>
      </c>
      <c r="F39" s="595">
        <v>2.81</v>
      </c>
      <c r="G39" s="596">
        <v>3.13</v>
      </c>
      <c r="H39" s="621">
        <v>850</v>
      </c>
      <c r="I39" s="559">
        <v>414.21</v>
      </c>
      <c r="J39" s="617">
        <v>7</v>
      </c>
      <c r="K39" s="617">
        <v>5.38</v>
      </c>
      <c r="L39" s="617">
        <v>4.78</v>
      </c>
      <c r="M39" s="598">
        <v>850</v>
      </c>
      <c r="N39" s="562">
        <v>452.18</v>
      </c>
      <c r="O39" s="617">
        <v>2.37</v>
      </c>
      <c r="P39" s="617">
        <v>3.01</v>
      </c>
      <c r="Q39" s="617">
        <v>2.83</v>
      </c>
      <c r="R39" s="598">
        <v>850</v>
      </c>
      <c r="S39" s="562">
        <v>459.86</v>
      </c>
      <c r="T39" s="617">
        <v>1.64</v>
      </c>
      <c r="U39" s="617">
        <v>2</v>
      </c>
      <c r="V39" s="619">
        <v>2.2000000000000002</v>
      </c>
      <c r="W39" s="564"/>
      <c r="X39" s="598">
        <v>850</v>
      </c>
      <c r="Y39" s="592">
        <f t="shared" si="27"/>
        <v>0.309</v>
      </c>
      <c r="Z39" s="620">
        <v>9.6440000000000001</v>
      </c>
      <c r="AA39" s="593">
        <v>4.5170000000000003</v>
      </c>
      <c r="AB39" s="593">
        <f t="shared" si="28"/>
        <v>4.8179999999999996</v>
      </c>
      <c r="AC39" s="593">
        <f t="shared" si="29"/>
        <v>33.758000000000003</v>
      </c>
      <c r="AD39" s="653">
        <f t="shared" si="30"/>
        <v>164.28144997241998</v>
      </c>
      <c r="AE39" s="704">
        <v>850</v>
      </c>
      <c r="AF39" s="595">
        <f t="shared" si="31"/>
        <v>0.57199999999999995</v>
      </c>
      <c r="AG39" s="593">
        <v>9.6440000000000001</v>
      </c>
      <c r="AH39" s="593">
        <v>4.5170000000000003</v>
      </c>
      <c r="AI39" s="593">
        <f t="shared" si="32"/>
        <v>4.5549999999999997</v>
      </c>
      <c r="AJ39" s="593">
        <f t="shared" si="33"/>
        <v>34.021000000000008</v>
      </c>
      <c r="AK39" s="653">
        <f t="shared" si="34"/>
        <v>156.52383466102501</v>
      </c>
      <c r="AL39" s="621">
        <v>850</v>
      </c>
      <c r="AM39" s="595">
        <f t="shared" si="35"/>
        <v>0.27366666666666667</v>
      </c>
      <c r="AN39" s="593">
        <v>9.6440000000000001</v>
      </c>
      <c r="AO39" s="593">
        <v>4.5170000000000003</v>
      </c>
      <c r="AP39" s="593">
        <f t="shared" si="36"/>
        <v>4.8533333333333335</v>
      </c>
      <c r="AQ39" s="593">
        <f t="shared" si="37"/>
        <v>33.722666666666669</v>
      </c>
      <c r="AR39" s="698">
        <f t="shared" si="38"/>
        <v>165.31301734826667</v>
      </c>
      <c r="AS39" s="621">
        <v>850</v>
      </c>
      <c r="AT39" s="595">
        <f t="shared" si="39"/>
        <v>0.19466666666666665</v>
      </c>
      <c r="AU39" s="593">
        <v>9.6440000000000001</v>
      </c>
      <c r="AV39" s="593">
        <v>4.5170000000000003</v>
      </c>
      <c r="AW39" s="593">
        <f t="shared" si="40"/>
        <v>4.9323333333333332</v>
      </c>
      <c r="AX39" s="593">
        <f t="shared" si="41"/>
        <v>33.643666666666675</v>
      </c>
      <c r="AY39" s="698">
        <f t="shared" si="42"/>
        <v>167.6103231389317</v>
      </c>
      <c r="AZ39" s="75"/>
      <c r="BA39" s="621">
        <v>850</v>
      </c>
      <c r="BB39" s="593">
        <v>103.50685607036536</v>
      </c>
      <c r="BC39" s="693">
        <v>1.0865946882160287</v>
      </c>
      <c r="BD39" s="667">
        <f>D39-BB48</f>
        <v>30.42999999999995</v>
      </c>
      <c r="BE39" s="667">
        <f>BB50-BB51</f>
        <v>112.47</v>
      </c>
      <c r="BF39" s="667">
        <f t="shared" si="43"/>
        <v>27.056103849915491</v>
      </c>
      <c r="BG39" s="689">
        <f t="shared" si="44"/>
        <v>29.399018727139417</v>
      </c>
      <c r="BH39" s="598">
        <v>850</v>
      </c>
      <c r="BI39" s="593">
        <v>103.50685607036536</v>
      </c>
      <c r="BJ39" s="667">
        <v>0.91375589589643469</v>
      </c>
      <c r="BK39" s="667">
        <f>I39-BI48</f>
        <v>28.529999999999973</v>
      </c>
      <c r="BL39" s="667">
        <f>BI50-BI51</f>
        <v>94.580000000000013</v>
      </c>
      <c r="BM39" s="667">
        <f t="shared" si="45"/>
        <v>30.16493973355886</v>
      </c>
      <c r="BN39" s="668">
        <f t="shared" si="46"/>
        <v>27.563391530900038</v>
      </c>
      <c r="BO39" s="621">
        <v>850</v>
      </c>
      <c r="BP39" s="681">
        <v>103.50685607036536</v>
      </c>
      <c r="BQ39" s="693">
        <v>1.3517945120937738</v>
      </c>
      <c r="BR39" s="693">
        <f t="shared" si="47"/>
        <v>26.300000000000011</v>
      </c>
      <c r="BS39" s="667">
        <f>BP50-BP51</f>
        <v>139.92000000000002</v>
      </c>
      <c r="BT39" s="693">
        <f t="shared" si="48"/>
        <v>18.796455117209838</v>
      </c>
      <c r="BU39" s="680">
        <f t="shared" si="49"/>
        <v>25.408944874261191</v>
      </c>
      <c r="BV39" s="598">
        <v>850</v>
      </c>
      <c r="BW39" s="620">
        <v>103.50685607036536</v>
      </c>
      <c r="BX39" s="693">
        <v>1.396525848507397</v>
      </c>
      <c r="BY39" s="693">
        <f t="shared" si="50"/>
        <v>28.379999999999995</v>
      </c>
      <c r="BZ39" s="667">
        <f>BW50-BW51</f>
        <v>144.55000000000001</v>
      </c>
      <c r="CA39" s="693">
        <f t="shared" si="51"/>
        <v>19.633344863369071</v>
      </c>
      <c r="CB39" s="668">
        <f t="shared" si="52"/>
        <v>27.418473594354836</v>
      </c>
      <c r="CC39" s="560"/>
      <c r="CD39" s="560"/>
    </row>
    <row r="40" spans="1:82" ht="15.75">
      <c r="A40" s="564"/>
      <c r="B40" s="585" t="s">
        <v>116</v>
      </c>
      <c r="C40" s="621">
        <v>950</v>
      </c>
      <c r="D40" s="594">
        <v>428.27</v>
      </c>
      <c r="E40" s="595">
        <v>3.42</v>
      </c>
      <c r="F40" s="595">
        <v>3.29</v>
      </c>
      <c r="G40" s="596">
        <v>4.29</v>
      </c>
      <c r="H40" s="621">
        <v>950</v>
      </c>
      <c r="I40" s="559">
        <v>412.26</v>
      </c>
      <c r="J40" s="617">
        <v>6.6</v>
      </c>
      <c r="K40" s="617">
        <v>7.07</v>
      </c>
      <c r="L40" s="617">
        <v>6.03</v>
      </c>
      <c r="M40" s="598">
        <v>950</v>
      </c>
      <c r="N40" s="562">
        <v>449.99</v>
      </c>
      <c r="O40" s="617">
        <v>2.11</v>
      </c>
      <c r="P40" s="617">
        <v>3.2</v>
      </c>
      <c r="Q40" s="617">
        <v>3.15</v>
      </c>
      <c r="R40" s="598">
        <v>950</v>
      </c>
      <c r="S40" s="562">
        <v>457.92</v>
      </c>
      <c r="T40" s="617">
        <v>1.64</v>
      </c>
      <c r="U40" s="617">
        <v>2.2999999999999998</v>
      </c>
      <c r="V40" s="619">
        <v>2.8</v>
      </c>
      <c r="W40" s="564"/>
      <c r="X40" s="598">
        <v>950</v>
      </c>
      <c r="Y40" s="592">
        <f t="shared" si="27"/>
        <v>0.36666666666666664</v>
      </c>
      <c r="Z40" s="620">
        <v>9.6440000000000001</v>
      </c>
      <c r="AA40" s="593">
        <v>4.5170000000000003</v>
      </c>
      <c r="AB40" s="593">
        <f t="shared" si="28"/>
        <v>4.7603333333333335</v>
      </c>
      <c r="AC40" s="593">
        <f t="shared" si="29"/>
        <v>33.815666666666672</v>
      </c>
      <c r="AD40" s="653">
        <f t="shared" si="30"/>
        <v>203.09989564765169</v>
      </c>
      <c r="AE40" s="704">
        <v>950</v>
      </c>
      <c r="AF40" s="595">
        <f t="shared" si="31"/>
        <v>0.65666666666666662</v>
      </c>
      <c r="AG40" s="593">
        <v>9.6440000000000001</v>
      </c>
      <c r="AH40" s="593">
        <v>4.5170000000000003</v>
      </c>
      <c r="AI40" s="593">
        <f t="shared" si="32"/>
        <v>4.4703333333333335</v>
      </c>
      <c r="AJ40" s="593">
        <f t="shared" si="33"/>
        <v>34.105666666666671</v>
      </c>
      <c r="AK40" s="653">
        <f t="shared" si="34"/>
        <v>192.36268614905165</v>
      </c>
      <c r="AL40" s="621">
        <v>950</v>
      </c>
      <c r="AM40" s="595">
        <f t="shared" si="35"/>
        <v>0.28200000000000003</v>
      </c>
      <c r="AN40" s="593">
        <v>9.6440000000000001</v>
      </c>
      <c r="AO40" s="593">
        <v>4.5170000000000003</v>
      </c>
      <c r="AP40" s="593">
        <f t="shared" si="36"/>
        <v>4.8449999999999998</v>
      </c>
      <c r="AQ40" s="593">
        <f t="shared" si="37"/>
        <v>33.731000000000009</v>
      </c>
      <c r="AR40" s="698">
        <f t="shared" si="38"/>
        <v>206.194643948025</v>
      </c>
      <c r="AS40" s="621">
        <v>950</v>
      </c>
      <c r="AT40" s="595">
        <f t="shared" si="39"/>
        <v>0.22466666666666665</v>
      </c>
      <c r="AU40" s="593">
        <v>9.6440000000000001</v>
      </c>
      <c r="AV40" s="593">
        <v>4.5170000000000003</v>
      </c>
      <c r="AW40" s="593">
        <f t="shared" si="40"/>
        <v>4.902333333333333</v>
      </c>
      <c r="AX40" s="593">
        <f t="shared" si="41"/>
        <v>33.673666666666669</v>
      </c>
      <c r="AY40" s="698">
        <f t="shared" si="42"/>
        <v>208.28002839785162</v>
      </c>
      <c r="AZ40" s="75"/>
      <c r="BA40" s="621">
        <v>950</v>
      </c>
      <c r="BB40" s="593">
        <v>103.50685607036536</v>
      </c>
      <c r="BC40" s="693">
        <v>1.0865946882160287</v>
      </c>
      <c r="BD40" s="667">
        <f>D40-BB48</f>
        <v>28.559999999999945</v>
      </c>
      <c r="BE40" s="667">
        <f>BB50-BB51</f>
        <v>112.47</v>
      </c>
      <c r="BF40" s="667">
        <f t="shared" si="43"/>
        <v>25.393438250200006</v>
      </c>
      <c r="BG40" s="689">
        <f t="shared" si="44"/>
        <v>27.592375118209052</v>
      </c>
      <c r="BH40" s="598">
        <v>950</v>
      </c>
      <c r="BI40" s="593">
        <v>103.50685607036536</v>
      </c>
      <c r="BJ40" s="667">
        <v>0.91375589589643469</v>
      </c>
      <c r="BK40" s="667">
        <f>I40-BI48</f>
        <v>26.579999999999984</v>
      </c>
      <c r="BL40" s="667">
        <f>BI50-BI51</f>
        <v>94.580000000000013</v>
      </c>
      <c r="BM40" s="667">
        <f t="shared" si="45"/>
        <v>28.103193064072723</v>
      </c>
      <c r="BN40" s="668">
        <f t="shared" si="46"/>
        <v>25.67945835581224</v>
      </c>
      <c r="BO40" s="621">
        <v>950</v>
      </c>
      <c r="BP40" s="681">
        <v>103.50685607036536</v>
      </c>
      <c r="BQ40" s="693">
        <v>1.3517945120937738</v>
      </c>
      <c r="BR40" s="693">
        <f t="shared" si="47"/>
        <v>24.110000000000014</v>
      </c>
      <c r="BS40" s="667">
        <f>BP50-BP51</f>
        <v>139.92000000000002</v>
      </c>
      <c r="BT40" s="693">
        <f t="shared" si="48"/>
        <v>17.231275014293889</v>
      </c>
      <c r="BU40" s="680">
        <f t="shared" si="49"/>
        <v>23.293143000701043</v>
      </c>
      <c r="BV40" s="598">
        <v>950</v>
      </c>
      <c r="BW40" s="620">
        <v>103.50685607036536</v>
      </c>
      <c r="BX40" s="693">
        <v>1.396525848507397</v>
      </c>
      <c r="BY40" s="693">
        <f t="shared" si="50"/>
        <v>26.439999999999998</v>
      </c>
      <c r="BZ40" s="667">
        <f>BW50-BW51</f>
        <v>144.55000000000001</v>
      </c>
      <c r="CA40" s="693">
        <f t="shared" si="51"/>
        <v>18.291248702870977</v>
      </c>
      <c r="CB40" s="668">
        <f t="shared" si="52"/>
        <v>25.544201615036716</v>
      </c>
      <c r="CC40" s="560"/>
      <c r="CD40" s="560"/>
    </row>
    <row r="41" spans="1:82" ht="15.75">
      <c r="A41" s="564"/>
      <c r="B41" s="585" t="s">
        <v>116</v>
      </c>
      <c r="C41" s="621">
        <v>1000</v>
      </c>
      <c r="D41" s="594">
        <v>427.39</v>
      </c>
      <c r="E41" s="595">
        <v>4.05</v>
      </c>
      <c r="F41" s="595">
        <v>3.31</v>
      </c>
      <c r="G41" s="596">
        <v>4.53</v>
      </c>
      <c r="H41" s="621">
        <v>1000</v>
      </c>
      <c r="I41" s="559">
        <v>411.29</v>
      </c>
      <c r="J41" s="617">
        <v>7.16</v>
      </c>
      <c r="K41" s="617">
        <v>5.66</v>
      </c>
      <c r="L41" s="617">
        <v>6</v>
      </c>
      <c r="M41" s="598">
        <v>1000</v>
      </c>
      <c r="N41" s="562">
        <v>448.85</v>
      </c>
      <c r="O41" s="617">
        <v>2.37</v>
      </c>
      <c r="P41" s="617">
        <v>2.77</v>
      </c>
      <c r="Q41" s="617">
        <v>3.21</v>
      </c>
      <c r="R41" s="598">
        <v>1000</v>
      </c>
      <c r="S41" s="562">
        <v>457.19</v>
      </c>
      <c r="T41" s="617">
        <v>2.0699999999999998</v>
      </c>
      <c r="U41" s="617">
        <v>2.42</v>
      </c>
      <c r="V41" s="619">
        <v>2.94</v>
      </c>
      <c r="W41" s="564"/>
      <c r="X41" s="598">
        <v>1000</v>
      </c>
      <c r="Y41" s="592">
        <f t="shared" si="27"/>
        <v>0.39633333333333332</v>
      </c>
      <c r="Z41" s="620">
        <v>9.6440000000000001</v>
      </c>
      <c r="AA41" s="593">
        <v>4.5170000000000003</v>
      </c>
      <c r="AB41" s="593">
        <f t="shared" si="28"/>
        <v>4.7306666666666661</v>
      </c>
      <c r="AC41" s="593">
        <f t="shared" si="29"/>
        <v>33.845333333333336</v>
      </c>
      <c r="AD41" s="653">
        <f t="shared" si="30"/>
        <v>223.83516433066663</v>
      </c>
      <c r="AE41" s="704">
        <v>1000</v>
      </c>
      <c r="AF41" s="595">
        <f t="shared" si="31"/>
        <v>0.6273333333333333</v>
      </c>
      <c r="AG41" s="593">
        <v>9.6440000000000001</v>
      </c>
      <c r="AH41" s="593">
        <v>4.5170000000000003</v>
      </c>
      <c r="AI41" s="593">
        <f t="shared" si="32"/>
        <v>4.4996666666666663</v>
      </c>
      <c r="AJ41" s="593">
        <f t="shared" si="33"/>
        <v>34.076333333333338</v>
      </c>
      <c r="AK41" s="653">
        <f t="shared" si="34"/>
        <v>214.35833342866664</v>
      </c>
      <c r="AL41" s="621">
        <v>1000</v>
      </c>
      <c r="AM41" s="595">
        <f t="shared" si="35"/>
        <v>0.27833333333333338</v>
      </c>
      <c r="AN41" s="593">
        <v>9.6440000000000001</v>
      </c>
      <c r="AO41" s="593">
        <v>4.5170000000000003</v>
      </c>
      <c r="AP41" s="593">
        <f t="shared" si="36"/>
        <v>4.8486666666666665</v>
      </c>
      <c r="AQ41" s="593">
        <f t="shared" si="37"/>
        <v>33.727333333333341</v>
      </c>
      <c r="AR41" s="698">
        <f t="shared" si="38"/>
        <v>228.61857045066665</v>
      </c>
      <c r="AS41" s="621">
        <v>1000</v>
      </c>
      <c r="AT41" s="595">
        <f t="shared" si="39"/>
        <v>0.24766666666666665</v>
      </c>
      <c r="AU41" s="593">
        <v>9.6440000000000001</v>
      </c>
      <c r="AV41" s="593">
        <v>4.5170000000000003</v>
      </c>
      <c r="AW41" s="593">
        <f t="shared" si="40"/>
        <v>4.8793333333333333</v>
      </c>
      <c r="AX41" s="593">
        <f t="shared" si="41"/>
        <v>33.696666666666673</v>
      </c>
      <c r="AY41" s="698">
        <f t="shared" si="42"/>
        <v>229.85534190666664</v>
      </c>
      <c r="AZ41" s="75"/>
      <c r="BA41" s="621">
        <v>1000</v>
      </c>
      <c r="BB41" s="593">
        <v>103.50685607036536</v>
      </c>
      <c r="BC41" s="693">
        <v>1.0865946882160287</v>
      </c>
      <c r="BD41" s="667">
        <f>D41-BB48</f>
        <v>27.67999999999995</v>
      </c>
      <c r="BE41" s="667">
        <f>BB50-BB51</f>
        <v>112.47</v>
      </c>
      <c r="BF41" s="667">
        <f t="shared" si="43"/>
        <v>24.611007379745669</v>
      </c>
      <c r="BG41" s="689">
        <f t="shared" si="44"/>
        <v>26.742189890477125</v>
      </c>
      <c r="BH41" s="598">
        <v>1000</v>
      </c>
      <c r="BI41" s="593">
        <v>103.50685607036536</v>
      </c>
      <c r="BJ41" s="667">
        <v>0.91375589589643469</v>
      </c>
      <c r="BK41" s="667">
        <f>I41-BI48</f>
        <v>25.610000000000014</v>
      </c>
      <c r="BL41" s="667">
        <f>BI50-BI51</f>
        <v>94.580000000000013</v>
      </c>
      <c r="BM41" s="667">
        <f t="shared" si="45"/>
        <v>27.077606259251436</v>
      </c>
      <c r="BN41" s="668">
        <f t="shared" si="46"/>
        <v>24.742322366153203</v>
      </c>
      <c r="BO41" s="621">
        <v>1000</v>
      </c>
      <c r="BP41" s="681">
        <v>103.50685607036536</v>
      </c>
      <c r="BQ41" s="693">
        <v>1.3517945120937738</v>
      </c>
      <c r="BR41" s="693">
        <f t="shared" si="47"/>
        <v>22.970000000000027</v>
      </c>
      <c r="BS41" s="667">
        <f>BP50-BP51</f>
        <v>139.92000000000002</v>
      </c>
      <c r="BT41" s="693">
        <f t="shared" si="48"/>
        <v>16.416523727844499</v>
      </c>
      <c r="BU41" s="680">
        <f t="shared" si="49"/>
        <v>22.191766682957415</v>
      </c>
      <c r="BV41" s="598">
        <v>1000</v>
      </c>
      <c r="BW41" s="620">
        <v>103.50685607036536</v>
      </c>
      <c r="BX41" s="693">
        <v>1.396525848507397</v>
      </c>
      <c r="BY41" s="693">
        <f t="shared" si="50"/>
        <v>25.70999999999998</v>
      </c>
      <c r="BZ41" s="667">
        <f>BW50-BW51</f>
        <v>144.55000000000001</v>
      </c>
      <c r="CA41" s="693">
        <f t="shared" si="51"/>
        <v>17.786233137322711</v>
      </c>
      <c r="CB41" s="668">
        <f t="shared" si="52"/>
        <v>24.83893432384998</v>
      </c>
      <c r="CC41" s="560"/>
      <c r="CD41" s="560"/>
    </row>
    <row r="42" spans="1:82" ht="15.75">
      <c r="A42" s="564"/>
      <c r="B42" s="585" t="s">
        <v>116</v>
      </c>
      <c r="C42" s="621">
        <v>1350</v>
      </c>
      <c r="D42" s="594">
        <v>425.22</v>
      </c>
      <c r="E42" s="595">
        <v>4.4400000000000004</v>
      </c>
      <c r="F42" s="595">
        <v>3.81</v>
      </c>
      <c r="G42" s="596">
        <v>4.34</v>
      </c>
      <c r="H42" s="621">
        <v>1350</v>
      </c>
      <c r="I42" s="559">
        <v>408.96</v>
      </c>
      <c r="J42" s="617">
        <v>7.43</v>
      </c>
      <c r="K42" s="617">
        <v>7.48</v>
      </c>
      <c r="L42" s="617">
        <v>6.37</v>
      </c>
      <c r="M42" s="598">
        <v>1350</v>
      </c>
      <c r="N42" s="562">
        <v>445.51</v>
      </c>
      <c r="O42" s="617">
        <v>2.81</v>
      </c>
      <c r="P42" s="617">
        <v>3.34</v>
      </c>
      <c r="Q42" s="617">
        <v>3.23</v>
      </c>
      <c r="R42" s="598">
        <v>1350</v>
      </c>
      <c r="S42" s="562">
        <v>453.72</v>
      </c>
      <c r="T42" s="617">
        <v>2.2799999999999998</v>
      </c>
      <c r="U42" s="617">
        <v>2.39</v>
      </c>
      <c r="V42" s="619">
        <v>2.74</v>
      </c>
      <c r="W42" s="564"/>
      <c r="X42" s="598">
        <v>1200</v>
      </c>
      <c r="Y42" s="592">
        <f t="shared" si="27"/>
        <v>0.41966666666666663</v>
      </c>
      <c r="Z42" s="620">
        <v>9.6440000000000001</v>
      </c>
      <c r="AA42" s="593">
        <v>4.5170000000000003</v>
      </c>
      <c r="AB42" s="593">
        <f t="shared" si="28"/>
        <v>4.7073333333333327</v>
      </c>
      <c r="AC42" s="593">
        <f t="shared" si="29"/>
        <v>33.86866666666667</v>
      </c>
      <c r="AD42" s="653">
        <f t="shared" si="30"/>
        <v>320.95394318975997</v>
      </c>
      <c r="AE42" s="704">
        <v>1350</v>
      </c>
      <c r="AF42" s="595">
        <f t="shared" si="31"/>
        <v>0.70933333333333337</v>
      </c>
      <c r="AG42" s="593">
        <v>9.6440000000000001</v>
      </c>
      <c r="AH42" s="593">
        <v>4.5170000000000003</v>
      </c>
      <c r="AI42" s="593">
        <f t="shared" si="32"/>
        <v>4.4176666666666664</v>
      </c>
      <c r="AJ42" s="593">
        <f t="shared" si="33"/>
        <v>34.158333333333339</v>
      </c>
      <c r="AK42" s="653">
        <f t="shared" si="34"/>
        <v>384.47165213662504</v>
      </c>
      <c r="AL42" s="621">
        <v>1200</v>
      </c>
      <c r="AM42" s="595">
        <f t="shared" si="35"/>
        <v>0.3126666666666667</v>
      </c>
      <c r="AN42" s="593">
        <v>9.6440000000000001</v>
      </c>
      <c r="AO42" s="593">
        <v>4.5170000000000003</v>
      </c>
      <c r="AP42" s="593">
        <f t="shared" si="36"/>
        <v>4.8143333333333329</v>
      </c>
      <c r="AQ42" s="593">
        <f t="shared" si="37"/>
        <v>33.76166666666667</v>
      </c>
      <c r="AR42" s="698">
        <f t="shared" si="38"/>
        <v>327.21235815839998</v>
      </c>
      <c r="AS42" s="621">
        <v>1200</v>
      </c>
      <c r="AT42" s="595">
        <f t="shared" si="39"/>
        <v>0.24700000000000003</v>
      </c>
      <c r="AU42" s="593">
        <v>9.6440000000000001</v>
      </c>
      <c r="AV42" s="593">
        <v>4.5170000000000003</v>
      </c>
      <c r="AW42" s="593">
        <f t="shared" si="40"/>
        <v>4.88</v>
      </c>
      <c r="AX42" s="593">
        <f t="shared" si="41"/>
        <v>33.696000000000005</v>
      </c>
      <c r="AY42" s="698">
        <f t="shared" si="42"/>
        <v>331.03036661760001</v>
      </c>
      <c r="AZ42" s="75"/>
      <c r="BA42" s="621">
        <v>1200</v>
      </c>
      <c r="BB42" s="593">
        <v>103.50685607036536</v>
      </c>
      <c r="BC42" s="693">
        <v>1.0865946882160287</v>
      </c>
      <c r="BD42" s="667">
        <f>D42-BB48</f>
        <v>25.509999999999991</v>
      </c>
      <c r="BE42" s="667">
        <f>BB50-BB51</f>
        <v>112.47</v>
      </c>
      <c r="BF42" s="667">
        <f t="shared" si="43"/>
        <v>22.681603983284422</v>
      </c>
      <c r="BG42" s="689">
        <f t="shared" si="44"/>
        <v>24.64571040845637</v>
      </c>
      <c r="BH42" s="598">
        <v>1200</v>
      </c>
      <c r="BI42" s="593">
        <v>103.50685607036536</v>
      </c>
      <c r="BJ42" s="667">
        <v>0.91375589589643469</v>
      </c>
      <c r="BK42" s="667">
        <f>I42-BI48</f>
        <v>23.279999999999973</v>
      </c>
      <c r="BL42" s="667">
        <f>BI50-BI51</f>
        <v>94.580000000000013</v>
      </c>
      <c r="BM42" s="667">
        <f t="shared" si="45"/>
        <v>24.614083315711536</v>
      </c>
      <c r="BN42" s="668">
        <f t="shared" si="46"/>
        <v>22.491263751817481</v>
      </c>
      <c r="BO42" s="621">
        <v>1200</v>
      </c>
      <c r="BP42" s="681">
        <v>103.50685607036536</v>
      </c>
      <c r="BQ42" s="693">
        <v>1.3517945120937738</v>
      </c>
      <c r="BR42" s="693">
        <f t="shared" si="47"/>
        <v>19.629999999999995</v>
      </c>
      <c r="BS42" s="667">
        <f>BP50-BP51</f>
        <v>139.92000000000002</v>
      </c>
      <c r="BT42" s="693">
        <f t="shared" si="48"/>
        <v>14.029445397369923</v>
      </c>
      <c r="BU42" s="680">
        <f t="shared" si="49"/>
        <v>18.964927295883914</v>
      </c>
      <c r="BV42" s="598">
        <v>1200</v>
      </c>
      <c r="BW42" s="620">
        <v>103.50685607036536</v>
      </c>
      <c r="BX42" s="693">
        <v>1.396525848507397</v>
      </c>
      <c r="BY42" s="693">
        <f t="shared" si="50"/>
        <v>22.240000000000009</v>
      </c>
      <c r="BZ42" s="667">
        <f>BW50-BW51</f>
        <v>144.55000000000001</v>
      </c>
      <c r="CA42" s="693">
        <f t="shared" si="51"/>
        <v>15.38567969560706</v>
      </c>
      <c r="CB42" s="668">
        <f t="shared" si="52"/>
        <v>21.486499391770678</v>
      </c>
      <c r="CC42" s="560"/>
      <c r="CD42" s="560"/>
    </row>
    <row r="43" spans="1:82" ht="15.75">
      <c r="A43" s="564"/>
      <c r="B43" s="585" t="s">
        <v>116</v>
      </c>
      <c r="C43" s="621">
        <v>2500</v>
      </c>
      <c r="D43" s="594">
        <v>421.03</v>
      </c>
      <c r="E43" s="595">
        <v>7.63</v>
      </c>
      <c r="F43" s="595">
        <v>6.21</v>
      </c>
      <c r="G43" s="596">
        <v>7.78</v>
      </c>
      <c r="H43" s="621">
        <v>2500</v>
      </c>
      <c r="I43" s="559">
        <v>404.49</v>
      </c>
      <c r="J43" s="617">
        <v>11.99</v>
      </c>
      <c r="K43" s="617">
        <v>11.85</v>
      </c>
      <c r="L43" s="617">
        <v>10.39</v>
      </c>
      <c r="M43" s="598">
        <v>2500</v>
      </c>
      <c r="N43" s="562">
        <v>440.02</v>
      </c>
      <c r="O43" s="617">
        <v>3.91</v>
      </c>
      <c r="P43" s="617">
        <v>4.01</v>
      </c>
      <c r="Q43" s="617">
        <v>4.28</v>
      </c>
      <c r="R43" s="598">
        <v>2500</v>
      </c>
      <c r="S43" s="562">
        <v>447.74</v>
      </c>
      <c r="T43" s="617">
        <v>2.77</v>
      </c>
      <c r="U43" s="617">
        <v>3.62</v>
      </c>
      <c r="V43" s="619">
        <v>3.75</v>
      </c>
      <c r="W43" s="564"/>
      <c r="X43" s="598">
        <v>1500</v>
      </c>
      <c r="Y43" s="592">
        <f t="shared" si="27"/>
        <v>0.72066666666666668</v>
      </c>
      <c r="Z43" s="620">
        <v>9.6440000000000001</v>
      </c>
      <c r="AA43" s="593">
        <v>4.5170000000000003</v>
      </c>
      <c r="AB43" s="593">
        <f t="shared" si="28"/>
        <v>4.4063333333333334</v>
      </c>
      <c r="AC43" s="593">
        <f t="shared" si="29"/>
        <v>34.169666666666672</v>
      </c>
      <c r="AD43" s="653">
        <f t="shared" si="30"/>
        <v>473.59573161450004</v>
      </c>
      <c r="AE43" s="704">
        <v>2500</v>
      </c>
      <c r="AF43" s="595">
        <f t="shared" si="31"/>
        <v>1.1410000000000002</v>
      </c>
      <c r="AG43" s="593">
        <v>9.6440000000000001</v>
      </c>
      <c r="AH43" s="593">
        <v>4.5170000000000003</v>
      </c>
      <c r="AI43" s="593">
        <f t="shared" si="32"/>
        <v>3.9859999999999998</v>
      </c>
      <c r="AJ43" s="593">
        <f t="shared" si="33"/>
        <v>34.590000000000003</v>
      </c>
      <c r="AK43" s="653">
        <f t="shared" si="34"/>
        <v>1204.6892782499999</v>
      </c>
      <c r="AL43" s="621">
        <v>1500</v>
      </c>
      <c r="AM43" s="595">
        <f t="shared" si="35"/>
        <v>0.40666666666666662</v>
      </c>
      <c r="AN43" s="593">
        <v>9.6440000000000001</v>
      </c>
      <c r="AO43" s="593">
        <v>4.5170000000000003</v>
      </c>
      <c r="AP43" s="593">
        <f t="shared" si="36"/>
        <v>4.7203333333333335</v>
      </c>
      <c r="AQ43" s="593">
        <f t="shared" si="37"/>
        <v>33.855666666666671</v>
      </c>
      <c r="AR43" s="698">
        <f t="shared" si="38"/>
        <v>502.68245530650006</v>
      </c>
      <c r="AS43" s="621">
        <v>1500</v>
      </c>
      <c r="AT43" s="595">
        <f t="shared" si="39"/>
        <v>0.33800000000000002</v>
      </c>
      <c r="AU43" s="593">
        <v>9.6440000000000001</v>
      </c>
      <c r="AV43" s="593">
        <v>4.5170000000000003</v>
      </c>
      <c r="AW43" s="593">
        <f t="shared" si="40"/>
        <v>4.7889999999999997</v>
      </c>
      <c r="AX43" s="593">
        <f t="shared" si="41"/>
        <v>33.787000000000006</v>
      </c>
      <c r="AY43" s="698">
        <f t="shared" si="42"/>
        <v>508.96059370650005</v>
      </c>
      <c r="AZ43" s="75"/>
      <c r="BA43" s="621">
        <v>1500</v>
      </c>
      <c r="BB43" s="593">
        <v>103.50685607036536</v>
      </c>
      <c r="BC43" s="693">
        <v>1.0865946882160287</v>
      </c>
      <c r="BD43" s="667">
        <f>D43-BB48</f>
        <v>21.319999999999936</v>
      </c>
      <c r="BE43" s="667">
        <f>BB50-BB51</f>
        <v>112.47</v>
      </c>
      <c r="BF43" s="667">
        <f t="shared" si="43"/>
        <v>18.956166088734715</v>
      </c>
      <c r="BG43" s="689">
        <f t="shared" si="44"/>
        <v>20.597669380959953</v>
      </c>
      <c r="BH43" s="598">
        <v>1500</v>
      </c>
      <c r="BI43" s="593">
        <v>103.50685607036536</v>
      </c>
      <c r="BJ43" s="667">
        <v>0.91375589589643469</v>
      </c>
      <c r="BK43" s="667">
        <f>I43-BI48</f>
        <v>18.810000000000002</v>
      </c>
      <c r="BL43" s="667">
        <f>BI50-BI51</f>
        <v>94.580000000000013</v>
      </c>
      <c r="BM43" s="667">
        <f t="shared" si="45"/>
        <v>19.887925565658701</v>
      </c>
      <c r="BN43" s="668">
        <f t="shared" si="46"/>
        <v>18.172709242770075</v>
      </c>
      <c r="BO43" s="621">
        <v>1500</v>
      </c>
      <c r="BP43" s="681">
        <v>103.50685607036536</v>
      </c>
      <c r="BQ43" s="693">
        <v>1.3517945120937738</v>
      </c>
      <c r="BR43" s="693">
        <f t="shared" si="47"/>
        <v>14.139999999999986</v>
      </c>
      <c r="BS43" s="667">
        <f>BP50-BP51</f>
        <v>139.92000000000002</v>
      </c>
      <c r="BT43" s="693">
        <f t="shared" si="48"/>
        <v>10.105774728416227</v>
      </c>
      <c r="BU43" s="680">
        <f t="shared" si="49"/>
        <v>13.660930818329003</v>
      </c>
      <c r="BV43" s="598">
        <v>1500</v>
      </c>
      <c r="BW43" s="620">
        <v>103.50685607036536</v>
      </c>
      <c r="BX43" s="693">
        <v>1.396525848507397</v>
      </c>
      <c r="BY43" s="693">
        <f t="shared" si="50"/>
        <v>16.259999999999991</v>
      </c>
      <c r="BZ43" s="667">
        <f>BW50-BW51</f>
        <v>144.55000000000001</v>
      </c>
      <c r="CA43" s="693">
        <f t="shared" si="51"/>
        <v>11.248702870978892</v>
      </c>
      <c r="CB43" s="668">
        <f t="shared" si="52"/>
        <v>15.709104321501391</v>
      </c>
      <c r="CC43" s="560"/>
      <c r="CD43" s="560"/>
    </row>
    <row r="44" spans="1:82" ht="15.75">
      <c r="A44" s="564"/>
      <c r="B44" s="585" t="s">
        <v>116</v>
      </c>
      <c r="C44" s="621">
        <v>5000</v>
      </c>
      <c r="D44" s="594">
        <v>416.91</v>
      </c>
      <c r="E44" s="595">
        <v>11.41</v>
      </c>
      <c r="F44" s="595">
        <v>10.69</v>
      </c>
      <c r="G44" s="596">
        <v>11.07</v>
      </c>
      <c r="H44" s="621">
        <v>5000</v>
      </c>
      <c r="I44" s="559">
        <v>400.84</v>
      </c>
      <c r="J44" s="617">
        <v>16.13</v>
      </c>
      <c r="K44" s="617">
        <v>16.989999999999998</v>
      </c>
      <c r="L44" s="617">
        <v>17.600000000000001</v>
      </c>
      <c r="M44" s="598">
        <v>5000</v>
      </c>
      <c r="N44" s="562">
        <v>436.46</v>
      </c>
      <c r="O44" s="617">
        <v>5.04</v>
      </c>
      <c r="P44" s="617">
        <v>5.43</v>
      </c>
      <c r="Q44" s="617">
        <v>5.45</v>
      </c>
      <c r="R44" s="598">
        <v>5000</v>
      </c>
      <c r="S44" s="562">
        <v>443.57</v>
      </c>
      <c r="T44" s="617">
        <v>3.73</v>
      </c>
      <c r="U44" s="617">
        <v>4.37</v>
      </c>
      <c r="V44" s="619">
        <v>4.8</v>
      </c>
      <c r="W44" s="564"/>
      <c r="X44" s="598">
        <v>2500</v>
      </c>
      <c r="Y44" s="592">
        <f t="shared" si="27"/>
        <v>1.1056666666666666</v>
      </c>
      <c r="Z44" s="620">
        <v>9.6440000000000001</v>
      </c>
      <c r="AA44" s="593">
        <v>4.5170000000000003</v>
      </c>
      <c r="AB44" s="593">
        <f t="shared" si="28"/>
        <v>4.0213333333333328</v>
      </c>
      <c r="AC44" s="593">
        <f t="shared" si="29"/>
        <v>34.55466666666667</v>
      </c>
      <c r="AD44" s="653">
        <f t="shared" si="30"/>
        <v>1214.1265898666663</v>
      </c>
      <c r="AE44" s="704">
        <v>5000</v>
      </c>
      <c r="AF44" s="595">
        <f t="shared" si="31"/>
        <v>1.6906666666666665</v>
      </c>
      <c r="AG44" s="593">
        <v>9.6440000000000001</v>
      </c>
      <c r="AH44" s="593">
        <v>4.5170000000000003</v>
      </c>
      <c r="AI44" s="593">
        <f t="shared" si="32"/>
        <v>3.4363333333333337</v>
      </c>
      <c r="AJ44" s="593">
        <f t="shared" si="33"/>
        <v>35.13966666666667</v>
      </c>
      <c r="AK44" s="653">
        <f t="shared" si="34"/>
        <v>4220.268695716667</v>
      </c>
      <c r="AL44" s="621">
        <v>2500</v>
      </c>
      <c r="AM44" s="595">
        <f t="shared" si="35"/>
        <v>0.53066666666666662</v>
      </c>
      <c r="AN44" s="593">
        <v>9.6440000000000001</v>
      </c>
      <c r="AO44" s="593">
        <v>4.5170000000000003</v>
      </c>
      <c r="AP44" s="593">
        <f t="shared" si="36"/>
        <v>4.5963333333333329</v>
      </c>
      <c r="AQ44" s="593">
        <f t="shared" si="37"/>
        <v>33.979666666666674</v>
      </c>
      <c r="AR44" s="698">
        <f t="shared" si="38"/>
        <v>1364.6391289291666</v>
      </c>
      <c r="AS44" s="621">
        <v>2500</v>
      </c>
      <c r="AT44" s="595">
        <f t="shared" si="39"/>
        <v>0.43</v>
      </c>
      <c r="AU44" s="593">
        <v>9.6440000000000001</v>
      </c>
      <c r="AV44" s="593">
        <v>4.5170000000000003</v>
      </c>
      <c r="AW44" s="593">
        <f t="shared" si="40"/>
        <v>4.6970000000000001</v>
      </c>
      <c r="AX44" s="593">
        <f t="shared" si="41"/>
        <v>33.879000000000005</v>
      </c>
      <c r="AY44" s="698">
        <f t="shared" si="42"/>
        <v>1390.3954304625001</v>
      </c>
      <c r="AZ44" s="75"/>
      <c r="BA44" s="621">
        <v>2500</v>
      </c>
      <c r="BB44" s="593">
        <v>103.50685607036536</v>
      </c>
      <c r="BC44" s="693">
        <v>1.0865946882160287</v>
      </c>
      <c r="BD44" s="667">
        <f>D44-BB48</f>
        <v>17.199999999999989</v>
      </c>
      <c r="BE44" s="667">
        <f>BB50-BB51</f>
        <v>112.47</v>
      </c>
      <c r="BF44" s="667">
        <f t="shared" si="43"/>
        <v>15.292967013425793</v>
      </c>
      <c r="BG44" s="689">
        <f t="shared" si="44"/>
        <v>16.617256723851412</v>
      </c>
      <c r="BH44" s="598">
        <v>2500</v>
      </c>
      <c r="BI44" s="593">
        <v>103.50685607036536</v>
      </c>
      <c r="BJ44" s="667">
        <v>0.91375589589643469</v>
      </c>
      <c r="BK44" s="667">
        <f>I44-BI48</f>
        <v>15.159999999999968</v>
      </c>
      <c r="BL44" s="667">
        <f>BI50-BI51</f>
        <v>94.580000000000013</v>
      </c>
      <c r="BM44" s="667">
        <f t="shared" si="45"/>
        <v>16.028758722774334</v>
      </c>
      <c r="BN44" s="668">
        <f t="shared" si="46"/>
        <v>14.646372786836455</v>
      </c>
      <c r="BO44" s="621">
        <v>2500</v>
      </c>
      <c r="BP44" s="681">
        <v>103.50685607036536</v>
      </c>
      <c r="BQ44" s="693">
        <v>1.3517945120937738</v>
      </c>
      <c r="BR44" s="693">
        <f t="shared" si="47"/>
        <v>10.579999999999984</v>
      </c>
      <c r="BS44" s="667">
        <f>BP50-BP51</f>
        <v>139.92000000000002</v>
      </c>
      <c r="BT44" s="693">
        <f t="shared" si="48"/>
        <v>7.561463693539153</v>
      </c>
      <c r="BU44" s="680">
        <f t="shared" si="49"/>
        <v>10.221545124322544</v>
      </c>
      <c r="BV44" s="598">
        <v>2500</v>
      </c>
      <c r="BW44" s="620">
        <v>103.50685607036536</v>
      </c>
      <c r="BX44" s="693">
        <v>1.396525848507397</v>
      </c>
      <c r="BY44" s="693">
        <f t="shared" si="50"/>
        <v>12.089999999999975</v>
      </c>
      <c r="BZ44" s="667">
        <f>BW50-BW51</f>
        <v>144.55000000000001</v>
      </c>
      <c r="CA44" s="693">
        <f t="shared" si="51"/>
        <v>8.3638879280525593</v>
      </c>
      <c r="CB44" s="668">
        <f t="shared" si="52"/>
        <v>11.680385685544374</v>
      </c>
      <c r="CC44" s="560"/>
      <c r="CD44" s="560"/>
    </row>
    <row r="45" spans="1:82" ht="15.75">
      <c r="A45" s="564"/>
      <c r="B45" s="585" t="s">
        <v>116</v>
      </c>
      <c r="C45" s="621">
        <v>7000</v>
      </c>
      <c r="D45" s="594">
        <v>414.92</v>
      </c>
      <c r="E45" s="595">
        <v>12.04</v>
      </c>
      <c r="F45" s="595">
        <v>11.95</v>
      </c>
      <c r="G45" s="596">
        <v>11.78</v>
      </c>
      <c r="H45" s="621">
        <v>7000</v>
      </c>
      <c r="I45" s="559">
        <v>399.24</v>
      </c>
      <c r="J45" s="617">
        <v>18.54</v>
      </c>
      <c r="K45" s="617">
        <v>18.309999999999999</v>
      </c>
      <c r="L45" s="617">
        <v>16.79</v>
      </c>
      <c r="M45" s="598">
        <v>7000</v>
      </c>
      <c r="N45" s="562">
        <v>434.97</v>
      </c>
      <c r="O45" s="617">
        <v>5.91</v>
      </c>
      <c r="P45" s="617">
        <v>6.61</v>
      </c>
      <c r="Q45" s="617">
        <v>6.29</v>
      </c>
      <c r="R45" s="598">
        <v>7000</v>
      </c>
      <c r="S45" s="562">
        <v>441.9</v>
      </c>
      <c r="T45" s="617">
        <v>4.62</v>
      </c>
      <c r="U45" s="617">
        <v>5.1100000000000003</v>
      </c>
      <c r="V45" s="619">
        <v>5.53</v>
      </c>
      <c r="W45" s="564"/>
      <c r="X45" s="598">
        <v>5000</v>
      </c>
      <c r="Y45" s="592">
        <f t="shared" si="27"/>
        <v>1.1923333333333332</v>
      </c>
      <c r="Z45" s="620">
        <v>9.6440000000000001</v>
      </c>
      <c r="AA45" s="593">
        <v>4.5170000000000003</v>
      </c>
      <c r="AB45" s="593">
        <f t="shared" si="28"/>
        <v>3.9346666666666668</v>
      </c>
      <c r="AC45" s="593">
        <f t="shared" si="29"/>
        <v>34.641333333333336</v>
      </c>
      <c r="AD45" s="653">
        <f t="shared" si="30"/>
        <v>4763.7583794666662</v>
      </c>
      <c r="AE45" s="704">
        <v>7000</v>
      </c>
      <c r="AF45" s="595">
        <f t="shared" si="31"/>
        <v>1.7879999999999998</v>
      </c>
      <c r="AG45" s="593">
        <v>9.6440000000000001</v>
      </c>
      <c r="AH45" s="593">
        <v>4.5170000000000003</v>
      </c>
      <c r="AI45" s="593">
        <f t="shared" si="32"/>
        <v>3.3390000000000004</v>
      </c>
      <c r="AJ45" s="593">
        <f t="shared" si="33"/>
        <v>35.237000000000002</v>
      </c>
      <c r="AK45" s="653">
        <f t="shared" si="34"/>
        <v>8059.694808186001</v>
      </c>
      <c r="AL45" s="621">
        <v>5000</v>
      </c>
      <c r="AM45" s="595">
        <f t="shared" si="35"/>
        <v>0.627</v>
      </c>
      <c r="AN45" s="593">
        <v>9.6440000000000001</v>
      </c>
      <c r="AO45" s="593">
        <v>4.5170000000000003</v>
      </c>
      <c r="AP45" s="593">
        <f t="shared" si="36"/>
        <v>4.5</v>
      </c>
      <c r="AQ45" s="593">
        <f t="shared" si="37"/>
        <v>34.076000000000008</v>
      </c>
      <c r="AR45" s="698">
        <f t="shared" si="38"/>
        <v>5359.3029000000006</v>
      </c>
      <c r="AS45" s="621">
        <v>5000</v>
      </c>
      <c r="AT45" s="595">
        <f t="shared" si="39"/>
        <v>0.50866666666666671</v>
      </c>
      <c r="AU45" s="593">
        <v>9.6440000000000001</v>
      </c>
      <c r="AV45" s="593">
        <v>4.5170000000000003</v>
      </c>
      <c r="AW45" s="593">
        <f t="shared" si="40"/>
        <v>4.6183333333333332</v>
      </c>
      <c r="AX45" s="593">
        <f t="shared" si="41"/>
        <v>33.957666666666675</v>
      </c>
      <c r="AY45" s="698">
        <f t="shared" si="42"/>
        <v>5481.1324449166677</v>
      </c>
      <c r="AZ45" s="75"/>
      <c r="BA45" s="621">
        <v>5000</v>
      </c>
      <c r="BB45" s="593">
        <v>103.50685607036536</v>
      </c>
      <c r="BC45" s="693">
        <v>1.0865946882160287</v>
      </c>
      <c r="BD45" s="667">
        <f>D45-BB48</f>
        <v>15.20999999999998</v>
      </c>
      <c r="BE45" s="667">
        <f>BB50-BB51</f>
        <v>112.47</v>
      </c>
      <c r="BF45" s="667">
        <f t="shared" si="43"/>
        <v>13.523606295011986</v>
      </c>
      <c r="BG45" s="689">
        <f t="shared" si="44"/>
        <v>14.694678765684872</v>
      </c>
      <c r="BH45" s="598">
        <v>5000</v>
      </c>
      <c r="BI45" s="593">
        <v>103.50685607036536</v>
      </c>
      <c r="BJ45" s="667">
        <v>0.91375589589643469</v>
      </c>
      <c r="BK45" s="667">
        <f>I45-BI48</f>
        <v>13.560000000000002</v>
      </c>
      <c r="BL45" s="667">
        <f>BI50-BI51</f>
        <v>94.580000000000013</v>
      </c>
      <c r="BM45" s="667">
        <f t="shared" si="45"/>
        <v>14.337069147811377</v>
      </c>
      <c r="BN45" s="668">
        <f t="shared" si="46"/>
        <v>13.100581463687519</v>
      </c>
      <c r="BO45" s="621">
        <v>5000</v>
      </c>
      <c r="BP45" s="681">
        <v>103.50685607036536</v>
      </c>
      <c r="BQ45" s="693">
        <v>1.3517945120937738</v>
      </c>
      <c r="BR45" s="693">
        <f t="shared" si="47"/>
        <v>9.0900000000000318</v>
      </c>
      <c r="BS45" s="667">
        <f>BP50-BP51</f>
        <v>139.92000000000002</v>
      </c>
      <c r="BT45" s="693">
        <f t="shared" si="48"/>
        <v>6.4965694682676034</v>
      </c>
      <c r="BU45" s="680">
        <f t="shared" si="49"/>
        <v>8.7820269546401128</v>
      </c>
      <c r="BV45" s="598">
        <v>5000</v>
      </c>
      <c r="BW45" s="620">
        <v>103.50685607036536</v>
      </c>
      <c r="BX45" s="693">
        <v>1.396525848507397</v>
      </c>
      <c r="BY45" s="693">
        <f t="shared" si="50"/>
        <v>10.419999999999959</v>
      </c>
      <c r="BZ45" s="667">
        <f>BW50-BW51</f>
        <v>144.55000000000001</v>
      </c>
      <c r="CA45" s="693">
        <f t="shared" si="51"/>
        <v>7.2085783465928452</v>
      </c>
      <c r="CB45" s="668">
        <f t="shared" si="52"/>
        <v>10.066965992007622</v>
      </c>
      <c r="CC45" s="560"/>
      <c r="CD45" s="560"/>
    </row>
    <row r="46" spans="1:82" ht="15.75">
      <c r="A46" s="564"/>
      <c r="B46" s="585" t="s">
        <v>116</v>
      </c>
      <c r="C46" s="621">
        <v>9000</v>
      </c>
      <c r="D46" s="594">
        <v>413.42</v>
      </c>
      <c r="E46" s="595">
        <v>13.69</v>
      </c>
      <c r="F46" s="595">
        <v>13.31</v>
      </c>
      <c r="G46" s="596">
        <v>13.17</v>
      </c>
      <c r="H46" s="621">
        <v>9000</v>
      </c>
      <c r="I46" s="559">
        <v>397.7</v>
      </c>
      <c r="J46" s="617">
        <v>19.489999999999998</v>
      </c>
      <c r="K46" s="617">
        <v>20.13</v>
      </c>
      <c r="L46" s="617">
        <v>18.899999999999999</v>
      </c>
      <c r="M46" s="598">
        <v>9000</v>
      </c>
      <c r="N46" s="562">
        <v>433.97</v>
      </c>
      <c r="O46" s="617">
        <v>6.93</v>
      </c>
      <c r="P46" s="617">
        <v>7.71</v>
      </c>
      <c r="Q46" s="617">
        <v>7.56</v>
      </c>
      <c r="R46" s="598">
        <v>9000</v>
      </c>
      <c r="S46" s="562">
        <v>440.69</v>
      </c>
      <c r="T46" s="617">
        <v>5.45</v>
      </c>
      <c r="U46" s="617">
        <v>6.64</v>
      </c>
      <c r="V46" s="619">
        <v>6.44</v>
      </c>
      <c r="W46" s="564"/>
      <c r="X46" s="598">
        <v>7000</v>
      </c>
      <c r="Y46" s="592">
        <f t="shared" si="27"/>
        <v>1.339</v>
      </c>
      <c r="Z46" s="620">
        <v>9.6440000000000001</v>
      </c>
      <c r="AA46" s="593">
        <v>4.5170000000000003</v>
      </c>
      <c r="AB46" s="593">
        <f t="shared" si="28"/>
        <v>3.7880000000000003</v>
      </c>
      <c r="AC46" s="593">
        <f t="shared" si="29"/>
        <v>34.788000000000004</v>
      </c>
      <c r="AD46" s="653">
        <f t="shared" si="30"/>
        <v>9026.9842178880008</v>
      </c>
      <c r="AE46" s="704">
        <v>9000</v>
      </c>
      <c r="AF46" s="595">
        <f t="shared" si="31"/>
        <v>1.9506666666666663</v>
      </c>
      <c r="AG46" s="593">
        <v>9.6440000000000001</v>
      </c>
      <c r="AH46" s="593">
        <v>4.5170000000000003</v>
      </c>
      <c r="AI46" s="593">
        <f t="shared" si="32"/>
        <v>3.1763333333333339</v>
      </c>
      <c r="AJ46" s="593">
        <f t="shared" si="33"/>
        <v>35.399666666666668</v>
      </c>
      <c r="AK46" s="653">
        <f t="shared" si="34"/>
        <v>12732.609949722002</v>
      </c>
      <c r="AL46" s="621">
        <v>7000</v>
      </c>
      <c r="AM46" s="595">
        <f t="shared" si="35"/>
        <v>0.74</v>
      </c>
      <c r="AN46" s="593">
        <v>9.6440000000000001</v>
      </c>
      <c r="AO46" s="593">
        <v>4.5170000000000003</v>
      </c>
      <c r="AP46" s="593">
        <f t="shared" si="36"/>
        <v>4.3869999999999996</v>
      </c>
      <c r="AQ46" s="593">
        <f t="shared" si="37"/>
        <v>34.189000000000007</v>
      </c>
      <c r="AR46" s="698">
        <f t="shared" si="38"/>
        <v>10274.419269786002</v>
      </c>
      <c r="AS46" s="621">
        <v>7000</v>
      </c>
      <c r="AT46" s="595">
        <f t="shared" si="39"/>
        <v>0.6176666666666667</v>
      </c>
      <c r="AU46" s="593">
        <v>9.6440000000000001</v>
      </c>
      <c r="AV46" s="593">
        <v>4.5170000000000003</v>
      </c>
      <c r="AW46" s="593">
        <f t="shared" si="40"/>
        <v>4.5093333333333332</v>
      </c>
      <c r="AX46" s="593">
        <f t="shared" si="41"/>
        <v>34.06666666666667</v>
      </c>
      <c r="AY46" s="698">
        <f t="shared" si="42"/>
        <v>10523.137191466667</v>
      </c>
      <c r="AZ46" s="75"/>
      <c r="BA46" s="621">
        <v>7000</v>
      </c>
      <c r="BB46" s="593">
        <v>103.50685607036536</v>
      </c>
      <c r="BC46" s="693">
        <v>1.0865946882160287</v>
      </c>
      <c r="BD46" s="667">
        <f>D46-BB48</f>
        <v>13.70999999999998</v>
      </c>
      <c r="BE46" s="667">
        <f>BB50-BB51</f>
        <v>112.47</v>
      </c>
      <c r="BF46" s="667">
        <f t="shared" si="43"/>
        <v>12.189917311282992</v>
      </c>
      <c r="BG46" s="689">
        <f t="shared" si="44"/>
        <v>13.245499400232713</v>
      </c>
      <c r="BH46" s="598">
        <v>7000</v>
      </c>
      <c r="BI46" s="593">
        <v>103.50685607036536</v>
      </c>
      <c r="BJ46" s="667">
        <v>0.91375589589643469</v>
      </c>
      <c r="BK46" s="667">
        <f>I46-BI48</f>
        <v>12.019999999999982</v>
      </c>
      <c r="BL46" s="667">
        <f>BI50-BI51</f>
        <v>94.580000000000013</v>
      </c>
      <c r="BM46" s="667">
        <f t="shared" si="45"/>
        <v>12.708817931909474</v>
      </c>
      <c r="BN46" s="668">
        <f t="shared" si="46"/>
        <v>11.612757315156616</v>
      </c>
      <c r="BO46" s="621">
        <v>7000</v>
      </c>
      <c r="BP46" s="681">
        <v>103.50685607036536</v>
      </c>
      <c r="BQ46" s="693">
        <v>1.3517945120937738</v>
      </c>
      <c r="BR46" s="693">
        <f t="shared" si="47"/>
        <v>8.0900000000000318</v>
      </c>
      <c r="BS46" s="667">
        <f>BP50-BP51</f>
        <v>139.92000000000002</v>
      </c>
      <c r="BT46" s="693">
        <f t="shared" si="48"/>
        <v>5.7818753573470776</v>
      </c>
      <c r="BU46" s="680">
        <f t="shared" si="49"/>
        <v>7.8159073776720067</v>
      </c>
      <c r="BV46" s="598">
        <v>7000</v>
      </c>
      <c r="BW46" s="620">
        <v>103.50685607036536</v>
      </c>
      <c r="BX46" s="693">
        <v>1.396525848507397</v>
      </c>
      <c r="BY46" s="693">
        <f t="shared" si="50"/>
        <v>9.2099999999999795</v>
      </c>
      <c r="BZ46" s="667">
        <f>BW50-BW51</f>
        <v>144.55000000000001</v>
      </c>
      <c r="CA46" s="693">
        <f t="shared" si="51"/>
        <v>6.3714977516430151</v>
      </c>
      <c r="CB46" s="668">
        <f t="shared" si="52"/>
        <v>8.8979613038762349</v>
      </c>
      <c r="CC46" s="560"/>
      <c r="CD46" s="560"/>
    </row>
    <row r="47" spans="1:82" ht="15.75">
      <c r="A47" s="564"/>
      <c r="B47" s="599" t="s">
        <v>116</v>
      </c>
      <c r="C47" s="622">
        <v>10000</v>
      </c>
      <c r="D47" s="601">
        <v>412.54</v>
      </c>
      <c r="E47" s="602">
        <v>15</v>
      </c>
      <c r="F47" s="602">
        <v>13.89</v>
      </c>
      <c r="G47" s="603">
        <v>13.64</v>
      </c>
      <c r="H47" s="621">
        <v>10000</v>
      </c>
      <c r="I47" s="559">
        <v>396.93</v>
      </c>
      <c r="J47" s="617">
        <v>19.88</v>
      </c>
      <c r="K47" s="617">
        <v>20.41</v>
      </c>
      <c r="L47" s="617">
        <v>18.649999999999999</v>
      </c>
      <c r="M47" s="607">
        <v>10000</v>
      </c>
      <c r="N47" s="605">
        <v>433.38</v>
      </c>
      <c r="O47" s="623">
        <v>7.53</v>
      </c>
      <c r="P47" s="623">
        <v>7.82</v>
      </c>
      <c r="Q47" s="623">
        <v>8.15</v>
      </c>
      <c r="R47" s="607">
        <v>10000</v>
      </c>
      <c r="S47" s="605">
        <v>440.03</v>
      </c>
      <c r="T47" s="623">
        <v>6</v>
      </c>
      <c r="U47" s="623">
        <v>6.47</v>
      </c>
      <c r="V47" s="624">
        <v>6.77</v>
      </c>
      <c r="W47" s="564"/>
      <c r="X47" s="598">
        <v>10000</v>
      </c>
      <c r="Y47" s="592">
        <f t="shared" si="27"/>
        <v>1.4176666666666669</v>
      </c>
      <c r="Z47" s="620">
        <v>9.6440000000000001</v>
      </c>
      <c r="AA47" s="593">
        <v>4.5170000000000003</v>
      </c>
      <c r="AB47" s="593">
        <f t="shared" si="28"/>
        <v>3.7093333333333334</v>
      </c>
      <c r="AC47" s="593">
        <f t="shared" si="29"/>
        <v>34.866666666666674</v>
      </c>
      <c r="AD47" s="653">
        <f t="shared" si="30"/>
        <v>18080.626026666669</v>
      </c>
      <c r="AE47" s="704">
        <v>10000</v>
      </c>
      <c r="AF47" s="595">
        <f t="shared" si="31"/>
        <v>1.9646666666666666</v>
      </c>
      <c r="AG47" s="593">
        <v>9.6440000000000001</v>
      </c>
      <c r="AH47" s="593">
        <v>4.5170000000000003</v>
      </c>
      <c r="AI47" s="593">
        <f t="shared" si="32"/>
        <v>3.1623333333333328</v>
      </c>
      <c r="AJ47" s="593">
        <f t="shared" si="33"/>
        <v>35.413666666666671</v>
      </c>
      <c r="AK47" s="653">
        <f t="shared" si="34"/>
        <v>15656.176634066665</v>
      </c>
      <c r="AL47" s="621">
        <v>10000</v>
      </c>
      <c r="AM47" s="595">
        <f t="shared" si="35"/>
        <v>0.78333333333333333</v>
      </c>
      <c r="AN47" s="593">
        <v>9.6440000000000001</v>
      </c>
      <c r="AO47" s="593">
        <v>4.5170000000000003</v>
      </c>
      <c r="AP47" s="593">
        <f t="shared" si="36"/>
        <v>4.3436666666666666</v>
      </c>
      <c r="AQ47" s="593">
        <f t="shared" si="37"/>
        <v>34.232333333333337</v>
      </c>
      <c r="AR47" s="698">
        <f t="shared" si="38"/>
        <v>20787.399562066665</v>
      </c>
      <c r="AS47" s="621">
        <v>10000</v>
      </c>
      <c r="AT47" s="595">
        <f t="shared" si="39"/>
        <v>0.64133333333333331</v>
      </c>
      <c r="AU47" s="593">
        <v>9.6440000000000001</v>
      </c>
      <c r="AV47" s="593">
        <v>4.5170000000000003</v>
      </c>
      <c r="AW47" s="593">
        <f t="shared" si="40"/>
        <v>4.4856666666666669</v>
      </c>
      <c r="AX47" s="593">
        <f t="shared" si="41"/>
        <v>34.090333333333341</v>
      </c>
      <c r="AY47" s="698">
        <f t="shared" si="42"/>
        <v>21377.91849006667</v>
      </c>
      <c r="AZ47" s="75"/>
      <c r="BA47" s="621">
        <v>10000</v>
      </c>
      <c r="BB47" s="593">
        <v>103.50685607036536</v>
      </c>
      <c r="BC47" s="693">
        <v>1.0865946882160287</v>
      </c>
      <c r="BD47" s="667">
        <f>D47-BB48</f>
        <v>12.829999999999984</v>
      </c>
      <c r="BE47" s="667">
        <f>BB50-BB51</f>
        <v>112.47</v>
      </c>
      <c r="BF47" s="667">
        <f t="shared" si="43"/>
        <v>11.407486440828652</v>
      </c>
      <c r="BG47" s="689">
        <f t="shared" si="44"/>
        <v>12.395314172500784</v>
      </c>
      <c r="BH47" s="598">
        <v>10000</v>
      </c>
      <c r="BI47" s="593">
        <v>103.50685607036536</v>
      </c>
      <c r="BJ47" s="667">
        <v>0.91375589589643469</v>
      </c>
      <c r="BK47" s="667">
        <f>I47-BI48</f>
        <v>11.25</v>
      </c>
      <c r="BL47" s="667">
        <f>BI50-BI51</f>
        <v>94.580000000000013</v>
      </c>
      <c r="BM47" s="667">
        <f t="shared" si="45"/>
        <v>11.894692323958552</v>
      </c>
      <c r="BN47" s="668">
        <f t="shared" si="46"/>
        <v>10.868845240891192</v>
      </c>
      <c r="BO47" s="621">
        <v>10000</v>
      </c>
      <c r="BP47" s="681">
        <v>103.50685607036536</v>
      </c>
      <c r="BQ47" s="693">
        <v>1.3517945120937738</v>
      </c>
      <c r="BR47" s="693">
        <f t="shared" si="47"/>
        <v>7.5</v>
      </c>
      <c r="BS47" s="667">
        <f>BP50-BP51</f>
        <v>139.92000000000002</v>
      </c>
      <c r="BT47" s="693">
        <f t="shared" si="48"/>
        <v>5.3602058319039445</v>
      </c>
      <c r="BU47" s="680">
        <f t="shared" si="49"/>
        <v>7.2458968272607933</v>
      </c>
      <c r="BV47" s="598">
        <v>10000</v>
      </c>
      <c r="BW47" s="620">
        <v>103.50685607036536</v>
      </c>
      <c r="BX47" s="693">
        <v>1.396525848507397</v>
      </c>
      <c r="BY47" s="693">
        <f t="shared" si="50"/>
        <v>8.5499999999999545</v>
      </c>
      <c r="BZ47" s="667">
        <f>BW50-BW51</f>
        <v>144.55000000000001</v>
      </c>
      <c r="CA47" s="693">
        <f t="shared" si="51"/>
        <v>5.9149083362158104</v>
      </c>
      <c r="CB47" s="668">
        <f t="shared" si="52"/>
        <v>8.260322383077261</v>
      </c>
      <c r="CC47" s="560"/>
      <c r="CD47" s="560"/>
    </row>
    <row r="48" spans="1:82" ht="45">
      <c r="A48" t="s">
        <v>142</v>
      </c>
      <c r="C48" s="455"/>
      <c r="D48" s="57"/>
      <c r="E48" s="57"/>
      <c r="F48" s="57"/>
      <c r="G48" s="58"/>
      <c r="H48" s="455"/>
      <c r="I48" s="315"/>
      <c r="J48" s="315"/>
      <c r="K48" s="315"/>
      <c r="L48" s="311"/>
      <c r="M48" s="455"/>
      <c r="N48" s="63"/>
      <c r="O48" s="63"/>
      <c r="P48" s="63"/>
      <c r="Q48" s="314"/>
      <c r="R48" s="455"/>
      <c r="S48" s="315"/>
      <c r="T48" s="315"/>
      <c r="U48" s="315"/>
      <c r="X48" s="560"/>
      <c r="Y48" s="560"/>
      <c r="Z48" s="560"/>
      <c r="AA48" s="560"/>
      <c r="AB48" s="560"/>
      <c r="AC48" s="560"/>
      <c r="AD48" s="560"/>
      <c r="AE48" s="559"/>
      <c r="AF48" s="559"/>
      <c r="AG48" s="559"/>
      <c r="AH48" s="559"/>
      <c r="AI48" s="559"/>
      <c r="AJ48" s="559"/>
      <c r="AK48" s="559"/>
      <c r="AL48" s="560"/>
      <c r="AM48" s="560"/>
      <c r="AN48" s="559"/>
      <c r="AO48" s="559"/>
      <c r="AP48" s="560"/>
      <c r="AQ48" s="560"/>
      <c r="AR48" s="560"/>
      <c r="AS48" s="560"/>
      <c r="AT48" s="560"/>
      <c r="AU48" s="560"/>
      <c r="AV48" s="560"/>
      <c r="AW48" s="560"/>
      <c r="AX48" s="560"/>
      <c r="AY48" s="560"/>
      <c r="AZ48" s="791" t="s">
        <v>144</v>
      </c>
      <c r="BA48" s="709" t="s">
        <v>1047</v>
      </c>
      <c r="BB48" s="559">
        <f>BB50+BB49</f>
        <v>399.71000000000004</v>
      </c>
      <c r="BC48" s="559"/>
      <c r="BD48" s="559"/>
      <c r="BE48" s="559"/>
      <c r="BF48" s="559"/>
      <c r="BG48" s="559"/>
      <c r="BH48" s="709" t="s">
        <v>1047</v>
      </c>
      <c r="BI48" s="559">
        <f>BI50+BI49</f>
        <v>385.68</v>
      </c>
      <c r="BJ48" s="686"/>
      <c r="BK48" s="687"/>
      <c r="BL48" s="687"/>
      <c r="BM48" s="687"/>
      <c r="BN48" s="688"/>
      <c r="BO48" s="709" t="s">
        <v>1047</v>
      </c>
      <c r="BP48" s="559">
        <f>BP49+BP50</f>
        <v>426.59000000000003</v>
      </c>
      <c r="BQ48" s="560"/>
      <c r="BR48" s="559"/>
      <c r="BS48" s="559"/>
      <c r="BT48" s="559"/>
      <c r="BU48" s="559"/>
      <c r="BV48" s="709" t="s">
        <v>1047</v>
      </c>
      <c r="BW48" s="569">
        <f>BW49+BW50</f>
        <v>431.48</v>
      </c>
      <c r="BX48" s="560"/>
      <c r="BY48" s="560"/>
      <c r="BZ48" s="560"/>
      <c r="CA48" s="560"/>
      <c r="CB48" s="560"/>
      <c r="CC48" s="560"/>
      <c r="CD48" s="560"/>
    </row>
    <row r="49" spans="1:82">
      <c r="X49" s="560"/>
      <c r="Y49" s="560"/>
      <c r="Z49" s="560"/>
      <c r="AA49" s="560"/>
      <c r="AB49" s="560"/>
      <c r="AC49" s="560"/>
      <c r="AD49" s="560"/>
      <c r="AE49" s="559"/>
      <c r="AF49" s="559"/>
      <c r="AG49" s="559"/>
      <c r="AH49" s="559"/>
      <c r="AI49" s="559"/>
      <c r="AJ49" s="559"/>
      <c r="AK49" s="559"/>
      <c r="AL49" s="560"/>
      <c r="AM49" s="560"/>
      <c r="AN49" s="559"/>
      <c r="AO49" s="559"/>
      <c r="AP49" s="560"/>
      <c r="AQ49" s="560"/>
      <c r="AR49" s="560"/>
      <c r="AS49" s="560"/>
      <c r="AT49" s="560"/>
      <c r="AU49" s="560"/>
      <c r="AV49" s="560"/>
      <c r="AW49" s="560"/>
      <c r="AX49" s="560"/>
      <c r="AY49" s="560"/>
      <c r="AZ49" s="791"/>
      <c r="BA49" s="655" t="s">
        <v>1048</v>
      </c>
      <c r="BB49" s="559">
        <v>215.12</v>
      </c>
      <c r="BC49" s="559"/>
      <c r="BD49" s="559"/>
      <c r="BE49" s="559"/>
      <c r="BF49" s="559"/>
      <c r="BG49" s="559"/>
      <c r="BH49" s="655" t="s">
        <v>1048</v>
      </c>
      <c r="BI49" s="559">
        <v>215.03</v>
      </c>
      <c r="BJ49" s="559"/>
      <c r="BK49" s="569"/>
      <c r="BL49" s="569"/>
      <c r="BM49" s="569"/>
      <c r="BN49" s="569"/>
      <c r="BO49" s="655" t="s">
        <v>1048</v>
      </c>
      <c r="BP49" s="559">
        <v>214.88</v>
      </c>
      <c r="BQ49" s="560"/>
      <c r="BR49" s="559"/>
      <c r="BS49" s="559"/>
      <c r="BT49" s="559"/>
      <c r="BU49" s="559"/>
      <c r="BV49" s="655" t="s">
        <v>1048</v>
      </c>
      <c r="BW49" s="569">
        <v>214.58</v>
      </c>
      <c r="BX49" s="560"/>
      <c r="BY49" s="560"/>
      <c r="BZ49" s="560"/>
      <c r="CA49" s="560"/>
      <c r="CB49" s="560"/>
      <c r="CC49" s="560"/>
      <c r="CD49" s="560"/>
    </row>
    <row r="50" spans="1:82">
      <c r="X50" s="560"/>
      <c r="Y50" s="560"/>
      <c r="Z50" s="560"/>
      <c r="AA50" s="560"/>
      <c r="AB50" s="560"/>
      <c r="AC50" s="560"/>
      <c r="AD50" s="560"/>
      <c r="AE50" s="559"/>
      <c r="AF50" s="559"/>
      <c r="AG50" s="559"/>
      <c r="AH50" s="559"/>
      <c r="AI50" s="559"/>
      <c r="AJ50" s="559"/>
      <c r="AK50" s="559"/>
      <c r="AL50" s="560"/>
      <c r="AM50" s="560"/>
      <c r="AN50" s="559"/>
      <c r="AO50" s="559"/>
      <c r="AP50" s="560"/>
      <c r="AQ50" s="560"/>
      <c r="AR50" s="560"/>
      <c r="AS50" s="560"/>
      <c r="AT50" s="560"/>
      <c r="AU50" s="560"/>
      <c r="AV50" s="560"/>
      <c r="AW50" s="560"/>
      <c r="AX50" s="560"/>
      <c r="AY50" s="560"/>
      <c r="AZ50" s="791"/>
      <c r="BA50" s="655" t="s">
        <v>1049</v>
      </c>
      <c r="BB50" s="638">
        <v>184.59</v>
      </c>
      <c r="BC50" s="559"/>
      <c r="BD50" s="559"/>
      <c r="BE50" s="559"/>
      <c r="BF50" s="559"/>
      <c r="BG50" s="559"/>
      <c r="BH50" s="655" t="s">
        <v>1049</v>
      </c>
      <c r="BI50" s="559">
        <v>170.65</v>
      </c>
      <c r="BJ50" s="559"/>
      <c r="BK50" s="569"/>
      <c r="BL50" s="569"/>
      <c r="BM50" s="569"/>
      <c r="BN50" s="569"/>
      <c r="BO50" s="655" t="s">
        <v>1049</v>
      </c>
      <c r="BP50" s="559">
        <v>211.71</v>
      </c>
      <c r="BQ50" s="560"/>
      <c r="BR50" s="559"/>
      <c r="BS50" s="559"/>
      <c r="BT50" s="620"/>
      <c r="BU50" s="620"/>
      <c r="BV50" s="655" t="s">
        <v>1049</v>
      </c>
      <c r="BW50" s="569">
        <v>216.9</v>
      </c>
      <c r="BX50" s="560"/>
      <c r="BY50" s="560"/>
      <c r="BZ50" s="560"/>
      <c r="CA50" s="560"/>
      <c r="CB50" s="560"/>
      <c r="CC50" s="560"/>
      <c r="CD50" s="560"/>
    </row>
    <row r="51" spans="1:82">
      <c r="X51" s="560"/>
      <c r="Y51" s="560"/>
      <c r="Z51" s="560"/>
      <c r="AA51" s="560"/>
      <c r="AB51" s="560"/>
      <c r="AC51" s="560"/>
      <c r="AD51" s="560"/>
      <c r="AE51" s="559"/>
      <c r="AF51" s="559"/>
      <c r="AG51" s="559"/>
      <c r="AH51" s="559"/>
      <c r="AI51" s="559"/>
      <c r="AJ51" s="559"/>
      <c r="AK51" s="559"/>
      <c r="AL51" s="560"/>
      <c r="AM51" s="560"/>
      <c r="AN51" s="559"/>
      <c r="AO51" s="559"/>
      <c r="AP51" s="560"/>
      <c r="AQ51" s="560"/>
      <c r="AR51" s="560"/>
      <c r="AS51" s="560"/>
      <c r="AT51" s="560"/>
      <c r="AU51" s="560"/>
      <c r="AV51" s="560"/>
      <c r="AW51" s="560"/>
      <c r="AX51" s="560"/>
      <c r="AY51" s="560"/>
      <c r="AZ51" s="791"/>
      <c r="BA51" s="655" t="s">
        <v>1050</v>
      </c>
      <c r="BB51" s="559">
        <v>72.12</v>
      </c>
      <c r="BC51" s="559"/>
      <c r="BD51" s="559"/>
      <c r="BE51" s="559"/>
      <c r="BF51" s="559"/>
      <c r="BG51" s="559"/>
      <c r="BH51" s="655" t="s">
        <v>1050</v>
      </c>
      <c r="BI51" s="559">
        <v>76.069999999999993</v>
      </c>
      <c r="BJ51" s="559"/>
      <c r="BK51" s="569"/>
      <c r="BL51" s="569"/>
      <c r="BM51" s="569"/>
      <c r="BN51" s="569"/>
      <c r="BO51" s="655" t="s">
        <v>1050</v>
      </c>
      <c r="BP51" s="559">
        <v>71.790000000000006</v>
      </c>
      <c r="BQ51" s="560"/>
      <c r="BR51" s="559"/>
      <c r="BS51" s="559"/>
      <c r="BT51" s="620"/>
      <c r="BU51" s="620"/>
      <c r="BV51" s="655" t="s">
        <v>1050</v>
      </c>
      <c r="BW51" s="569">
        <v>72.349999999999994</v>
      </c>
      <c r="BX51" s="560"/>
      <c r="BY51" s="560"/>
      <c r="BZ51" s="560"/>
      <c r="CA51" s="560"/>
      <c r="CB51" s="560"/>
      <c r="CC51" s="560"/>
    </row>
    <row r="52" spans="1:82">
      <c r="X52" s="560"/>
      <c r="Y52" s="560"/>
      <c r="Z52" s="560"/>
      <c r="AA52" s="560"/>
      <c r="AB52" s="560"/>
      <c r="AC52" s="560"/>
      <c r="AD52" s="560"/>
      <c r="AE52" s="559"/>
      <c r="AF52" s="559"/>
      <c r="AG52" s="559"/>
      <c r="AH52" s="559"/>
      <c r="AI52" s="559"/>
      <c r="AJ52" s="559"/>
      <c r="AK52" s="559"/>
      <c r="AL52" s="560"/>
      <c r="AM52" s="560"/>
      <c r="AN52" s="559"/>
      <c r="AO52" s="559"/>
      <c r="AP52" s="560"/>
      <c r="AQ52" s="560"/>
      <c r="AR52" s="560"/>
      <c r="AS52" s="560"/>
      <c r="AT52" s="560"/>
      <c r="AU52" s="560"/>
      <c r="AV52" s="560"/>
      <c r="AW52" s="560"/>
      <c r="AX52" s="560"/>
      <c r="AY52" s="560"/>
      <c r="BA52" s="560"/>
      <c r="BB52" s="560"/>
      <c r="BC52" s="559"/>
      <c r="BD52" s="560"/>
      <c r="BE52" s="560"/>
      <c r="BF52" s="560"/>
      <c r="BG52" s="560"/>
      <c r="BH52" s="560"/>
      <c r="BI52" s="560"/>
      <c r="BJ52" s="559"/>
      <c r="BK52" s="560"/>
      <c r="BL52" s="560"/>
      <c r="BM52" s="560"/>
      <c r="BN52" s="560"/>
      <c r="BO52" s="560"/>
      <c r="BP52" s="560"/>
      <c r="BQ52" s="560"/>
      <c r="BR52" s="560"/>
      <c r="BS52" s="560"/>
      <c r="BT52" s="560"/>
      <c r="BU52" s="560"/>
      <c r="BV52" s="560"/>
      <c r="BW52" s="560"/>
      <c r="BX52" s="560"/>
      <c r="BY52" s="560"/>
      <c r="BZ52" s="560"/>
      <c r="CA52" s="560"/>
      <c r="CB52" s="560"/>
      <c r="CC52" s="560"/>
    </row>
    <row r="53" spans="1:82">
      <c r="X53" s="560"/>
      <c r="Y53" s="560"/>
      <c r="Z53" s="560"/>
      <c r="AA53" s="560"/>
      <c r="AB53" s="560"/>
      <c r="AC53" s="560"/>
      <c r="AD53" s="560"/>
      <c r="AE53" s="559"/>
      <c r="AF53" s="559"/>
      <c r="AG53" s="559"/>
      <c r="AH53" s="559"/>
      <c r="AI53" s="559"/>
      <c r="AJ53" s="559"/>
      <c r="AK53" s="559"/>
      <c r="AL53" s="560"/>
      <c r="AM53" s="560"/>
      <c r="AN53" s="559"/>
      <c r="AO53" s="559"/>
      <c r="AP53" s="560"/>
      <c r="AQ53" s="560"/>
      <c r="AR53" s="560"/>
      <c r="AS53" s="560"/>
      <c r="AT53" s="560"/>
      <c r="AU53" s="560"/>
      <c r="AV53" s="560"/>
      <c r="AW53" s="560"/>
      <c r="AX53" s="560"/>
      <c r="AY53" s="560"/>
      <c r="BA53" s="560"/>
      <c r="BB53" s="560"/>
      <c r="BC53" s="559"/>
      <c r="BD53" s="560"/>
      <c r="BE53" s="560"/>
      <c r="BF53" s="560"/>
      <c r="BG53" s="560"/>
      <c r="BH53" s="560"/>
      <c r="BI53" s="560"/>
      <c r="BJ53" s="559"/>
      <c r="BK53" s="560"/>
      <c r="BL53" s="560"/>
      <c r="BM53" s="560"/>
      <c r="BN53" s="560"/>
      <c r="BO53" s="560"/>
      <c r="BP53" s="560"/>
      <c r="BQ53" s="560"/>
      <c r="BR53" s="560"/>
      <c r="BS53" s="560"/>
      <c r="BT53" s="560"/>
      <c r="BU53" s="560"/>
      <c r="BV53" s="560"/>
      <c r="BW53" s="560"/>
      <c r="BX53" s="560"/>
      <c r="BY53" s="560"/>
      <c r="BZ53" s="560"/>
      <c r="CA53" s="560"/>
      <c r="CB53" s="560"/>
      <c r="CC53" s="560"/>
    </row>
    <row r="54" spans="1:82" ht="18.75">
      <c r="A54" s="70" t="s">
        <v>150</v>
      </c>
      <c r="B54" s="71"/>
      <c r="X54" s="560"/>
      <c r="Y54" s="560"/>
      <c r="Z54" s="560"/>
      <c r="AA54" s="560"/>
      <c r="AB54" s="560"/>
      <c r="AC54" s="560"/>
      <c r="AD54" s="560"/>
      <c r="AE54" s="559"/>
      <c r="AF54" s="559"/>
      <c r="AG54" s="559"/>
      <c r="AH54" s="559"/>
      <c r="AI54" s="559"/>
      <c r="AJ54" s="559"/>
      <c r="AK54" s="559"/>
      <c r="AL54" s="560"/>
      <c r="AM54" s="560"/>
      <c r="AN54" s="559"/>
      <c r="AO54" s="559"/>
      <c r="AP54" s="560"/>
      <c r="AQ54" s="560"/>
      <c r="AR54" s="560"/>
      <c r="AS54" s="560"/>
      <c r="AT54" s="560"/>
      <c r="AU54" s="560"/>
      <c r="AV54" s="560"/>
      <c r="AW54" s="560"/>
      <c r="AX54" s="560"/>
      <c r="AY54" s="560"/>
      <c r="BA54" s="560"/>
      <c r="BB54" s="560"/>
      <c r="BC54" s="559"/>
      <c r="BD54" s="560"/>
      <c r="BE54" s="560"/>
      <c r="BF54" s="560"/>
      <c r="BG54" s="560"/>
      <c r="BH54" s="560"/>
      <c r="BI54" s="560"/>
      <c r="BJ54" s="559"/>
      <c r="BK54" s="560"/>
      <c r="BL54" s="560"/>
      <c r="BM54" s="560"/>
      <c r="BN54" s="560"/>
      <c r="BO54" s="560"/>
      <c r="BP54" s="560"/>
      <c r="BQ54" s="560"/>
      <c r="BR54" s="560"/>
      <c r="BS54" s="560"/>
      <c r="BT54" s="560"/>
      <c r="BU54" s="560"/>
      <c r="BV54" s="560"/>
      <c r="BW54" s="560"/>
      <c r="BX54" s="560"/>
      <c r="BY54" s="560"/>
      <c r="BZ54" s="560"/>
      <c r="CA54" s="560"/>
      <c r="CB54" s="560"/>
      <c r="CC54" s="560"/>
    </row>
    <row r="55" spans="1:82" s="90" customFormat="1" ht="18.75">
      <c r="A55" s="804" t="s">
        <v>151</v>
      </c>
      <c r="B55" s="804"/>
      <c r="C55" s="804"/>
      <c r="D55" s="804"/>
      <c r="O55" s="89"/>
      <c r="P55" s="89"/>
      <c r="Q55" s="89"/>
      <c r="X55" s="613"/>
      <c r="Y55" s="613"/>
      <c r="Z55" s="613"/>
      <c r="AA55" s="613"/>
      <c r="AB55" s="613"/>
      <c r="AC55" s="613"/>
      <c r="AD55" s="613"/>
      <c r="AE55" s="614"/>
      <c r="AF55" s="614"/>
      <c r="AG55" s="614"/>
      <c r="AH55" s="614"/>
      <c r="AI55" s="614"/>
      <c r="AJ55" s="614"/>
      <c r="AK55" s="614"/>
      <c r="AL55" s="613"/>
      <c r="AM55" s="613"/>
      <c r="AN55" s="614"/>
      <c r="AO55" s="614"/>
      <c r="AP55" s="613"/>
      <c r="AQ55" s="613"/>
      <c r="AR55" s="613"/>
      <c r="AS55" s="613"/>
      <c r="AT55" s="613"/>
      <c r="AU55" s="613"/>
      <c r="AV55" s="613"/>
      <c r="AW55" s="613"/>
      <c r="AX55" s="613"/>
      <c r="AY55" s="613"/>
      <c r="AZ55" s="89"/>
      <c r="BA55" s="613"/>
      <c r="BB55" s="613"/>
      <c r="BC55" s="614"/>
      <c r="BD55" s="613"/>
      <c r="BE55" s="613"/>
      <c r="BF55" s="613"/>
      <c r="BG55" s="613"/>
      <c r="BH55" s="613"/>
      <c r="BI55" s="613"/>
      <c r="BJ55" s="614"/>
      <c r="BK55" s="613"/>
      <c r="BL55" s="613"/>
      <c r="BM55" s="613"/>
      <c r="BN55" s="613"/>
      <c r="BO55" s="613"/>
      <c r="BP55" s="613"/>
      <c r="BQ55" s="613"/>
      <c r="BR55" s="613"/>
      <c r="BS55" s="613"/>
      <c r="BT55" s="613"/>
      <c r="BU55" s="613"/>
      <c r="BV55" s="613"/>
      <c r="BW55" s="613"/>
      <c r="BX55" s="613"/>
      <c r="BY55" s="613"/>
      <c r="BZ55" s="613"/>
      <c r="CA55" s="613"/>
      <c r="CB55" s="613"/>
      <c r="CC55" s="613"/>
    </row>
    <row r="56" spans="1:82">
      <c r="X56" s="560"/>
      <c r="Y56" s="560"/>
      <c r="Z56" s="560"/>
      <c r="AA56" s="560"/>
      <c r="AB56" s="560"/>
      <c r="AC56" s="560"/>
      <c r="AD56" s="560"/>
      <c r="AE56" s="559"/>
      <c r="AF56" s="559"/>
      <c r="AG56" s="559"/>
      <c r="AH56" s="559"/>
      <c r="AI56" s="559"/>
      <c r="AJ56" s="559"/>
      <c r="AK56" s="559"/>
      <c r="AL56" s="560"/>
      <c r="AM56" s="560"/>
      <c r="AN56" s="559"/>
      <c r="AO56" s="559"/>
      <c r="AP56" s="560"/>
      <c r="AQ56" s="560"/>
      <c r="AR56" s="560"/>
      <c r="AS56" s="560"/>
      <c r="AT56" s="560"/>
      <c r="AU56" s="560"/>
      <c r="AV56" s="560"/>
      <c r="AW56" s="560"/>
      <c r="AX56" s="560"/>
      <c r="AY56" s="560"/>
      <c r="BA56" s="560"/>
      <c r="BB56" s="560"/>
      <c r="BC56" s="559"/>
      <c r="BD56" s="560"/>
      <c r="BE56" s="560"/>
      <c r="BF56" s="560"/>
      <c r="BG56" s="560"/>
      <c r="BH56" s="560"/>
      <c r="BI56" s="560"/>
      <c r="BJ56" s="559"/>
      <c r="BK56" s="560"/>
      <c r="BL56" s="560"/>
      <c r="BM56" s="560"/>
      <c r="BN56" s="560"/>
      <c r="BO56" s="560"/>
      <c r="BP56" s="560"/>
      <c r="BQ56" s="560"/>
      <c r="BR56" s="560"/>
      <c r="BS56" s="560"/>
      <c r="BT56" s="560"/>
      <c r="BU56" s="560"/>
      <c r="BV56" s="560"/>
      <c r="BW56" s="560"/>
      <c r="BX56" s="560"/>
      <c r="BY56" s="560"/>
      <c r="BZ56" s="560"/>
      <c r="CA56" s="560"/>
      <c r="CB56" s="560"/>
      <c r="CC56" s="560"/>
    </row>
    <row r="57" spans="1:82">
      <c r="A57" s="447" t="s">
        <v>134</v>
      </c>
      <c r="B57" s="76" t="s">
        <v>124</v>
      </c>
      <c r="C57" s="61" t="s">
        <v>119</v>
      </c>
      <c r="D57" s="77" t="s">
        <v>111</v>
      </c>
      <c r="E57" s="73"/>
      <c r="F57" s="73"/>
      <c r="G57" s="78"/>
      <c r="H57" s="76" t="s">
        <v>124</v>
      </c>
      <c r="I57" s="77" t="s">
        <v>119</v>
      </c>
      <c r="J57" s="77" t="s">
        <v>111</v>
      </c>
      <c r="K57" s="73"/>
      <c r="L57" s="73"/>
      <c r="M57" s="79" t="s">
        <v>124</v>
      </c>
      <c r="N57" s="77" t="s">
        <v>119</v>
      </c>
      <c r="O57" s="61" t="s">
        <v>111</v>
      </c>
      <c r="P57" s="63"/>
      <c r="Q57" s="63"/>
      <c r="R57" s="79" t="s">
        <v>124</v>
      </c>
      <c r="S57" s="77" t="s">
        <v>119</v>
      </c>
      <c r="T57" s="77" t="s">
        <v>111</v>
      </c>
      <c r="U57" s="73"/>
      <c r="V57" s="73"/>
      <c r="W57" s="447" t="s">
        <v>133</v>
      </c>
      <c r="X57" s="571" t="s">
        <v>124</v>
      </c>
      <c r="Y57" s="568" t="s">
        <v>119</v>
      </c>
      <c r="Z57" s="568" t="s">
        <v>111</v>
      </c>
      <c r="AA57" s="569"/>
      <c r="AB57" s="569"/>
      <c r="AC57" s="665"/>
      <c r="AD57" s="570"/>
      <c r="AE57" s="566" t="s">
        <v>124</v>
      </c>
      <c r="AF57" s="568" t="s">
        <v>119</v>
      </c>
      <c r="AG57" s="568" t="s">
        <v>111</v>
      </c>
      <c r="AH57" s="665"/>
      <c r="AI57" s="665"/>
      <c r="AJ57" s="665"/>
      <c r="AK57" s="570"/>
      <c r="AL57" s="571" t="s">
        <v>124</v>
      </c>
      <c r="AM57" s="568" t="s">
        <v>119</v>
      </c>
      <c r="AN57" s="568" t="s">
        <v>111</v>
      </c>
      <c r="AO57" s="665"/>
      <c r="AP57" s="569"/>
      <c r="AQ57" s="569"/>
      <c r="AR57" s="700"/>
      <c r="AS57" s="571" t="s">
        <v>124</v>
      </c>
      <c r="AT57" s="568" t="s">
        <v>119</v>
      </c>
      <c r="AU57" s="568" t="s">
        <v>111</v>
      </c>
      <c r="AV57" s="569"/>
      <c r="AW57" s="569"/>
      <c r="AX57" s="569"/>
      <c r="AY57" s="700"/>
      <c r="AZ57" s="447" t="s">
        <v>141</v>
      </c>
      <c r="BA57" s="566" t="s">
        <v>124</v>
      </c>
      <c r="BB57" s="568" t="s">
        <v>119</v>
      </c>
      <c r="BC57" s="568" t="s">
        <v>111</v>
      </c>
      <c r="BD57" s="569"/>
      <c r="BE57" s="569"/>
      <c r="BF57" s="569"/>
      <c r="BG57" s="665"/>
      <c r="BH57" s="566" t="s">
        <v>124</v>
      </c>
      <c r="BI57" s="567" t="s">
        <v>119</v>
      </c>
      <c r="BJ57" s="567" t="s">
        <v>111</v>
      </c>
      <c r="BK57" s="665"/>
      <c r="BL57" s="665"/>
      <c r="BM57" s="665"/>
      <c r="BN57" s="665"/>
      <c r="BO57" s="571" t="s">
        <v>124</v>
      </c>
      <c r="BP57" s="568" t="s">
        <v>119</v>
      </c>
      <c r="BQ57" s="568" t="s">
        <v>111</v>
      </c>
      <c r="BR57" s="560"/>
      <c r="BS57" s="665"/>
      <c r="BT57" s="569"/>
      <c r="BU57" s="569"/>
      <c r="BV57" s="672" t="s">
        <v>124</v>
      </c>
      <c r="BW57" s="567" t="s">
        <v>119</v>
      </c>
      <c r="BX57" s="567" t="s">
        <v>111</v>
      </c>
      <c r="BY57" s="559"/>
      <c r="BZ57" s="559"/>
      <c r="CA57" s="559"/>
      <c r="CB57" s="570"/>
      <c r="CC57" s="560"/>
    </row>
    <row r="58" spans="1:82">
      <c r="A58" s="80"/>
      <c r="B58" s="81" t="s">
        <v>63</v>
      </c>
      <c r="C58" s="86" t="s">
        <v>9</v>
      </c>
      <c r="D58" s="82" t="s">
        <v>112</v>
      </c>
      <c r="E58" s="73"/>
      <c r="F58" s="73"/>
      <c r="G58" s="78"/>
      <c r="H58" s="76" t="s">
        <v>63</v>
      </c>
      <c r="I58" s="86" t="s">
        <v>9</v>
      </c>
      <c r="J58" s="83" t="s">
        <v>114</v>
      </c>
      <c r="K58" s="73"/>
      <c r="L58" s="73"/>
      <c r="M58" s="79" t="s">
        <v>63</v>
      </c>
      <c r="N58" s="83" t="s">
        <v>152</v>
      </c>
      <c r="O58" s="64" t="s">
        <v>4</v>
      </c>
      <c r="P58" s="63"/>
      <c r="Q58" s="63"/>
      <c r="R58" s="79" t="s">
        <v>63</v>
      </c>
      <c r="S58" s="83" t="s">
        <v>152</v>
      </c>
      <c r="T58" s="83" t="s">
        <v>114</v>
      </c>
      <c r="U58" s="805"/>
      <c r="V58" s="805"/>
      <c r="W58" s="80"/>
      <c r="X58" s="578" t="s">
        <v>63</v>
      </c>
      <c r="Y58" s="572" t="s">
        <v>9</v>
      </c>
      <c r="Z58" s="574" t="s">
        <v>112</v>
      </c>
      <c r="AA58" s="569"/>
      <c r="AB58" s="569"/>
      <c r="AC58" s="665"/>
      <c r="AD58" s="570"/>
      <c r="AE58" s="566" t="s">
        <v>63</v>
      </c>
      <c r="AF58" s="572" t="s">
        <v>9</v>
      </c>
      <c r="AG58" s="575" t="s">
        <v>114</v>
      </c>
      <c r="AH58" s="665"/>
      <c r="AI58" s="677"/>
      <c r="AJ58" s="665"/>
      <c r="AK58" s="570"/>
      <c r="AL58" s="571" t="s">
        <v>63</v>
      </c>
      <c r="AM58" s="572" t="s">
        <v>152</v>
      </c>
      <c r="AN58" s="575" t="s">
        <v>112</v>
      </c>
      <c r="AO58" s="665"/>
      <c r="AP58" s="677"/>
      <c r="AQ58" s="569"/>
      <c r="AR58" s="700"/>
      <c r="AS58" s="571" t="s">
        <v>63</v>
      </c>
      <c r="AT58" s="575" t="s">
        <v>114</v>
      </c>
      <c r="AU58" s="560"/>
      <c r="AV58" s="802"/>
      <c r="AW58" s="802"/>
      <c r="AX58" s="569"/>
      <c r="AY58" s="700"/>
      <c r="AZ58" s="80"/>
      <c r="BA58" s="566" t="s">
        <v>63</v>
      </c>
      <c r="BB58" s="566" t="s">
        <v>9</v>
      </c>
      <c r="BC58" s="575" t="s">
        <v>112</v>
      </c>
      <c r="BD58" s="665"/>
      <c r="BE58" s="569"/>
      <c r="BF58" s="673"/>
      <c r="BG58" s="676"/>
      <c r="BH58" s="566" t="s">
        <v>63</v>
      </c>
      <c r="BI58" s="566" t="s">
        <v>9</v>
      </c>
      <c r="BJ58" s="615" t="s">
        <v>114</v>
      </c>
      <c r="BK58" s="665" t="s">
        <v>143</v>
      </c>
      <c r="BL58" s="665"/>
      <c r="BM58" s="665"/>
      <c r="BN58" s="665"/>
      <c r="BO58" s="571" t="s">
        <v>63</v>
      </c>
      <c r="BP58" s="575" t="s">
        <v>152</v>
      </c>
      <c r="BQ58" s="615" t="s">
        <v>4</v>
      </c>
      <c r="BR58" s="560"/>
      <c r="BS58" s="665"/>
      <c r="BT58" s="677"/>
      <c r="BU58" s="569"/>
      <c r="BV58" s="672" t="s">
        <v>63</v>
      </c>
      <c r="BW58" s="575" t="s">
        <v>152</v>
      </c>
      <c r="BX58" s="615" t="s">
        <v>114</v>
      </c>
      <c r="BY58" s="806"/>
      <c r="BZ58" s="806"/>
      <c r="CA58" s="559"/>
      <c r="CB58" s="570"/>
      <c r="CC58" s="560"/>
    </row>
    <row r="59" spans="1:82" ht="63">
      <c r="A59" s="5"/>
      <c r="B59" s="579" t="s">
        <v>122</v>
      </c>
      <c r="C59" s="582" t="s">
        <v>121</v>
      </c>
      <c r="D59" s="581" t="s">
        <v>125</v>
      </c>
      <c r="E59" s="796" t="s">
        <v>1013</v>
      </c>
      <c r="F59" s="796"/>
      <c r="G59" s="797"/>
      <c r="H59" s="451" t="s">
        <v>121</v>
      </c>
      <c r="I59" s="450" t="s">
        <v>125</v>
      </c>
      <c r="J59" s="796" t="s">
        <v>1013</v>
      </c>
      <c r="K59" s="796"/>
      <c r="L59" s="797"/>
      <c r="M59" s="451" t="s">
        <v>121</v>
      </c>
      <c r="N59" s="450" t="s">
        <v>125</v>
      </c>
      <c r="O59" s="807" t="s">
        <v>149</v>
      </c>
      <c r="P59" s="807"/>
      <c r="Q59" s="808"/>
      <c r="R59" s="451" t="s">
        <v>121</v>
      </c>
      <c r="S59" s="450" t="s">
        <v>125</v>
      </c>
      <c r="T59" s="807" t="s">
        <v>149</v>
      </c>
      <c r="U59" s="807"/>
      <c r="V59" s="808"/>
      <c r="W59" s="5"/>
      <c r="X59" s="582" t="s">
        <v>121</v>
      </c>
      <c r="Y59" s="584" t="s">
        <v>126</v>
      </c>
      <c r="Z59" s="583" t="s">
        <v>127</v>
      </c>
      <c r="AA59" s="583" t="s">
        <v>128</v>
      </c>
      <c r="AB59" s="694" t="s">
        <v>129</v>
      </c>
      <c r="AC59" s="583" t="s">
        <v>130</v>
      </c>
      <c r="AD59" s="701" t="s">
        <v>131</v>
      </c>
      <c r="AE59" s="582" t="s">
        <v>121</v>
      </c>
      <c r="AF59" s="694" t="s">
        <v>126</v>
      </c>
      <c r="AG59" s="583" t="s">
        <v>127</v>
      </c>
      <c r="AH59" s="583" t="s">
        <v>128</v>
      </c>
      <c r="AI59" s="694" t="s">
        <v>129</v>
      </c>
      <c r="AJ59" s="583" t="s">
        <v>130</v>
      </c>
      <c r="AK59" s="701" t="s">
        <v>131</v>
      </c>
      <c r="AL59" s="582" t="s">
        <v>121</v>
      </c>
      <c r="AM59" s="694" t="s">
        <v>126</v>
      </c>
      <c r="AN59" s="583" t="s">
        <v>127</v>
      </c>
      <c r="AO59" s="583" t="s">
        <v>128</v>
      </c>
      <c r="AP59" s="694" t="s">
        <v>129</v>
      </c>
      <c r="AQ59" s="583" t="s">
        <v>130</v>
      </c>
      <c r="AR59" s="696" t="s">
        <v>131</v>
      </c>
      <c r="AS59" s="582" t="s">
        <v>121</v>
      </c>
      <c r="AT59" s="694" t="s">
        <v>126</v>
      </c>
      <c r="AU59" s="695" t="s">
        <v>127</v>
      </c>
      <c r="AV59" s="695" t="s">
        <v>128</v>
      </c>
      <c r="AW59" s="694" t="s">
        <v>129</v>
      </c>
      <c r="AX59" s="583" t="s">
        <v>130</v>
      </c>
      <c r="AY59" s="696" t="s">
        <v>131</v>
      </c>
      <c r="AZ59" s="75"/>
      <c r="BA59" s="648" t="s">
        <v>121</v>
      </c>
      <c r="BB59" s="583" t="s">
        <v>143</v>
      </c>
      <c r="BC59" s="583" t="s">
        <v>888</v>
      </c>
      <c r="BD59" s="583" t="s">
        <v>1045</v>
      </c>
      <c r="BE59" s="583" t="s">
        <v>1044</v>
      </c>
      <c r="BF59" s="666" t="s">
        <v>1051</v>
      </c>
      <c r="BG59" s="666" t="s">
        <v>1052</v>
      </c>
      <c r="BH59" s="648" t="s">
        <v>121</v>
      </c>
      <c r="BI59" s="583" t="s">
        <v>143</v>
      </c>
      <c r="BJ59" s="583" t="s">
        <v>888</v>
      </c>
      <c r="BK59" s="583" t="s">
        <v>1045</v>
      </c>
      <c r="BL59" s="583" t="s">
        <v>1044</v>
      </c>
      <c r="BM59" s="666" t="s">
        <v>1051</v>
      </c>
      <c r="BN59" s="666" t="s">
        <v>1052</v>
      </c>
      <c r="BO59" s="648" t="s">
        <v>121</v>
      </c>
      <c r="BP59" s="583" t="s">
        <v>143</v>
      </c>
      <c r="BQ59" s="583" t="s">
        <v>888</v>
      </c>
      <c r="BR59" s="583" t="s">
        <v>1045</v>
      </c>
      <c r="BS59" s="583" t="s">
        <v>1044</v>
      </c>
      <c r="BT59" s="666" t="s">
        <v>1051</v>
      </c>
      <c r="BU59" s="666" t="s">
        <v>1052</v>
      </c>
      <c r="BV59" s="648" t="s">
        <v>121</v>
      </c>
      <c r="BW59" s="583" t="s">
        <v>143</v>
      </c>
      <c r="BX59" s="583" t="s">
        <v>888</v>
      </c>
      <c r="BY59" s="583" t="s">
        <v>1045</v>
      </c>
      <c r="BZ59" s="583" t="s">
        <v>1044</v>
      </c>
      <c r="CA59" s="666" t="s">
        <v>1051</v>
      </c>
      <c r="CB59" s="666" t="s">
        <v>1052</v>
      </c>
      <c r="CC59" s="560"/>
    </row>
    <row r="60" spans="1:82" ht="15.75">
      <c r="A60" s="5"/>
      <c r="B60" s="452" t="s">
        <v>120</v>
      </c>
      <c r="C60" s="454">
        <v>0</v>
      </c>
      <c r="D60" s="314">
        <v>431.95</v>
      </c>
      <c r="E60" s="63">
        <v>0</v>
      </c>
      <c r="F60" s="63">
        <v>0</v>
      </c>
      <c r="G60" s="55">
        <v>0</v>
      </c>
      <c r="H60" s="453">
        <v>0</v>
      </c>
      <c r="I60" s="314">
        <v>462.91</v>
      </c>
      <c r="J60" s="454">
        <v>0</v>
      </c>
      <c r="K60" s="314">
        <v>0</v>
      </c>
      <c r="L60" s="456">
        <v>0</v>
      </c>
      <c r="M60" s="453">
        <v>0</v>
      </c>
      <c r="N60" s="63">
        <v>435.82</v>
      </c>
      <c r="O60" s="457">
        <v>0</v>
      </c>
      <c r="P60" s="457">
        <v>0</v>
      </c>
      <c r="Q60" s="460">
        <v>0</v>
      </c>
      <c r="R60" s="453">
        <v>0</v>
      </c>
      <c r="S60" s="63">
        <v>461.03</v>
      </c>
      <c r="T60" s="457">
        <v>0</v>
      </c>
      <c r="U60" s="457">
        <v>0</v>
      </c>
      <c r="V60" s="460">
        <v>0</v>
      </c>
      <c r="W60" s="5"/>
      <c r="X60" s="591">
        <v>0</v>
      </c>
      <c r="Y60" s="592">
        <f t="shared" ref="Y60:Y75" si="53">AVERAGE(E60:G60)/10</f>
        <v>0</v>
      </c>
      <c r="Z60" s="593">
        <v>9.6440000000000001</v>
      </c>
      <c r="AA60" s="593">
        <v>4.5170000000000003</v>
      </c>
      <c r="AB60" s="593">
        <f t="shared" ref="AB60:AB75" si="54">Z60-(AA60+Y60)</f>
        <v>5.1269999999999998</v>
      </c>
      <c r="AC60" s="593">
        <f t="shared" ref="AC60:AC75" si="55">3*Z60+AA60+Y60</f>
        <v>33.449000000000005</v>
      </c>
      <c r="AD60" s="653">
        <f t="shared" ref="AD60:AD75" si="56">1.398*(10^-6)*(X60^2)*AB60*AC60</f>
        <v>0</v>
      </c>
      <c r="AE60" s="591">
        <v>0</v>
      </c>
      <c r="AF60" s="595">
        <f t="shared" ref="AF60:AF75" si="57">AVERAGE(J60:L60)/10</f>
        <v>0</v>
      </c>
      <c r="AG60" s="593">
        <v>9.6440000000000001</v>
      </c>
      <c r="AH60" s="593">
        <v>4.5170000000000003</v>
      </c>
      <c r="AI60" s="593">
        <f t="shared" ref="AI60:AI75" si="58">AG60-(AH60+AF60)</f>
        <v>5.1269999999999998</v>
      </c>
      <c r="AJ60" s="593">
        <f t="shared" ref="AJ60:AJ75" si="59">3*AG60+AH60+AF60</f>
        <v>33.449000000000005</v>
      </c>
      <c r="AK60" s="653">
        <f t="shared" ref="AK60:AK75" si="60">1.398*(10^-6)*(AE60^2)*AI60*AJ60</f>
        <v>0</v>
      </c>
      <c r="AL60" s="591">
        <v>0</v>
      </c>
      <c r="AM60" s="595">
        <f t="shared" ref="AM60:AM75" si="61">AVERAGE(O60:Q60)/10</f>
        <v>0</v>
      </c>
      <c r="AN60" s="593">
        <v>9.6440000000000001</v>
      </c>
      <c r="AO60" s="593">
        <v>4.5170000000000003</v>
      </c>
      <c r="AP60" s="593">
        <f t="shared" ref="AP60:AP75" si="62">AN60-(AO60+AM60)</f>
        <v>5.1269999999999998</v>
      </c>
      <c r="AQ60" s="593">
        <f t="shared" ref="AQ60:AQ75" si="63">3*AN60+AO60+AM60</f>
        <v>33.449000000000005</v>
      </c>
      <c r="AR60" s="698">
        <f t="shared" ref="AR60:AR75" si="64">1.398*(10^-6)*(AL60^2)*AP60*AQ60</f>
        <v>0</v>
      </c>
      <c r="AS60" s="591">
        <v>0</v>
      </c>
      <c r="AT60" s="595">
        <f t="shared" ref="AT60:AT75" si="65">AVERAGE(T60:V60)/10</f>
        <v>0</v>
      </c>
      <c r="AU60" s="593">
        <v>9.6440000000000001</v>
      </c>
      <c r="AV60" s="593">
        <v>4.5170000000000003</v>
      </c>
      <c r="AW60" s="593">
        <f t="shared" ref="AW60:AW75" si="66">AU60-(AV60+AT60)</f>
        <v>5.1269999999999998</v>
      </c>
      <c r="AX60" s="593">
        <f t="shared" ref="AX60:AX75" si="67">3*AU60+AV60+AT60</f>
        <v>33.449000000000005</v>
      </c>
      <c r="AY60" s="698">
        <f t="shared" ref="AY60:AY75" si="68">1.398*(10^-6)*(AS60^2)*AW60*AX60</f>
        <v>0</v>
      </c>
      <c r="AZ60" s="75"/>
      <c r="BA60" s="591">
        <v>0</v>
      </c>
      <c r="BB60" s="593">
        <v>103.50685607036536</v>
      </c>
      <c r="BC60" s="667">
        <f>(BB78-BB79)/BB60</f>
        <v>0.90766934256153531</v>
      </c>
      <c r="BD60" s="714">
        <f>D60-BB76</f>
        <v>50.879999999999995</v>
      </c>
      <c r="BE60" s="667">
        <f>BB78-BB79</f>
        <v>93.949999999999989</v>
      </c>
      <c r="BF60" s="667">
        <f t="shared" ref="BF60:BF75" si="69">BD60/BE60*100</f>
        <v>54.156466205428423</v>
      </c>
      <c r="BG60" s="668">
        <f t="shared" ref="BG60:BG75" si="70">BF60*BC60</f>
        <v>49.156164076137223</v>
      </c>
      <c r="BH60" s="591">
        <v>0</v>
      </c>
      <c r="BI60" s="593">
        <v>103.50685607036536</v>
      </c>
      <c r="BJ60" s="667">
        <f>(BI78-BI79)/BI60</f>
        <v>1.3174006551537092</v>
      </c>
      <c r="BK60" s="714">
        <f>I60-BI76</f>
        <v>39.500000000000057</v>
      </c>
      <c r="BL60" s="667">
        <f>BI78-BI79</f>
        <v>136.36000000000001</v>
      </c>
      <c r="BM60" s="667">
        <f t="shared" ref="BM60:BM75" si="71">BK60/BL60*100</f>
        <v>28.967439131710215</v>
      </c>
      <c r="BN60" s="668">
        <f t="shared" ref="BN60:BN75" si="72">BM60*BJ60</f>
        <v>38.161723290240232</v>
      </c>
      <c r="BO60" s="591">
        <v>0</v>
      </c>
      <c r="BP60" s="679">
        <v>103.50685607036536</v>
      </c>
      <c r="BQ60" s="667">
        <f>(BP78-BP79)/BP60</f>
        <v>0.94273948320547751</v>
      </c>
      <c r="BR60" s="714">
        <f>N60-BP76</f>
        <v>52.180000000000007</v>
      </c>
      <c r="BS60" s="667">
        <f>BP78-BP79</f>
        <v>97.579999999999984</v>
      </c>
      <c r="BT60" s="667">
        <f t="shared" ref="BT60:BT75" si="73">BR60/BS60*100</f>
        <v>53.474072555851627</v>
      </c>
      <c r="BU60" s="710">
        <f t="shared" ref="BU60:BU75" si="74">BT60*BQ60</f>
        <v>50.412119526195774</v>
      </c>
      <c r="BV60" s="591">
        <v>0</v>
      </c>
      <c r="BW60" s="593">
        <v>103.50685607036536</v>
      </c>
      <c r="BX60" s="667">
        <f>(BW78-BW79)/BW60</f>
        <v>1.1880372437976796</v>
      </c>
      <c r="BY60" s="714">
        <f>S60-BW76</f>
        <v>50</v>
      </c>
      <c r="BZ60" s="667">
        <f>BW78-BW79</f>
        <v>122.96999999999998</v>
      </c>
      <c r="CA60" s="667">
        <f t="shared" ref="CA60:CA75" si="75">BY60/BZ60*100</f>
        <v>40.660323656176303</v>
      </c>
      <c r="CB60" s="668">
        <f t="shared" ref="CB60:CB75" si="76">CA60*BX60</f>
        <v>48.305978848405289</v>
      </c>
      <c r="CC60" s="560"/>
    </row>
    <row r="61" spans="1:82" ht="15.75">
      <c r="A61" s="5"/>
      <c r="B61" s="59" t="s">
        <v>116</v>
      </c>
      <c r="C61" s="97">
        <v>300</v>
      </c>
      <c r="D61" s="63">
        <v>422.91</v>
      </c>
      <c r="E61" s="91">
        <v>2.0499999999999998</v>
      </c>
      <c r="F61" s="91">
        <v>0.92</v>
      </c>
      <c r="G61" s="92">
        <v>0.69</v>
      </c>
      <c r="H61" s="103">
        <v>300</v>
      </c>
      <c r="I61" s="63">
        <v>462.9</v>
      </c>
      <c r="J61" s="454">
        <v>0</v>
      </c>
      <c r="K61" s="314">
        <v>0</v>
      </c>
      <c r="L61" s="456">
        <v>0</v>
      </c>
      <c r="M61" s="103">
        <v>300</v>
      </c>
      <c r="N61" s="63">
        <v>428.13</v>
      </c>
      <c r="O61" s="457">
        <v>1.0900000000000001</v>
      </c>
      <c r="P61" s="457">
        <v>1.21</v>
      </c>
      <c r="Q61" s="460">
        <v>0.41</v>
      </c>
      <c r="R61" s="103">
        <v>300</v>
      </c>
      <c r="S61" s="63">
        <v>459.41</v>
      </c>
      <c r="T61" s="457">
        <v>0</v>
      </c>
      <c r="U61" s="457">
        <v>0</v>
      </c>
      <c r="V61" s="460">
        <v>0</v>
      </c>
      <c r="W61" s="5"/>
      <c r="X61" s="591">
        <v>300</v>
      </c>
      <c r="Y61" s="592">
        <f t="shared" si="53"/>
        <v>0.122</v>
      </c>
      <c r="Z61" s="593">
        <v>9.6440000000000001</v>
      </c>
      <c r="AA61" s="593">
        <v>4.5170000000000003</v>
      </c>
      <c r="AB61" s="593">
        <f t="shared" si="54"/>
        <v>5.0049999999999999</v>
      </c>
      <c r="AC61" s="593">
        <f t="shared" si="55"/>
        <v>33.571000000000005</v>
      </c>
      <c r="AD61" s="653">
        <f t="shared" si="56"/>
        <v>21.140635616099999</v>
      </c>
      <c r="AE61" s="591">
        <v>300</v>
      </c>
      <c r="AF61" s="595">
        <f t="shared" si="57"/>
        <v>0</v>
      </c>
      <c r="AG61" s="593">
        <v>9.6440000000000001</v>
      </c>
      <c r="AH61" s="593">
        <v>4.5170000000000003</v>
      </c>
      <c r="AI61" s="593">
        <f t="shared" si="58"/>
        <v>5.1269999999999998</v>
      </c>
      <c r="AJ61" s="593">
        <f t="shared" si="59"/>
        <v>33.449000000000005</v>
      </c>
      <c r="AK61" s="653">
        <f t="shared" si="60"/>
        <v>21.577252153859998</v>
      </c>
      <c r="AL61" s="591">
        <v>300</v>
      </c>
      <c r="AM61" s="595">
        <f t="shared" si="61"/>
        <v>9.0333333333333335E-2</v>
      </c>
      <c r="AN61" s="593">
        <v>9.6440000000000001</v>
      </c>
      <c r="AO61" s="593">
        <v>4.5170000000000003</v>
      </c>
      <c r="AP61" s="593">
        <f t="shared" si="62"/>
        <v>5.0366666666666662</v>
      </c>
      <c r="AQ61" s="593">
        <f t="shared" si="63"/>
        <v>33.539333333333339</v>
      </c>
      <c r="AR61" s="698">
        <f t="shared" si="64"/>
        <v>21.254324960399998</v>
      </c>
      <c r="AS61" s="591">
        <v>300</v>
      </c>
      <c r="AT61" s="595">
        <f t="shared" si="65"/>
        <v>0</v>
      </c>
      <c r="AU61" s="593">
        <v>9.6440000000000001</v>
      </c>
      <c r="AV61" s="593">
        <v>4.5170000000000003</v>
      </c>
      <c r="AW61" s="593">
        <f t="shared" si="66"/>
        <v>5.1269999999999998</v>
      </c>
      <c r="AX61" s="593">
        <f t="shared" si="67"/>
        <v>33.449000000000005</v>
      </c>
      <c r="AY61" s="698">
        <f t="shared" si="68"/>
        <v>21.577252153859998</v>
      </c>
      <c r="AZ61" s="75"/>
      <c r="BA61" s="591">
        <v>300</v>
      </c>
      <c r="BB61" s="593">
        <v>103.50685607036536</v>
      </c>
      <c r="BC61" s="667">
        <f>(BB78-BB79)/BB60</f>
        <v>0.90766934256153531</v>
      </c>
      <c r="BD61" s="714">
        <f>D61-BB76</f>
        <v>41.840000000000032</v>
      </c>
      <c r="BE61" s="667">
        <f>BB78-BB79</f>
        <v>93.949999999999989</v>
      </c>
      <c r="BF61" s="667">
        <f t="shared" si="69"/>
        <v>44.534326769558312</v>
      </c>
      <c r="BG61" s="668">
        <f t="shared" si="70"/>
        <v>40.422443100345575</v>
      </c>
      <c r="BH61" s="591">
        <v>300</v>
      </c>
      <c r="BI61" s="593">
        <v>103.50685607036536</v>
      </c>
      <c r="BJ61" s="667">
        <f>(BI78-BI79)/BI60</f>
        <v>1.3174006551537092</v>
      </c>
      <c r="BK61" s="714">
        <f>I61-BI76</f>
        <v>39.490000000000009</v>
      </c>
      <c r="BL61" s="667">
        <f>BI78-BI79</f>
        <v>136.36000000000001</v>
      </c>
      <c r="BM61" s="667">
        <f t="shared" si="71"/>
        <v>28.960105602816078</v>
      </c>
      <c r="BN61" s="668">
        <f t="shared" si="72"/>
        <v>38.152062094470509</v>
      </c>
      <c r="BO61" s="591">
        <v>300</v>
      </c>
      <c r="BP61" s="679">
        <v>103.50685607036536</v>
      </c>
      <c r="BQ61" s="667">
        <f>(BP78-BP79)/BP60</f>
        <v>0.94273948320547751</v>
      </c>
      <c r="BR61" s="714">
        <f>N61-BP76</f>
        <v>44.490000000000009</v>
      </c>
      <c r="BS61" s="667">
        <f>BP78-BP79</f>
        <v>97.579999999999984</v>
      </c>
      <c r="BT61" s="667">
        <f t="shared" si="73"/>
        <v>45.5933592949375</v>
      </c>
      <c r="BU61" s="710">
        <f t="shared" si="74"/>
        <v>42.98265997931103</v>
      </c>
      <c r="BV61" s="591">
        <v>300</v>
      </c>
      <c r="BW61" s="593">
        <v>103.50685607036536</v>
      </c>
      <c r="BX61" s="667">
        <f>(BW78-BW79)/BW60</f>
        <v>1.1880372437976796</v>
      </c>
      <c r="BY61" s="714">
        <f>S61-BW76</f>
        <v>48.380000000000052</v>
      </c>
      <c r="BZ61" s="667">
        <f>BW78-BW79</f>
        <v>122.96999999999998</v>
      </c>
      <c r="CA61" s="667">
        <f t="shared" si="75"/>
        <v>39.342929169716243</v>
      </c>
      <c r="CB61" s="668">
        <f t="shared" si="76"/>
        <v>46.740865133717016</v>
      </c>
      <c r="CC61" s="560"/>
    </row>
    <row r="62" spans="1:82" ht="15.75">
      <c r="A62" s="5"/>
      <c r="B62" s="59" t="s">
        <v>116</v>
      </c>
      <c r="C62" s="97">
        <v>350</v>
      </c>
      <c r="D62" s="63">
        <v>421.28</v>
      </c>
      <c r="E62" s="91">
        <v>2.52</v>
      </c>
      <c r="F62" s="91">
        <v>1.67</v>
      </c>
      <c r="G62" s="92">
        <v>1.98</v>
      </c>
      <c r="H62" s="103">
        <v>350</v>
      </c>
      <c r="I62" s="314">
        <v>462.91</v>
      </c>
      <c r="J62" s="454">
        <v>0</v>
      </c>
      <c r="K62" s="314">
        <v>0</v>
      </c>
      <c r="L62" s="456">
        <v>0</v>
      </c>
      <c r="M62" s="103">
        <v>350</v>
      </c>
      <c r="N62" s="63">
        <v>426.78</v>
      </c>
      <c r="O62" s="457">
        <v>2.27</v>
      </c>
      <c r="P62" s="457">
        <v>1.56</v>
      </c>
      <c r="Q62" s="460">
        <v>1.05</v>
      </c>
      <c r="R62" s="103">
        <v>350</v>
      </c>
      <c r="S62" s="63">
        <v>458.55</v>
      </c>
      <c r="T62" s="457">
        <v>0</v>
      </c>
      <c r="U62" s="457">
        <v>0</v>
      </c>
      <c r="V62" s="460">
        <v>0</v>
      </c>
      <c r="W62" s="5"/>
      <c r="X62" s="591">
        <v>350</v>
      </c>
      <c r="Y62" s="592">
        <f t="shared" si="53"/>
        <v>0.20566666666666666</v>
      </c>
      <c r="Z62" s="593">
        <v>9.6440000000000001</v>
      </c>
      <c r="AA62" s="593">
        <v>4.5170000000000003</v>
      </c>
      <c r="AB62" s="593">
        <f t="shared" si="54"/>
        <v>4.9213333333333331</v>
      </c>
      <c r="AC62" s="593">
        <f t="shared" si="55"/>
        <v>33.654666666666671</v>
      </c>
      <c r="AD62" s="653">
        <f t="shared" si="56"/>
        <v>28.364252011386665</v>
      </c>
      <c r="AE62" s="591">
        <v>350</v>
      </c>
      <c r="AF62" s="595">
        <f t="shared" si="57"/>
        <v>0</v>
      </c>
      <c r="AG62" s="593">
        <v>9.6440000000000001</v>
      </c>
      <c r="AH62" s="593">
        <v>4.5170000000000003</v>
      </c>
      <c r="AI62" s="593">
        <f t="shared" si="58"/>
        <v>5.1269999999999998</v>
      </c>
      <c r="AJ62" s="593">
        <f t="shared" si="59"/>
        <v>33.449000000000005</v>
      </c>
      <c r="AK62" s="653">
        <f t="shared" si="60"/>
        <v>29.369037653864996</v>
      </c>
      <c r="AL62" s="591">
        <v>350</v>
      </c>
      <c r="AM62" s="595">
        <f t="shared" si="61"/>
        <v>0.16266666666666668</v>
      </c>
      <c r="AN62" s="593">
        <v>9.6440000000000001</v>
      </c>
      <c r="AO62" s="593">
        <v>4.5170000000000003</v>
      </c>
      <c r="AP62" s="593">
        <f t="shared" si="62"/>
        <v>4.9643333333333333</v>
      </c>
      <c r="AQ62" s="593">
        <f t="shared" si="63"/>
        <v>33.611666666666672</v>
      </c>
      <c r="AR62" s="698">
        <f t="shared" si="64"/>
        <v>28.575526621891665</v>
      </c>
      <c r="AS62" s="591">
        <v>350</v>
      </c>
      <c r="AT62" s="595">
        <f t="shared" si="65"/>
        <v>0</v>
      </c>
      <c r="AU62" s="593">
        <v>9.6440000000000001</v>
      </c>
      <c r="AV62" s="593">
        <v>4.5170000000000003</v>
      </c>
      <c r="AW62" s="593">
        <f t="shared" si="66"/>
        <v>5.1269999999999998</v>
      </c>
      <c r="AX62" s="593">
        <f t="shared" si="67"/>
        <v>33.449000000000005</v>
      </c>
      <c r="AY62" s="698">
        <f t="shared" si="68"/>
        <v>29.369037653864996</v>
      </c>
      <c r="AZ62" s="75"/>
      <c r="BA62" s="591">
        <v>350</v>
      </c>
      <c r="BB62" s="593">
        <v>103.50685607036536</v>
      </c>
      <c r="BC62" s="667">
        <f>(BB78-BB79)/BB60</f>
        <v>0.90766934256153531</v>
      </c>
      <c r="BD62" s="714">
        <f>D62-BB76</f>
        <v>40.20999999999998</v>
      </c>
      <c r="BE62" s="667">
        <f>BB78-BB79</f>
        <v>93.949999999999989</v>
      </c>
      <c r="BF62" s="667">
        <f t="shared" si="69"/>
        <v>42.799361362426808</v>
      </c>
      <c r="BG62" s="668">
        <f t="shared" si="70"/>
        <v>38.847668189887514</v>
      </c>
      <c r="BH62" s="591">
        <v>350</v>
      </c>
      <c r="BI62" s="593">
        <v>103.50685607036536</v>
      </c>
      <c r="BJ62" s="667">
        <f>(BI78-BI79)/BI60</f>
        <v>1.3174006551537092</v>
      </c>
      <c r="BK62" s="714">
        <f>I62-BI76</f>
        <v>39.500000000000057</v>
      </c>
      <c r="BL62" s="667">
        <f>BI78-BI79</f>
        <v>136.36000000000001</v>
      </c>
      <c r="BM62" s="667">
        <f t="shared" si="71"/>
        <v>28.967439131710215</v>
      </c>
      <c r="BN62" s="668">
        <f t="shared" si="72"/>
        <v>38.161723290240232</v>
      </c>
      <c r="BO62" s="591">
        <v>350</v>
      </c>
      <c r="BP62" s="679">
        <v>103.50685607036536</v>
      </c>
      <c r="BQ62" s="667">
        <f>(BP78-BP79)/BP60</f>
        <v>0.94273948320547751</v>
      </c>
      <c r="BR62" s="714">
        <f>N62-BP76</f>
        <v>43.139999999999986</v>
      </c>
      <c r="BS62" s="667">
        <f>BP78-BP79</f>
        <v>97.579999999999984</v>
      </c>
      <c r="BT62" s="667">
        <f t="shared" si="73"/>
        <v>44.209879073580645</v>
      </c>
      <c r="BU62" s="710">
        <f t="shared" si="74"/>
        <v>41.678398550404069</v>
      </c>
      <c r="BV62" s="591">
        <v>350</v>
      </c>
      <c r="BW62" s="593">
        <v>103.50685607036536</v>
      </c>
      <c r="BX62" s="667">
        <f>(BW78-BW79)/BW60</f>
        <v>1.1880372437976796</v>
      </c>
      <c r="BY62" s="714">
        <f>S62-BW76</f>
        <v>47.520000000000039</v>
      </c>
      <c r="BZ62" s="667">
        <f>BW78-BW79</f>
        <v>122.96999999999998</v>
      </c>
      <c r="CA62" s="667">
        <f t="shared" si="75"/>
        <v>38.643571602829994</v>
      </c>
      <c r="CB62" s="668">
        <f t="shared" si="76"/>
        <v>45.910002297524429</v>
      </c>
      <c r="CC62" s="560"/>
    </row>
    <row r="63" spans="1:82" ht="15.75">
      <c r="A63" s="5"/>
      <c r="B63" s="59" t="s">
        <v>116</v>
      </c>
      <c r="C63" s="98">
        <v>450</v>
      </c>
      <c r="D63" s="67">
        <v>419.49</v>
      </c>
      <c r="E63" s="91">
        <v>3.35</v>
      </c>
      <c r="F63" s="91">
        <v>2.48</v>
      </c>
      <c r="G63" s="92">
        <v>2.0699999999999998</v>
      </c>
      <c r="H63" s="104">
        <v>450</v>
      </c>
      <c r="I63" s="63">
        <v>462.47</v>
      </c>
      <c r="J63" s="454">
        <v>0</v>
      </c>
      <c r="K63" s="314">
        <v>0</v>
      </c>
      <c r="L63" s="456">
        <v>0</v>
      </c>
      <c r="M63" s="104">
        <v>450</v>
      </c>
      <c r="N63" s="63">
        <v>425.32</v>
      </c>
      <c r="O63" s="457">
        <v>1.56</v>
      </c>
      <c r="P63" s="457">
        <v>2.78</v>
      </c>
      <c r="Q63" s="460">
        <v>1.62</v>
      </c>
      <c r="R63" s="104">
        <v>450</v>
      </c>
      <c r="S63" s="63">
        <v>457.29</v>
      </c>
      <c r="T63" s="457">
        <v>1.03</v>
      </c>
      <c r="U63" s="457">
        <v>1.0900000000000001</v>
      </c>
      <c r="V63" s="460">
        <v>1.74</v>
      </c>
      <c r="W63" s="5"/>
      <c r="X63" s="598">
        <v>450</v>
      </c>
      <c r="Y63" s="592">
        <f t="shared" si="53"/>
        <v>0.26333333333333331</v>
      </c>
      <c r="Z63" s="593">
        <v>9.6440000000000001</v>
      </c>
      <c r="AA63" s="593">
        <v>4.5170000000000003</v>
      </c>
      <c r="AB63" s="593">
        <f t="shared" si="54"/>
        <v>4.8636666666666661</v>
      </c>
      <c r="AC63" s="593">
        <f t="shared" si="55"/>
        <v>33.712333333333341</v>
      </c>
      <c r="AD63" s="653">
        <f t="shared" si="56"/>
        <v>46.417827911985</v>
      </c>
      <c r="AE63" s="598">
        <v>450</v>
      </c>
      <c r="AF63" s="595">
        <f t="shared" si="57"/>
        <v>0</v>
      </c>
      <c r="AG63" s="593">
        <v>9.6440000000000001</v>
      </c>
      <c r="AH63" s="593">
        <v>4.5170000000000003</v>
      </c>
      <c r="AI63" s="593">
        <f t="shared" si="58"/>
        <v>5.1269999999999998</v>
      </c>
      <c r="AJ63" s="593">
        <f t="shared" si="59"/>
        <v>33.449000000000005</v>
      </c>
      <c r="AK63" s="653">
        <f t="shared" si="60"/>
        <v>48.54881734618499</v>
      </c>
      <c r="AL63" s="598">
        <v>450</v>
      </c>
      <c r="AM63" s="595">
        <f t="shared" si="61"/>
        <v>0.19866666666666666</v>
      </c>
      <c r="AN63" s="593">
        <v>9.6440000000000001</v>
      </c>
      <c r="AO63" s="593">
        <v>4.5170000000000003</v>
      </c>
      <c r="AP63" s="593">
        <f t="shared" si="62"/>
        <v>4.9283333333333328</v>
      </c>
      <c r="AQ63" s="593">
        <f t="shared" si="63"/>
        <v>33.647666666666673</v>
      </c>
      <c r="AR63" s="698">
        <f t="shared" si="64"/>
        <v>46.944771131024993</v>
      </c>
      <c r="AS63" s="598">
        <v>450</v>
      </c>
      <c r="AT63" s="595">
        <f t="shared" si="65"/>
        <v>0.12866666666666668</v>
      </c>
      <c r="AU63" s="593">
        <v>9.6440000000000001</v>
      </c>
      <c r="AV63" s="593">
        <v>4.5170000000000003</v>
      </c>
      <c r="AW63" s="593">
        <f t="shared" si="66"/>
        <v>4.9983333333333331</v>
      </c>
      <c r="AX63" s="593">
        <f t="shared" si="67"/>
        <v>33.577666666666673</v>
      </c>
      <c r="AY63" s="698">
        <f t="shared" si="68"/>
        <v>47.512504942424997</v>
      </c>
      <c r="AZ63" s="75"/>
      <c r="BA63" s="598">
        <v>450</v>
      </c>
      <c r="BB63" s="593">
        <v>103.50685607036536</v>
      </c>
      <c r="BC63" s="667">
        <f>(BB78-BB79)/BB60</f>
        <v>0.90766934256153531</v>
      </c>
      <c r="BD63" s="714">
        <f>D63-BB76</f>
        <v>38.420000000000016</v>
      </c>
      <c r="BE63" s="667">
        <f>BB78-BB79</f>
        <v>93.949999999999989</v>
      </c>
      <c r="BF63" s="667">
        <f t="shared" si="69"/>
        <v>40.894092602448133</v>
      </c>
      <c r="BG63" s="668">
        <f t="shared" si="70"/>
        <v>37.118314147114639</v>
      </c>
      <c r="BH63" s="598">
        <v>450</v>
      </c>
      <c r="BI63" s="593">
        <v>103.50685607036536</v>
      </c>
      <c r="BJ63" s="667">
        <f>(BI78-BI79)/BI60</f>
        <v>1.3174006551537092</v>
      </c>
      <c r="BK63" s="714">
        <f>I63-BI76</f>
        <v>39.060000000000059</v>
      </c>
      <c r="BL63" s="667">
        <f>BI78-BI79</f>
        <v>136.36000000000001</v>
      </c>
      <c r="BM63" s="667">
        <f t="shared" si="71"/>
        <v>28.64476386036965</v>
      </c>
      <c r="BN63" s="668">
        <f t="shared" si="72"/>
        <v>37.736630676374268</v>
      </c>
      <c r="BO63" s="598">
        <v>450</v>
      </c>
      <c r="BP63" s="679">
        <v>103.50685607036536</v>
      </c>
      <c r="BQ63" s="667">
        <f>(BP78-BP79)/BP60</f>
        <v>0.94273948320547751</v>
      </c>
      <c r="BR63" s="714">
        <f>N63-BP76</f>
        <v>41.680000000000007</v>
      </c>
      <c r="BS63" s="667">
        <f>BP78-BP79</f>
        <v>97.579999999999984</v>
      </c>
      <c r="BT63" s="667">
        <f t="shared" si="73"/>
        <v>42.713670834187347</v>
      </c>
      <c r="BU63" s="710">
        <f t="shared" si="74"/>
        <v>40.26786396803066</v>
      </c>
      <c r="BV63" s="598">
        <v>450</v>
      </c>
      <c r="BW63" s="593">
        <v>103.50685607036536</v>
      </c>
      <c r="BX63" s="667">
        <f>(BW78-BW79)/BW60</f>
        <v>1.1880372437976796</v>
      </c>
      <c r="BY63" s="714">
        <f>S63-BW76</f>
        <v>46.260000000000048</v>
      </c>
      <c r="BZ63" s="667">
        <f>BW78-BW79</f>
        <v>122.96999999999998</v>
      </c>
      <c r="CA63" s="667">
        <f t="shared" si="75"/>
        <v>37.618931446694361</v>
      </c>
      <c r="CB63" s="668">
        <f t="shared" si="76"/>
        <v>44.692691630544623</v>
      </c>
      <c r="CC63" s="560"/>
    </row>
    <row r="64" spans="1:82" ht="15.75">
      <c r="A64" s="5"/>
      <c r="B64" s="59" t="s">
        <v>116</v>
      </c>
      <c r="C64" s="98">
        <v>550</v>
      </c>
      <c r="D64" s="67">
        <v>418.08</v>
      </c>
      <c r="E64" s="91">
        <v>3.58</v>
      </c>
      <c r="F64" s="91">
        <v>2.99</v>
      </c>
      <c r="G64" s="92">
        <v>2.62</v>
      </c>
      <c r="H64" s="104">
        <v>550</v>
      </c>
      <c r="I64" s="63">
        <v>461.61</v>
      </c>
      <c r="J64" s="454">
        <v>0.93</v>
      </c>
      <c r="K64" s="454">
        <v>0.66</v>
      </c>
      <c r="L64" s="456">
        <v>0.68</v>
      </c>
      <c r="M64" s="104">
        <v>550</v>
      </c>
      <c r="N64" s="63">
        <v>424.13</v>
      </c>
      <c r="O64" s="457">
        <v>2.56</v>
      </c>
      <c r="P64" s="457">
        <v>1.91</v>
      </c>
      <c r="Q64" s="460">
        <v>1.95</v>
      </c>
      <c r="R64" s="104">
        <v>550</v>
      </c>
      <c r="S64" s="63">
        <v>456.17</v>
      </c>
      <c r="T64" s="457">
        <v>1.48</v>
      </c>
      <c r="U64" s="457">
        <v>1.57</v>
      </c>
      <c r="V64" s="460">
        <v>1.88</v>
      </c>
      <c r="W64" s="5"/>
      <c r="X64" s="598">
        <v>550</v>
      </c>
      <c r="Y64" s="592">
        <f t="shared" si="53"/>
        <v>0.3063333333333334</v>
      </c>
      <c r="Z64" s="593">
        <v>9.6440000000000001</v>
      </c>
      <c r="AA64" s="593">
        <v>4.5170000000000003</v>
      </c>
      <c r="AB64" s="593">
        <f t="shared" si="54"/>
        <v>4.820666666666666</v>
      </c>
      <c r="AC64" s="593">
        <f t="shared" si="55"/>
        <v>33.75533333333334</v>
      </c>
      <c r="AD64" s="653">
        <f t="shared" si="56"/>
        <v>68.814831986926649</v>
      </c>
      <c r="AE64" s="598">
        <v>550</v>
      </c>
      <c r="AF64" s="595">
        <f t="shared" si="57"/>
        <v>7.5666666666666674E-2</v>
      </c>
      <c r="AG64" s="593">
        <v>9.6440000000000001</v>
      </c>
      <c r="AH64" s="593">
        <v>4.5170000000000003</v>
      </c>
      <c r="AI64" s="593">
        <f t="shared" si="58"/>
        <v>5.051333333333333</v>
      </c>
      <c r="AJ64" s="593">
        <f t="shared" si="59"/>
        <v>33.524666666666668</v>
      </c>
      <c r="AK64" s="653">
        <f t="shared" si="60"/>
        <v>71.614843464046643</v>
      </c>
      <c r="AL64" s="598">
        <v>550</v>
      </c>
      <c r="AM64" s="595">
        <f t="shared" si="61"/>
        <v>0.21400000000000002</v>
      </c>
      <c r="AN64" s="593">
        <v>9.6440000000000001</v>
      </c>
      <c r="AO64" s="593">
        <v>4.5170000000000003</v>
      </c>
      <c r="AP64" s="593">
        <f t="shared" si="62"/>
        <v>4.9129999999999994</v>
      </c>
      <c r="AQ64" s="593">
        <f t="shared" si="63"/>
        <v>33.663000000000004</v>
      </c>
      <c r="AR64" s="698">
        <f t="shared" si="64"/>
        <v>69.941047373504972</v>
      </c>
      <c r="AS64" s="598">
        <v>550</v>
      </c>
      <c r="AT64" s="595">
        <f t="shared" si="65"/>
        <v>0.16433333333333333</v>
      </c>
      <c r="AU64" s="593">
        <v>9.6440000000000001</v>
      </c>
      <c r="AV64" s="593">
        <v>4.5170000000000003</v>
      </c>
      <c r="AW64" s="593">
        <f t="shared" si="66"/>
        <v>4.9626666666666663</v>
      </c>
      <c r="AX64" s="593">
        <f t="shared" si="67"/>
        <v>33.613333333333337</v>
      </c>
      <c r="AY64" s="698">
        <f t="shared" si="68"/>
        <v>70.543863004266655</v>
      </c>
      <c r="AZ64" s="75"/>
      <c r="BA64" s="598">
        <v>550</v>
      </c>
      <c r="BB64" s="593">
        <v>103.50685607036536</v>
      </c>
      <c r="BC64" s="667">
        <f>(BB78-BB79)/BB60</f>
        <v>0.90766934256153531</v>
      </c>
      <c r="BD64" s="714">
        <f>D64-BB76</f>
        <v>37.009999999999991</v>
      </c>
      <c r="BE64" s="667">
        <f>BB78-BB79</f>
        <v>93.949999999999989</v>
      </c>
      <c r="BF64" s="667">
        <f t="shared" si="69"/>
        <v>39.393294305481632</v>
      </c>
      <c r="BG64" s="668">
        <f t="shared" si="70"/>
        <v>35.756085543589585</v>
      </c>
      <c r="BH64" s="598">
        <v>550</v>
      </c>
      <c r="BI64" s="593">
        <v>103.50685607036536</v>
      </c>
      <c r="BJ64" s="667">
        <f>(BI78-BI79)/BI60</f>
        <v>1.3174006551537092</v>
      </c>
      <c r="BK64" s="714">
        <f>I64-BI76</f>
        <v>38.200000000000045</v>
      </c>
      <c r="BL64" s="667">
        <f>BI78-BI79</f>
        <v>136.36000000000001</v>
      </c>
      <c r="BM64" s="667">
        <f t="shared" si="71"/>
        <v>28.014080375476709</v>
      </c>
      <c r="BN64" s="668">
        <f t="shared" si="72"/>
        <v>36.905767840181682</v>
      </c>
      <c r="BO64" s="598">
        <v>550</v>
      </c>
      <c r="BP64" s="679">
        <v>103.50685607036536</v>
      </c>
      <c r="BQ64" s="667">
        <f>(BP78-BP79)/BP60</f>
        <v>0.94273948320547751</v>
      </c>
      <c r="BR64" s="714">
        <f>N64-BP76</f>
        <v>40.490000000000009</v>
      </c>
      <c r="BS64" s="667">
        <f>BP78-BP79</f>
        <v>97.579999999999984</v>
      </c>
      <c r="BT64" s="667">
        <f t="shared" si="73"/>
        <v>41.494158639065397</v>
      </c>
      <c r="BU64" s="710">
        <f t="shared" si="74"/>
        <v>39.118181671438613</v>
      </c>
      <c r="BV64" s="598">
        <v>550</v>
      </c>
      <c r="BW64" s="593">
        <v>103.50685607036536</v>
      </c>
      <c r="BX64" s="667">
        <f>(BW78-BW79)/BW60</f>
        <v>1.1880372437976796</v>
      </c>
      <c r="BY64" s="714">
        <f>S64-BW76</f>
        <v>45.140000000000043</v>
      </c>
      <c r="BZ64" s="667">
        <f>BW78-BW79</f>
        <v>122.96999999999998</v>
      </c>
      <c r="CA64" s="667">
        <f t="shared" si="75"/>
        <v>36.708140196796009</v>
      </c>
      <c r="CB64" s="668">
        <f t="shared" si="76"/>
        <v>43.610637704340341</v>
      </c>
      <c r="CC64" s="560"/>
    </row>
    <row r="65" spans="1:81" ht="15.75">
      <c r="A65" s="5"/>
      <c r="B65" s="59" t="s">
        <v>116</v>
      </c>
      <c r="C65" s="98">
        <v>650</v>
      </c>
      <c r="D65" s="67">
        <v>416.89</v>
      </c>
      <c r="E65" s="91">
        <v>4.67</v>
      </c>
      <c r="F65" s="91">
        <v>3.68</v>
      </c>
      <c r="G65" s="92">
        <v>3.29</v>
      </c>
      <c r="H65" s="104">
        <v>650</v>
      </c>
      <c r="I65" s="63">
        <v>460.94</v>
      </c>
      <c r="J65" s="454">
        <v>1.37</v>
      </c>
      <c r="K65" s="454">
        <v>1.21</v>
      </c>
      <c r="L65" s="456">
        <v>1.1499999999999999</v>
      </c>
      <c r="M65" s="104">
        <v>650</v>
      </c>
      <c r="N65" s="63">
        <v>423.19</v>
      </c>
      <c r="O65" s="457">
        <v>3.33</v>
      </c>
      <c r="P65" s="457">
        <v>3.55</v>
      </c>
      <c r="Q65" s="460">
        <v>2.54</v>
      </c>
      <c r="R65" s="104">
        <v>650</v>
      </c>
      <c r="S65" s="63">
        <v>455.43</v>
      </c>
      <c r="T65" s="457">
        <v>1.91</v>
      </c>
      <c r="U65" s="457">
        <v>2.2400000000000002</v>
      </c>
      <c r="V65" s="460">
        <v>2.38</v>
      </c>
      <c r="W65" s="5"/>
      <c r="X65" s="598">
        <v>650</v>
      </c>
      <c r="Y65" s="592">
        <f t="shared" si="53"/>
        <v>0.38800000000000001</v>
      </c>
      <c r="Z65" s="593">
        <v>9.6440000000000001</v>
      </c>
      <c r="AA65" s="593">
        <v>4.5170000000000003</v>
      </c>
      <c r="AB65" s="593">
        <f t="shared" si="54"/>
        <v>4.7389999999999999</v>
      </c>
      <c r="AC65" s="593">
        <f t="shared" si="55"/>
        <v>33.837000000000003</v>
      </c>
      <c r="AD65" s="653">
        <f t="shared" si="56"/>
        <v>94.713621940664993</v>
      </c>
      <c r="AE65" s="598">
        <v>650</v>
      </c>
      <c r="AF65" s="595">
        <f t="shared" si="57"/>
        <v>0.12433333333333334</v>
      </c>
      <c r="AG65" s="593">
        <v>9.6440000000000001</v>
      </c>
      <c r="AH65" s="593">
        <v>4.5170000000000003</v>
      </c>
      <c r="AI65" s="593">
        <f t="shared" si="58"/>
        <v>5.0026666666666664</v>
      </c>
      <c r="AJ65" s="593">
        <f t="shared" si="59"/>
        <v>33.573333333333338</v>
      </c>
      <c r="AK65" s="653">
        <f t="shared" si="60"/>
        <v>99.204166685866667</v>
      </c>
      <c r="AL65" s="598">
        <v>650</v>
      </c>
      <c r="AM65" s="595">
        <f t="shared" si="61"/>
        <v>0.314</v>
      </c>
      <c r="AN65" s="593">
        <v>9.6440000000000001</v>
      </c>
      <c r="AO65" s="593">
        <v>4.5170000000000003</v>
      </c>
      <c r="AP65" s="593">
        <f t="shared" si="62"/>
        <v>4.8129999999999997</v>
      </c>
      <c r="AQ65" s="593">
        <f t="shared" si="63"/>
        <v>33.763000000000005</v>
      </c>
      <c r="AR65" s="698">
        <f t="shared" si="64"/>
        <v>95.982216573944996</v>
      </c>
      <c r="AS65" s="598">
        <v>650</v>
      </c>
      <c r="AT65" s="595">
        <f t="shared" si="65"/>
        <v>0.21766666666666667</v>
      </c>
      <c r="AU65" s="593">
        <v>9.6440000000000001</v>
      </c>
      <c r="AV65" s="593">
        <v>4.5170000000000003</v>
      </c>
      <c r="AW65" s="593">
        <f t="shared" si="66"/>
        <v>4.9093333333333327</v>
      </c>
      <c r="AX65" s="593">
        <f t="shared" si="67"/>
        <v>33.666666666666671</v>
      </c>
      <c r="AY65" s="698">
        <f t="shared" si="68"/>
        <v>97.623983426666655</v>
      </c>
      <c r="AZ65" s="75"/>
      <c r="BA65" s="598">
        <v>650</v>
      </c>
      <c r="BB65" s="593">
        <v>103.50685607036536</v>
      </c>
      <c r="BC65" s="667">
        <f>(BB78-BB79)/BB60</f>
        <v>0.90766934256153531</v>
      </c>
      <c r="BD65" s="714">
        <f>D65-BB76</f>
        <v>35.819999999999993</v>
      </c>
      <c r="BE65" s="667">
        <f>BB78-BB79</f>
        <v>93.949999999999989</v>
      </c>
      <c r="BF65" s="667">
        <f t="shared" si="69"/>
        <v>38.126663118680149</v>
      </c>
      <c r="BG65" s="668">
        <f t="shared" si="70"/>
        <v>34.606403246997544</v>
      </c>
      <c r="BH65" s="598">
        <v>650</v>
      </c>
      <c r="BI65" s="593">
        <v>103.50685607036536</v>
      </c>
      <c r="BJ65" s="667">
        <f>(BI78-BI79)/BI60</f>
        <v>1.3174006551537092</v>
      </c>
      <c r="BK65" s="714">
        <f>I65-BI76</f>
        <v>37.53000000000003</v>
      </c>
      <c r="BL65" s="667">
        <f>BI78-BI79</f>
        <v>136.36000000000001</v>
      </c>
      <c r="BM65" s="667">
        <f t="shared" si="71"/>
        <v>27.522733939571744</v>
      </c>
      <c r="BN65" s="668">
        <f t="shared" si="72"/>
        <v>36.258467723613045</v>
      </c>
      <c r="BO65" s="598">
        <v>650</v>
      </c>
      <c r="BP65" s="679">
        <v>103.50685607036536</v>
      </c>
      <c r="BQ65" s="667">
        <f>(BP78-BP79)/BP60</f>
        <v>0.94273948320547751</v>
      </c>
      <c r="BR65" s="714">
        <f>N65-BP76</f>
        <v>39.550000000000011</v>
      </c>
      <c r="BS65" s="667">
        <f>BP78-BP79</f>
        <v>97.579999999999984</v>
      </c>
      <c r="BT65" s="667">
        <f t="shared" si="73"/>
        <v>40.530846484935459</v>
      </c>
      <c r="BU65" s="710">
        <f t="shared" si="74"/>
        <v>38.210029269088601</v>
      </c>
      <c r="BV65" s="598">
        <v>650</v>
      </c>
      <c r="BW65" s="593">
        <v>103.50685607036536</v>
      </c>
      <c r="BX65" s="667">
        <f>(BW78-BW79)/BW60</f>
        <v>1.1880372437976796</v>
      </c>
      <c r="BY65" s="714">
        <f>S65-BW76</f>
        <v>44.400000000000034</v>
      </c>
      <c r="BZ65" s="667">
        <f>BW78-BW79</f>
        <v>122.96999999999998</v>
      </c>
      <c r="CA65" s="667">
        <f t="shared" si="75"/>
        <v>36.106367406684591</v>
      </c>
      <c r="CB65" s="668">
        <f t="shared" si="76"/>
        <v>42.895709217383931</v>
      </c>
      <c r="CC65" s="560"/>
    </row>
    <row r="66" spans="1:81" ht="15.75">
      <c r="A66" s="5"/>
      <c r="B66" s="59" t="s">
        <v>116</v>
      </c>
      <c r="C66" s="98">
        <v>750</v>
      </c>
      <c r="D66" s="67">
        <v>415.87</v>
      </c>
      <c r="E66" s="91">
        <v>4.91</v>
      </c>
      <c r="F66" s="91">
        <v>4.4400000000000004</v>
      </c>
      <c r="G66" s="92">
        <v>3.78</v>
      </c>
      <c r="H66" s="104">
        <v>750</v>
      </c>
      <c r="I66" s="63">
        <v>460.18</v>
      </c>
      <c r="J66" s="454">
        <v>1.71</v>
      </c>
      <c r="K66" s="454">
        <v>1.45</v>
      </c>
      <c r="L66" s="456">
        <v>1.74</v>
      </c>
      <c r="M66" s="104">
        <v>750</v>
      </c>
      <c r="N66" s="63">
        <v>422.31</v>
      </c>
      <c r="O66" s="457">
        <v>3.47</v>
      </c>
      <c r="P66" s="457">
        <v>4.16</v>
      </c>
      <c r="Q66" s="460">
        <v>2.78</v>
      </c>
      <c r="R66" s="104">
        <v>750</v>
      </c>
      <c r="S66" s="63">
        <v>454.69</v>
      </c>
      <c r="T66" s="457">
        <v>2.2200000000000002</v>
      </c>
      <c r="U66" s="457">
        <v>2.23</v>
      </c>
      <c r="V66" s="460">
        <v>3.1</v>
      </c>
      <c r="W66" s="5"/>
      <c r="X66" s="598">
        <v>750</v>
      </c>
      <c r="Y66" s="592">
        <f t="shared" si="53"/>
        <v>0.4376666666666667</v>
      </c>
      <c r="Z66" s="593">
        <v>9.6440000000000001</v>
      </c>
      <c r="AA66" s="593">
        <v>4.5170000000000003</v>
      </c>
      <c r="AB66" s="593">
        <f t="shared" si="54"/>
        <v>4.6893333333333329</v>
      </c>
      <c r="AC66" s="593">
        <f t="shared" si="55"/>
        <v>33.88666666666667</v>
      </c>
      <c r="AD66" s="653">
        <f t="shared" si="56"/>
        <v>124.95960788999999</v>
      </c>
      <c r="AE66" s="598">
        <v>750</v>
      </c>
      <c r="AF66" s="595">
        <f t="shared" si="57"/>
        <v>0.16333333333333336</v>
      </c>
      <c r="AG66" s="593">
        <v>9.6440000000000001</v>
      </c>
      <c r="AH66" s="593">
        <v>4.5170000000000003</v>
      </c>
      <c r="AI66" s="593">
        <f t="shared" si="58"/>
        <v>4.9636666666666667</v>
      </c>
      <c r="AJ66" s="593">
        <f t="shared" si="59"/>
        <v>33.612333333333339</v>
      </c>
      <c r="AK66" s="653">
        <f t="shared" si="60"/>
        <v>131.19913414162502</v>
      </c>
      <c r="AL66" s="598">
        <v>750</v>
      </c>
      <c r="AM66" s="595">
        <f t="shared" si="61"/>
        <v>0.34700000000000003</v>
      </c>
      <c r="AN66" s="593">
        <v>9.6440000000000001</v>
      </c>
      <c r="AO66" s="593">
        <v>4.5170000000000003</v>
      </c>
      <c r="AP66" s="593">
        <f t="shared" si="62"/>
        <v>4.7799999999999994</v>
      </c>
      <c r="AQ66" s="593">
        <f t="shared" si="63"/>
        <v>33.796000000000006</v>
      </c>
      <c r="AR66" s="698">
        <f t="shared" si="64"/>
        <v>127.03485501</v>
      </c>
      <c r="AS66" s="598">
        <v>750</v>
      </c>
      <c r="AT66" s="595">
        <f t="shared" si="65"/>
        <v>0.25166666666666671</v>
      </c>
      <c r="AU66" s="593">
        <v>9.6440000000000001</v>
      </c>
      <c r="AV66" s="593">
        <v>4.5170000000000003</v>
      </c>
      <c r="AW66" s="593">
        <f t="shared" si="66"/>
        <v>4.8753333333333329</v>
      </c>
      <c r="AX66" s="593">
        <f t="shared" si="67"/>
        <v>33.70066666666667</v>
      </c>
      <c r="AY66" s="698">
        <f t="shared" si="68"/>
        <v>129.2029723185</v>
      </c>
      <c r="AZ66" s="75"/>
      <c r="BA66" s="598">
        <v>750</v>
      </c>
      <c r="BB66" s="593">
        <v>103.50685607036536</v>
      </c>
      <c r="BC66" s="667">
        <f>(BB78-BB79)/BB60</f>
        <v>0.90766934256153531</v>
      </c>
      <c r="BD66" s="714">
        <f>D66-BB76</f>
        <v>34.800000000000011</v>
      </c>
      <c r="BE66" s="667">
        <f>BB78-BB79</f>
        <v>93.949999999999989</v>
      </c>
      <c r="BF66" s="667">
        <f t="shared" si="69"/>
        <v>37.040979244278887</v>
      </c>
      <c r="BG66" s="668">
        <f t="shared" si="70"/>
        <v>33.620961278490093</v>
      </c>
      <c r="BH66" s="598">
        <v>750</v>
      </c>
      <c r="BI66" s="593">
        <v>103.50685607036536</v>
      </c>
      <c r="BJ66" s="667">
        <f>(BI78-BI79)/BI60</f>
        <v>1.3174006551537092</v>
      </c>
      <c r="BK66" s="714">
        <f>I66-BI76</f>
        <v>36.770000000000039</v>
      </c>
      <c r="BL66" s="667">
        <f>BI78-BI79</f>
        <v>136.36000000000001</v>
      </c>
      <c r="BM66" s="667">
        <f t="shared" si="71"/>
        <v>26.965385743619859</v>
      </c>
      <c r="BN66" s="668">
        <f t="shared" si="72"/>
        <v>35.524216845117294</v>
      </c>
      <c r="BO66" s="598">
        <v>750</v>
      </c>
      <c r="BP66" s="679">
        <v>103.50685607036536</v>
      </c>
      <c r="BQ66" s="667">
        <f>(BP78-BP79)/BP60</f>
        <v>0.94273948320547751</v>
      </c>
      <c r="BR66" s="714">
        <f>N66-BP76</f>
        <v>38.670000000000016</v>
      </c>
      <c r="BS66" s="667">
        <f>BP78-BP79</f>
        <v>97.579999999999984</v>
      </c>
      <c r="BT66" s="667">
        <f t="shared" si="73"/>
        <v>39.629022340643601</v>
      </c>
      <c r="BU66" s="710">
        <f t="shared" si="74"/>
        <v>37.359844041356673</v>
      </c>
      <c r="BV66" s="598">
        <v>750</v>
      </c>
      <c r="BW66" s="593">
        <v>103.50685607036536</v>
      </c>
      <c r="BX66" s="667">
        <f>(BW78-BW79)/BW60</f>
        <v>1.1880372437976796</v>
      </c>
      <c r="BY66" s="714">
        <f>S66-BW76</f>
        <v>43.660000000000025</v>
      </c>
      <c r="BZ66" s="667">
        <f>BW78-BW79</f>
        <v>122.96999999999998</v>
      </c>
      <c r="CA66" s="667">
        <f t="shared" si="75"/>
        <v>35.504594616573172</v>
      </c>
      <c r="CB66" s="668">
        <f t="shared" si="76"/>
        <v>42.180780730427522</v>
      </c>
      <c r="CC66" s="560"/>
    </row>
    <row r="67" spans="1:81" ht="15.75">
      <c r="A67" s="5"/>
      <c r="B67" s="59" t="s">
        <v>116</v>
      </c>
      <c r="C67" s="98">
        <v>850</v>
      </c>
      <c r="D67" s="67">
        <v>414.92</v>
      </c>
      <c r="E67" s="91">
        <v>5.07</v>
      </c>
      <c r="F67" s="91">
        <v>4.59</v>
      </c>
      <c r="G67" s="92">
        <v>4.49</v>
      </c>
      <c r="H67" s="104">
        <v>850</v>
      </c>
      <c r="I67" s="63">
        <v>459.64</v>
      </c>
      <c r="J67" s="454">
        <v>2.54</v>
      </c>
      <c r="K67" s="454">
        <v>1.92</v>
      </c>
      <c r="L67" s="456">
        <v>2.0499999999999998</v>
      </c>
      <c r="M67" s="104">
        <v>850</v>
      </c>
      <c r="N67" s="63">
        <v>421.52</v>
      </c>
      <c r="O67" s="457">
        <v>4.18</v>
      </c>
      <c r="P67" s="457">
        <v>5.41</v>
      </c>
      <c r="Q67" s="460">
        <v>3.44</v>
      </c>
      <c r="R67" s="104">
        <v>850</v>
      </c>
      <c r="S67" s="63">
        <v>454</v>
      </c>
      <c r="T67" s="457">
        <v>2.5</v>
      </c>
      <c r="U67" s="457">
        <v>2.94</v>
      </c>
      <c r="V67" s="460">
        <v>3.95</v>
      </c>
      <c r="W67" s="5"/>
      <c r="X67" s="598">
        <v>850</v>
      </c>
      <c r="Y67" s="592">
        <f t="shared" si="53"/>
        <v>0.47166666666666668</v>
      </c>
      <c r="Z67" s="593">
        <v>9.6440000000000001</v>
      </c>
      <c r="AA67" s="593">
        <v>4.5170000000000003</v>
      </c>
      <c r="AB67" s="593">
        <f t="shared" si="54"/>
        <v>4.6553333333333331</v>
      </c>
      <c r="AC67" s="593">
        <f t="shared" si="55"/>
        <v>33.920666666666669</v>
      </c>
      <c r="AD67" s="653">
        <f t="shared" si="56"/>
        <v>159.49981548500665</v>
      </c>
      <c r="AE67" s="598">
        <v>850</v>
      </c>
      <c r="AF67" s="595">
        <f t="shared" si="57"/>
        <v>0.217</v>
      </c>
      <c r="AG67" s="593">
        <v>9.6440000000000001</v>
      </c>
      <c r="AH67" s="593">
        <v>4.5170000000000003</v>
      </c>
      <c r="AI67" s="593">
        <f t="shared" si="58"/>
        <v>4.91</v>
      </c>
      <c r="AJ67" s="593">
        <f t="shared" si="59"/>
        <v>33.666000000000004</v>
      </c>
      <c r="AK67" s="653">
        <f t="shared" si="60"/>
        <v>166.96215210330001</v>
      </c>
      <c r="AL67" s="598">
        <v>850</v>
      </c>
      <c r="AM67" s="595">
        <f t="shared" si="61"/>
        <v>0.43433333333333329</v>
      </c>
      <c r="AN67" s="593">
        <v>9.6440000000000001</v>
      </c>
      <c r="AO67" s="593">
        <v>4.5170000000000003</v>
      </c>
      <c r="AP67" s="593">
        <f t="shared" si="62"/>
        <v>4.6926666666666668</v>
      </c>
      <c r="AQ67" s="593">
        <f t="shared" si="63"/>
        <v>33.88333333333334</v>
      </c>
      <c r="AR67" s="698">
        <f t="shared" si="64"/>
        <v>160.60196595316668</v>
      </c>
      <c r="AS67" s="598">
        <v>850</v>
      </c>
      <c r="AT67" s="595">
        <f t="shared" si="65"/>
        <v>0.31300000000000006</v>
      </c>
      <c r="AU67" s="593">
        <v>9.6440000000000001</v>
      </c>
      <c r="AV67" s="593">
        <v>4.5170000000000003</v>
      </c>
      <c r="AW67" s="593">
        <f t="shared" si="66"/>
        <v>4.8140000000000001</v>
      </c>
      <c r="AX67" s="593">
        <f t="shared" si="67"/>
        <v>33.762000000000008</v>
      </c>
      <c r="AY67" s="698">
        <f t="shared" si="68"/>
        <v>164.16450984474002</v>
      </c>
      <c r="AZ67" s="75"/>
      <c r="BA67" s="598">
        <v>850</v>
      </c>
      <c r="BB67" s="593">
        <v>103.50685607036536</v>
      </c>
      <c r="BC67" s="667">
        <f>(BB78-BB79)/BB60</f>
        <v>0.90766934256153531</v>
      </c>
      <c r="BD67" s="714">
        <f>D67-BB76</f>
        <v>33.850000000000023</v>
      </c>
      <c r="BE67" s="667">
        <f>BB78-BB79</f>
        <v>93.949999999999989</v>
      </c>
      <c r="BF67" s="667">
        <f t="shared" si="69"/>
        <v>36.029803086748295</v>
      </c>
      <c r="BG67" s="668">
        <f t="shared" si="70"/>
        <v>32.7031476803704</v>
      </c>
      <c r="BH67" s="598">
        <v>850</v>
      </c>
      <c r="BI67" s="593">
        <v>103.50685607036536</v>
      </c>
      <c r="BJ67" s="667">
        <f>(BI78-BI79)/BI60</f>
        <v>1.3174006551537092</v>
      </c>
      <c r="BK67" s="714">
        <f>I67-BI76</f>
        <v>36.230000000000018</v>
      </c>
      <c r="BL67" s="667">
        <f>BI78-BI79</f>
        <v>136.36000000000001</v>
      </c>
      <c r="BM67" s="667">
        <f t="shared" si="71"/>
        <v>26.569375183338234</v>
      </c>
      <c r="BN67" s="668">
        <f t="shared" si="72"/>
        <v>35.002512273554494</v>
      </c>
      <c r="BO67" s="598">
        <v>850</v>
      </c>
      <c r="BP67" s="679">
        <v>103.50685607036536</v>
      </c>
      <c r="BQ67" s="667">
        <f>(BP78-BP79)/BP60</f>
        <v>0.94273948320547751</v>
      </c>
      <c r="BR67" s="714">
        <f>N67-BP76</f>
        <v>37.879999999999995</v>
      </c>
      <c r="BS67" s="667">
        <f>BP78-BP79</f>
        <v>97.579999999999984</v>
      </c>
      <c r="BT67" s="667">
        <f t="shared" si="73"/>
        <v>38.819430211108838</v>
      </c>
      <c r="BU67" s="710">
        <f t="shared" si="74"/>
        <v>36.596609575551845</v>
      </c>
      <c r="BV67" s="598">
        <v>850</v>
      </c>
      <c r="BW67" s="593">
        <v>103.50685607036536</v>
      </c>
      <c r="BX67" s="667">
        <f>(BW78-BW79)/BW60</f>
        <v>1.1880372437976796</v>
      </c>
      <c r="BY67" s="714">
        <f>S67-BW76</f>
        <v>42.970000000000027</v>
      </c>
      <c r="BZ67" s="667">
        <f>BW78-BW79</f>
        <v>122.96999999999998</v>
      </c>
      <c r="CA67" s="667">
        <f t="shared" si="75"/>
        <v>34.943482150117944</v>
      </c>
      <c r="CB67" s="668">
        <f t="shared" si="76"/>
        <v>41.514158222319537</v>
      </c>
      <c r="CC67" s="560"/>
    </row>
    <row r="68" spans="1:81" ht="15.75">
      <c r="A68" s="5"/>
      <c r="B68" s="59" t="s">
        <v>116</v>
      </c>
      <c r="C68" s="98">
        <v>950</v>
      </c>
      <c r="D68" s="67">
        <v>413.85</v>
      </c>
      <c r="E68" s="91">
        <v>5.81</v>
      </c>
      <c r="F68" s="91">
        <v>5.34</v>
      </c>
      <c r="G68" s="92">
        <v>5.29</v>
      </c>
      <c r="H68" s="104">
        <v>950</v>
      </c>
      <c r="I68" s="63">
        <v>459.04</v>
      </c>
      <c r="J68" s="454">
        <v>2.9</v>
      </c>
      <c r="K68" s="454">
        <v>2.13</v>
      </c>
      <c r="L68" s="456">
        <v>2.15</v>
      </c>
      <c r="M68" s="104">
        <v>950</v>
      </c>
      <c r="N68" s="63">
        <v>420.73</v>
      </c>
      <c r="O68" s="457">
        <v>5.24</v>
      </c>
      <c r="P68" s="457">
        <v>5.76</v>
      </c>
      <c r="Q68" s="460">
        <v>3.88</v>
      </c>
      <c r="R68" s="104">
        <v>950</v>
      </c>
      <c r="S68" s="63">
        <v>453.24</v>
      </c>
      <c r="T68" s="457">
        <v>2.73</v>
      </c>
      <c r="U68" s="457">
        <v>3.63</v>
      </c>
      <c r="V68" s="460">
        <v>4.17</v>
      </c>
      <c r="W68" s="5"/>
      <c r="X68" s="598">
        <v>950</v>
      </c>
      <c r="Y68" s="592">
        <f t="shared" si="53"/>
        <v>0.54799999999999993</v>
      </c>
      <c r="Z68" s="593">
        <v>9.6440000000000001</v>
      </c>
      <c r="AA68" s="593">
        <v>4.5170000000000003</v>
      </c>
      <c r="AB68" s="593">
        <f t="shared" si="54"/>
        <v>4.5789999999999997</v>
      </c>
      <c r="AC68" s="593">
        <f t="shared" si="55"/>
        <v>33.997000000000007</v>
      </c>
      <c r="AD68" s="653">
        <f t="shared" si="56"/>
        <v>196.410915865785</v>
      </c>
      <c r="AE68" s="598">
        <v>950</v>
      </c>
      <c r="AF68" s="595">
        <f t="shared" si="57"/>
        <v>0.23933333333333331</v>
      </c>
      <c r="AG68" s="593">
        <v>9.6440000000000001</v>
      </c>
      <c r="AH68" s="593">
        <v>4.5170000000000003</v>
      </c>
      <c r="AI68" s="593">
        <f t="shared" si="58"/>
        <v>4.8876666666666662</v>
      </c>
      <c r="AJ68" s="593">
        <f t="shared" si="59"/>
        <v>33.68833333333334</v>
      </c>
      <c r="AK68" s="653">
        <f t="shared" si="60"/>
        <v>207.74734749789164</v>
      </c>
      <c r="AL68" s="598">
        <v>950</v>
      </c>
      <c r="AM68" s="595">
        <f t="shared" si="61"/>
        <v>0.496</v>
      </c>
      <c r="AN68" s="593">
        <v>9.6440000000000001</v>
      </c>
      <c r="AO68" s="593">
        <v>4.5170000000000003</v>
      </c>
      <c r="AP68" s="593">
        <f t="shared" si="62"/>
        <v>4.6310000000000002</v>
      </c>
      <c r="AQ68" s="593">
        <f t="shared" si="63"/>
        <v>33.945000000000007</v>
      </c>
      <c r="AR68" s="698">
        <f t="shared" si="64"/>
        <v>198.33756450502503</v>
      </c>
      <c r="AS68" s="598">
        <v>950</v>
      </c>
      <c r="AT68" s="595">
        <f t="shared" si="65"/>
        <v>0.35099999999999998</v>
      </c>
      <c r="AU68" s="593">
        <v>9.6440000000000001</v>
      </c>
      <c r="AV68" s="593">
        <v>4.5170000000000003</v>
      </c>
      <c r="AW68" s="593">
        <f t="shared" si="66"/>
        <v>4.7759999999999998</v>
      </c>
      <c r="AX68" s="593">
        <f t="shared" si="67"/>
        <v>33.800000000000004</v>
      </c>
      <c r="AY68" s="698">
        <f t="shared" si="68"/>
        <v>203.67390981599999</v>
      </c>
      <c r="AZ68" s="75"/>
      <c r="BA68" s="598">
        <v>950</v>
      </c>
      <c r="BB68" s="593">
        <v>103.50685607036536</v>
      </c>
      <c r="BC68" s="667">
        <f>(BB78-BB79)/BB60</f>
        <v>0.90766934256153531</v>
      </c>
      <c r="BD68" s="714">
        <f>D68-BB76</f>
        <v>32.78000000000003</v>
      </c>
      <c r="BE68" s="667">
        <f>BB78-BB79</f>
        <v>93.949999999999989</v>
      </c>
      <c r="BF68" s="667">
        <f t="shared" si="69"/>
        <v>34.890899414582258</v>
      </c>
      <c r="BG68" s="668">
        <f t="shared" si="70"/>
        <v>31.669399733014536</v>
      </c>
      <c r="BH68" s="598">
        <v>950</v>
      </c>
      <c r="BI68" s="593">
        <v>103.50685607036536</v>
      </c>
      <c r="BJ68" s="667">
        <f>(BI78-BI79)/BI60</f>
        <v>1.3174006551537092</v>
      </c>
      <c r="BK68" s="714">
        <f>I68-BI76</f>
        <v>35.630000000000052</v>
      </c>
      <c r="BL68" s="667">
        <f>BI78-BI79</f>
        <v>136.36000000000001</v>
      </c>
      <c r="BM68" s="667">
        <f t="shared" si="71"/>
        <v>26.129363449692029</v>
      </c>
      <c r="BN68" s="668">
        <f t="shared" si="72"/>
        <v>34.422840527373658</v>
      </c>
      <c r="BO68" s="598">
        <v>950</v>
      </c>
      <c r="BP68" s="679">
        <v>103.50685607036536</v>
      </c>
      <c r="BQ68" s="667">
        <f>(BP78-BP79)/BP60</f>
        <v>0.94273948320547751</v>
      </c>
      <c r="BR68" s="714">
        <f>N68-BP76</f>
        <v>37.090000000000032</v>
      </c>
      <c r="BS68" s="667">
        <f>BP78-BP79</f>
        <v>97.579999999999984</v>
      </c>
      <c r="BT68" s="667">
        <f t="shared" si="73"/>
        <v>38.009838081574131</v>
      </c>
      <c r="BU68" s="710">
        <f t="shared" si="74"/>
        <v>35.833375109747074</v>
      </c>
      <c r="BV68" s="598">
        <v>950</v>
      </c>
      <c r="BW68" s="593">
        <v>103.50685607036536</v>
      </c>
      <c r="BX68" s="667">
        <f>(BW78-BW79)/BW60</f>
        <v>1.1880372437976796</v>
      </c>
      <c r="BY68" s="714">
        <f>S68-BW76</f>
        <v>42.210000000000036</v>
      </c>
      <c r="BZ68" s="667">
        <f>BW78-BW79</f>
        <v>122.96999999999998</v>
      </c>
      <c r="CA68" s="667">
        <f t="shared" si="75"/>
        <v>34.325445230544069</v>
      </c>
      <c r="CB68" s="668">
        <f t="shared" si="76"/>
        <v>40.77990734382378</v>
      </c>
      <c r="CC68" s="560"/>
    </row>
    <row r="69" spans="1:81" ht="15.75">
      <c r="A69" s="5"/>
      <c r="B69" s="59" t="s">
        <v>116</v>
      </c>
      <c r="C69" s="98">
        <v>1000</v>
      </c>
      <c r="D69" s="67">
        <v>413.14</v>
      </c>
      <c r="E69" s="91">
        <v>6.02</v>
      </c>
      <c r="F69" s="91">
        <v>5.76</v>
      </c>
      <c r="G69" s="92">
        <v>5.55</v>
      </c>
      <c r="H69" s="104">
        <v>1000</v>
      </c>
      <c r="I69" s="63">
        <v>458.51</v>
      </c>
      <c r="J69" s="454">
        <v>3.04</v>
      </c>
      <c r="K69" s="454">
        <v>2.62</v>
      </c>
      <c r="L69" s="456">
        <v>2.4300000000000002</v>
      </c>
      <c r="M69" s="104">
        <v>1000</v>
      </c>
      <c r="N69" s="63">
        <v>420.14</v>
      </c>
      <c r="O69" s="457">
        <v>5.36</v>
      </c>
      <c r="P69" s="457">
        <v>6.05</v>
      </c>
      <c r="Q69" s="460">
        <v>4.17</v>
      </c>
      <c r="R69" s="104">
        <v>1000</v>
      </c>
      <c r="S69" s="63">
        <v>452.73</v>
      </c>
      <c r="T69" s="457">
        <v>3.35</v>
      </c>
      <c r="U69" s="457">
        <v>3.39</v>
      </c>
      <c r="V69" s="460">
        <v>4.5999999999999996</v>
      </c>
      <c r="W69" s="5"/>
      <c r="X69" s="598">
        <v>1000</v>
      </c>
      <c r="Y69" s="592">
        <f t="shared" si="53"/>
        <v>0.57766666666666666</v>
      </c>
      <c r="Z69" s="593">
        <v>9.6440000000000001</v>
      </c>
      <c r="AA69" s="593">
        <v>4.5170000000000003</v>
      </c>
      <c r="AB69" s="593">
        <f t="shared" si="54"/>
        <v>4.5493333333333332</v>
      </c>
      <c r="AC69" s="593">
        <f t="shared" si="55"/>
        <v>34.026666666666671</v>
      </c>
      <c r="AD69" s="653">
        <f t="shared" si="56"/>
        <v>216.40851114666665</v>
      </c>
      <c r="AE69" s="598">
        <v>1000</v>
      </c>
      <c r="AF69" s="595">
        <f t="shared" si="57"/>
        <v>0.26966666666666667</v>
      </c>
      <c r="AG69" s="593">
        <v>9.6440000000000001</v>
      </c>
      <c r="AH69" s="593">
        <v>4.5170000000000003</v>
      </c>
      <c r="AI69" s="593">
        <f t="shared" si="58"/>
        <v>4.8573333333333331</v>
      </c>
      <c r="AJ69" s="593">
        <f t="shared" si="59"/>
        <v>33.718666666666671</v>
      </c>
      <c r="AK69" s="653">
        <f t="shared" si="60"/>
        <v>228.96835937066663</v>
      </c>
      <c r="AL69" s="598">
        <v>1000</v>
      </c>
      <c r="AM69" s="595">
        <f t="shared" si="61"/>
        <v>0.51933333333333331</v>
      </c>
      <c r="AN69" s="593">
        <v>9.6440000000000001</v>
      </c>
      <c r="AO69" s="593">
        <v>4.5170000000000003</v>
      </c>
      <c r="AP69" s="593">
        <f t="shared" si="62"/>
        <v>4.6076666666666668</v>
      </c>
      <c r="AQ69" s="593">
        <f t="shared" si="63"/>
        <v>33.968333333333341</v>
      </c>
      <c r="AR69" s="698">
        <f t="shared" si="64"/>
        <v>218.80763059666666</v>
      </c>
      <c r="AS69" s="598">
        <v>1000</v>
      </c>
      <c r="AT69" s="595">
        <f t="shared" si="65"/>
        <v>0.378</v>
      </c>
      <c r="AU69" s="593">
        <v>9.6440000000000001</v>
      </c>
      <c r="AV69" s="593">
        <v>4.5170000000000003</v>
      </c>
      <c r="AW69" s="593">
        <f t="shared" si="66"/>
        <v>4.7489999999999997</v>
      </c>
      <c r="AX69" s="593">
        <f t="shared" si="67"/>
        <v>33.827000000000005</v>
      </c>
      <c r="AY69" s="698">
        <f t="shared" si="68"/>
        <v>224.58090335399996</v>
      </c>
      <c r="AZ69" s="75"/>
      <c r="BA69" s="598">
        <v>1000</v>
      </c>
      <c r="BB69" s="593">
        <v>103.50685607036536</v>
      </c>
      <c r="BC69" s="667">
        <f>(BB78-BB79)/BB60</f>
        <v>0.90766934256153531</v>
      </c>
      <c r="BD69" s="714">
        <f>D69-BB76</f>
        <v>32.069999999999993</v>
      </c>
      <c r="BE69" s="667">
        <f>BB78-BB79</f>
        <v>93.949999999999989</v>
      </c>
      <c r="BF69" s="667">
        <f t="shared" si="69"/>
        <v>34.135178286322507</v>
      </c>
      <c r="BG69" s="668">
        <f t="shared" si="70"/>
        <v>30.983454833367144</v>
      </c>
      <c r="BH69" s="598">
        <v>1000</v>
      </c>
      <c r="BI69" s="593">
        <v>103.50685607036536</v>
      </c>
      <c r="BJ69" s="667">
        <f>(BI78-BI79)/BI60</f>
        <v>1.3174006551537092</v>
      </c>
      <c r="BK69" s="714">
        <f>I69-BI76</f>
        <v>35.100000000000023</v>
      </c>
      <c r="BL69" s="667">
        <f>BI78-BI79</f>
        <v>136.36000000000001</v>
      </c>
      <c r="BM69" s="667">
        <f t="shared" si="71"/>
        <v>25.740686418304502</v>
      </c>
      <c r="BN69" s="668">
        <f t="shared" si="72"/>
        <v>33.910797151580539</v>
      </c>
      <c r="BO69" s="598">
        <v>1000</v>
      </c>
      <c r="BP69" s="679">
        <v>103.50685607036536</v>
      </c>
      <c r="BQ69" s="667">
        <f>(BP78-BP79)/BP60</f>
        <v>0.94273948320547751</v>
      </c>
      <c r="BR69" s="714">
        <f>N69-BP76</f>
        <v>36.5</v>
      </c>
      <c r="BS69" s="667">
        <f>BP78-BP79</f>
        <v>97.579999999999984</v>
      </c>
      <c r="BT69" s="667">
        <f t="shared" si="73"/>
        <v>37.405205984832961</v>
      </c>
      <c r="BU69" s="710">
        <f t="shared" si="74"/>
        <v>35.263364559335862</v>
      </c>
      <c r="BV69" s="598">
        <v>1000</v>
      </c>
      <c r="BW69" s="593">
        <v>103.50685607036536</v>
      </c>
      <c r="BX69" s="667">
        <f>(BW78-BW79)/BW60</f>
        <v>1.1880372437976796</v>
      </c>
      <c r="BY69" s="714">
        <f>S69-BW76</f>
        <v>41.700000000000045</v>
      </c>
      <c r="BZ69" s="667">
        <f>BW78-BW79</f>
        <v>122.96999999999998</v>
      </c>
      <c r="CA69" s="667">
        <f t="shared" si="75"/>
        <v>33.910709929251077</v>
      </c>
      <c r="CB69" s="668">
        <f t="shared" si="76"/>
        <v>40.287186359570057</v>
      </c>
      <c r="CC69" s="560"/>
    </row>
    <row r="70" spans="1:81" ht="15.75">
      <c r="A70" s="5"/>
      <c r="B70" s="59" t="s">
        <v>116</v>
      </c>
      <c r="C70" s="98">
        <v>1350</v>
      </c>
      <c r="D70" s="67">
        <v>411.29</v>
      </c>
      <c r="E70" s="91">
        <v>7.54</v>
      </c>
      <c r="F70" s="91">
        <v>7.37</v>
      </c>
      <c r="G70" s="92">
        <v>7.44</v>
      </c>
      <c r="H70" s="104">
        <v>1350</v>
      </c>
      <c r="I70" s="63">
        <v>457.24</v>
      </c>
      <c r="J70" s="454">
        <v>4.1100000000000003</v>
      </c>
      <c r="K70" s="454">
        <v>3.21</v>
      </c>
      <c r="L70" s="456">
        <v>3.24</v>
      </c>
      <c r="M70" s="104">
        <v>1350</v>
      </c>
      <c r="N70" s="63">
        <v>418.73</v>
      </c>
      <c r="O70" s="457">
        <v>5.64</v>
      </c>
      <c r="P70" s="457">
        <v>6.19</v>
      </c>
      <c r="Q70" s="460">
        <v>5.25</v>
      </c>
      <c r="R70" s="104">
        <v>1350</v>
      </c>
      <c r="S70" s="63">
        <v>451.44</v>
      </c>
      <c r="T70" s="457">
        <v>4.12</v>
      </c>
      <c r="U70" s="457">
        <v>4.3600000000000003</v>
      </c>
      <c r="V70" s="460">
        <v>5.68</v>
      </c>
      <c r="W70" s="5"/>
      <c r="X70" s="598">
        <v>1350</v>
      </c>
      <c r="Y70" s="592">
        <f t="shared" si="53"/>
        <v>0.745</v>
      </c>
      <c r="Z70" s="593">
        <v>9.6440000000000001</v>
      </c>
      <c r="AA70" s="593">
        <v>4.5170000000000003</v>
      </c>
      <c r="AB70" s="593">
        <f t="shared" si="54"/>
        <v>4.3819999999999997</v>
      </c>
      <c r="AC70" s="593">
        <f t="shared" si="55"/>
        <v>34.194000000000003</v>
      </c>
      <c r="AD70" s="653">
        <f t="shared" si="56"/>
        <v>381.76577265833998</v>
      </c>
      <c r="AE70" s="598">
        <v>1350</v>
      </c>
      <c r="AF70" s="595">
        <f t="shared" si="57"/>
        <v>0.35199999999999998</v>
      </c>
      <c r="AG70" s="593">
        <v>9.6440000000000001</v>
      </c>
      <c r="AH70" s="593">
        <v>4.5170000000000003</v>
      </c>
      <c r="AI70" s="593">
        <f t="shared" si="58"/>
        <v>4.7749999999999995</v>
      </c>
      <c r="AJ70" s="593">
        <f t="shared" si="59"/>
        <v>33.801000000000002</v>
      </c>
      <c r="AK70" s="653">
        <f t="shared" si="60"/>
        <v>411.22322373262494</v>
      </c>
      <c r="AL70" s="598">
        <v>1350</v>
      </c>
      <c r="AM70" s="595">
        <f t="shared" si="61"/>
        <v>0.56933333333333325</v>
      </c>
      <c r="AN70" s="593">
        <v>9.6440000000000001</v>
      </c>
      <c r="AO70" s="593">
        <v>4.5170000000000003</v>
      </c>
      <c r="AP70" s="593">
        <f t="shared" si="62"/>
        <v>4.5576666666666661</v>
      </c>
      <c r="AQ70" s="593">
        <f t="shared" si="63"/>
        <v>34.018333333333338</v>
      </c>
      <c r="AR70" s="698">
        <f t="shared" si="64"/>
        <v>395.03020105642497</v>
      </c>
      <c r="AS70" s="598">
        <v>1350</v>
      </c>
      <c r="AT70" s="595">
        <f t="shared" si="65"/>
        <v>0.47199999999999998</v>
      </c>
      <c r="AU70" s="593">
        <v>9.6440000000000001</v>
      </c>
      <c r="AV70" s="593">
        <v>4.5170000000000003</v>
      </c>
      <c r="AW70" s="593">
        <f t="shared" si="66"/>
        <v>4.6549999999999994</v>
      </c>
      <c r="AX70" s="593">
        <f t="shared" si="67"/>
        <v>33.921000000000006</v>
      </c>
      <c r="AY70" s="698">
        <f t="shared" si="68"/>
        <v>402.31204991302496</v>
      </c>
      <c r="AZ70" s="75"/>
      <c r="BA70" s="598">
        <v>1350</v>
      </c>
      <c r="BB70" s="593">
        <v>103.50685607036536</v>
      </c>
      <c r="BC70" s="667">
        <f>(BB78-BB79)/BB60</f>
        <v>0.90766934256153531</v>
      </c>
      <c r="BD70" s="714">
        <f>D70-BB76</f>
        <v>30.220000000000027</v>
      </c>
      <c r="BE70" s="667">
        <f>BB78-BB79</f>
        <v>93.949999999999989</v>
      </c>
      <c r="BF70" s="667">
        <f t="shared" si="69"/>
        <v>32.166045769026105</v>
      </c>
      <c r="BG70" s="668">
        <f t="shared" si="70"/>
        <v>29.19613361597618</v>
      </c>
      <c r="BH70" s="598">
        <v>1350</v>
      </c>
      <c r="BI70" s="593">
        <v>103.50685607036536</v>
      </c>
      <c r="BJ70" s="667">
        <f>(BI78-BI79)/BI60</f>
        <v>1.3174006551537092</v>
      </c>
      <c r="BK70" s="714">
        <f>I70-BI76</f>
        <v>33.830000000000041</v>
      </c>
      <c r="BL70" s="667">
        <f>BI78-BI79</f>
        <v>136.36000000000001</v>
      </c>
      <c r="BM70" s="667">
        <f t="shared" si="71"/>
        <v>24.809328248753328</v>
      </c>
      <c r="BN70" s="668">
        <f t="shared" si="72"/>
        <v>32.683825288831059</v>
      </c>
      <c r="BO70" s="598">
        <v>1350</v>
      </c>
      <c r="BP70" s="679">
        <v>103.50685607036536</v>
      </c>
      <c r="BQ70" s="667">
        <f>(BP78-BP79)/BP60</f>
        <v>0.94273948320547751</v>
      </c>
      <c r="BR70" s="714">
        <f>N70-BP76</f>
        <v>35.090000000000032</v>
      </c>
      <c r="BS70" s="667">
        <f>BP78-BP79</f>
        <v>97.579999999999984</v>
      </c>
      <c r="BT70" s="667">
        <f t="shared" si="73"/>
        <v>35.960237753638083</v>
      </c>
      <c r="BU70" s="710">
        <f t="shared" si="74"/>
        <v>33.901135955810865</v>
      </c>
      <c r="BV70" s="598">
        <v>1350</v>
      </c>
      <c r="BW70" s="593">
        <v>103.50685607036536</v>
      </c>
      <c r="BX70" s="667">
        <f>(BW78-BW79)/BW60</f>
        <v>1.1880372437976796</v>
      </c>
      <c r="BY70" s="714">
        <f>S70-BW76</f>
        <v>40.410000000000025</v>
      </c>
      <c r="BZ70" s="667">
        <f>BW78-BW79</f>
        <v>122.96999999999998</v>
      </c>
      <c r="CA70" s="667">
        <f t="shared" si="75"/>
        <v>32.86167357892171</v>
      </c>
      <c r="CB70" s="668">
        <f t="shared" si="76"/>
        <v>39.040892105281181</v>
      </c>
      <c r="CC70" s="560"/>
    </row>
    <row r="71" spans="1:81" ht="15.75">
      <c r="A71" s="5"/>
      <c r="B71" s="59" t="s">
        <v>116</v>
      </c>
      <c r="C71" s="98">
        <v>2500</v>
      </c>
      <c r="D71" s="67">
        <v>406.86</v>
      </c>
      <c r="E71" s="91">
        <v>12.42</v>
      </c>
      <c r="F71" s="91">
        <v>12.6</v>
      </c>
      <c r="G71" s="92">
        <v>12.63</v>
      </c>
      <c r="H71" s="104">
        <v>2500</v>
      </c>
      <c r="I71" s="63">
        <v>453.85</v>
      </c>
      <c r="J71" s="454">
        <v>6.46</v>
      </c>
      <c r="K71" s="454">
        <v>5.45</v>
      </c>
      <c r="L71" s="456">
        <v>5.32</v>
      </c>
      <c r="M71" s="104">
        <v>2500</v>
      </c>
      <c r="N71" s="63">
        <v>414.62</v>
      </c>
      <c r="O71" s="457">
        <v>9.85</v>
      </c>
      <c r="P71" s="457">
        <v>9.7200000000000006</v>
      </c>
      <c r="Q71" s="460">
        <v>8.2100000000000009</v>
      </c>
      <c r="R71" s="104">
        <v>2500</v>
      </c>
      <c r="S71" s="63">
        <v>448.78</v>
      </c>
      <c r="T71" s="457">
        <v>5.76</v>
      </c>
      <c r="U71" s="457">
        <v>6.9</v>
      </c>
      <c r="V71" s="460">
        <v>7.88</v>
      </c>
      <c r="W71" s="5"/>
      <c r="X71" s="598">
        <v>2500</v>
      </c>
      <c r="Y71" s="592">
        <f t="shared" si="53"/>
        <v>1.2549999999999999</v>
      </c>
      <c r="Z71" s="593">
        <v>9.6440000000000001</v>
      </c>
      <c r="AA71" s="593">
        <v>4.5170000000000003</v>
      </c>
      <c r="AB71" s="593">
        <f t="shared" si="54"/>
        <v>3.8719999999999999</v>
      </c>
      <c r="AC71" s="593">
        <f t="shared" si="55"/>
        <v>34.704000000000008</v>
      </c>
      <c r="AD71" s="653">
        <f t="shared" si="56"/>
        <v>1174.0918464000001</v>
      </c>
      <c r="AE71" s="598">
        <v>2500</v>
      </c>
      <c r="AF71" s="595">
        <f t="shared" si="57"/>
        <v>0.57433333333333336</v>
      </c>
      <c r="AG71" s="593">
        <v>9.6440000000000001</v>
      </c>
      <c r="AH71" s="593">
        <v>4.5170000000000003</v>
      </c>
      <c r="AI71" s="593">
        <f t="shared" si="58"/>
        <v>4.5526666666666662</v>
      </c>
      <c r="AJ71" s="593">
        <f t="shared" si="59"/>
        <v>34.023333333333341</v>
      </c>
      <c r="AK71" s="653">
        <f t="shared" si="60"/>
        <v>1353.4116249166668</v>
      </c>
      <c r="AL71" s="598">
        <v>2500</v>
      </c>
      <c r="AM71" s="595">
        <f t="shared" si="61"/>
        <v>0.92599999999999993</v>
      </c>
      <c r="AN71" s="593">
        <v>9.6440000000000001</v>
      </c>
      <c r="AO71" s="593">
        <v>4.5170000000000003</v>
      </c>
      <c r="AP71" s="593">
        <f t="shared" si="62"/>
        <v>4.2009999999999996</v>
      </c>
      <c r="AQ71" s="593">
        <f t="shared" si="63"/>
        <v>34.375000000000007</v>
      </c>
      <c r="AR71" s="698">
        <f t="shared" si="64"/>
        <v>1261.7769140625001</v>
      </c>
      <c r="AS71" s="598">
        <v>2500</v>
      </c>
      <c r="AT71" s="595">
        <f t="shared" si="65"/>
        <v>0.68466666666666665</v>
      </c>
      <c r="AU71" s="593">
        <v>9.6440000000000001</v>
      </c>
      <c r="AV71" s="593">
        <v>4.5170000000000003</v>
      </c>
      <c r="AW71" s="593">
        <f t="shared" si="66"/>
        <v>4.442333333333333</v>
      </c>
      <c r="AX71" s="593">
        <f t="shared" si="67"/>
        <v>34.13366666666667</v>
      </c>
      <c r="AY71" s="698">
        <f t="shared" si="68"/>
        <v>1324.8944316291665</v>
      </c>
      <c r="AZ71" s="75"/>
      <c r="BA71" s="598">
        <v>2500</v>
      </c>
      <c r="BB71" s="593">
        <v>103.50685607036536</v>
      </c>
      <c r="BC71" s="667">
        <f>(BB78-BB79)/BB60</f>
        <v>0.90766934256153531</v>
      </c>
      <c r="BD71" s="714">
        <f>D71-BB76</f>
        <v>25.79000000000002</v>
      </c>
      <c r="BE71" s="667">
        <f>BB78-BB79</f>
        <v>93.949999999999989</v>
      </c>
      <c r="BF71" s="667">
        <f t="shared" si="69"/>
        <v>27.450771687067615</v>
      </c>
      <c r="BG71" s="668">
        <f t="shared" si="70"/>
        <v>24.916223890007469</v>
      </c>
      <c r="BH71" s="598">
        <v>2500</v>
      </c>
      <c r="BI71" s="593">
        <v>103.50685607036536</v>
      </c>
      <c r="BJ71" s="667">
        <f>(BI78-BI79)/BI60</f>
        <v>1.3174006551537092</v>
      </c>
      <c r="BK71" s="714">
        <f>I71-BI76</f>
        <v>30.440000000000055</v>
      </c>
      <c r="BL71" s="667">
        <f>BI78-BI79</f>
        <v>136.36000000000001</v>
      </c>
      <c r="BM71" s="667">
        <f t="shared" si="71"/>
        <v>22.323261953652136</v>
      </c>
      <c r="BN71" s="668">
        <f t="shared" si="72"/>
        <v>29.408679922909194</v>
      </c>
      <c r="BO71" s="598">
        <v>2500</v>
      </c>
      <c r="BP71" s="679">
        <v>103.50685607036536</v>
      </c>
      <c r="BQ71" s="667">
        <f>(BP78-BP79)/BP60</f>
        <v>0.94273948320547751</v>
      </c>
      <c r="BR71" s="714">
        <f>N71-BP76</f>
        <v>30.980000000000018</v>
      </c>
      <c r="BS71" s="667">
        <f>BP78-BP79</f>
        <v>97.579999999999984</v>
      </c>
      <c r="BT71" s="667">
        <f t="shared" si="73"/>
        <v>31.748309079729474</v>
      </c>
      <c r="BU71" s="710">
        <f t="shared" si="74"/>
        <v>29.930384494471934</v>
      </c>
      <c r="BV71" s="598">
        <v>2500</v>
      </c>
      <c r="BW71" s="593">
        <v>103.50685607036536</v>
      </c>
      <c r="BX71" s="667">
        <f>(BW78-BW79)/BW60</f>
        <v>1.1880372437976796</v>
      </c>
      <c r="BY71" s="714">
        <f>S71-BW76</f>
        <v>37.75</v>
      </c>
      <c r="BZ71" s="667">
        <f>BW78-BW79</f>
        <v>122.96999999999998</v>
      </c>
      <c r="CA71" s="667">
        <f t="shared" si="75"/>
        <v>30.698544360413109</v>
      </c>
      <c r="CB71" s="668">
        <f t="shared" si="76"/>
        <v>36.471014030545994</v>
      </c>
      <c r="CC71" s="560"/>
    </row>
    <row r="72" spans="1:81" ht="15.75">
      <c r="A72" s="5"/>
      <c r="B72" s="59" t="s">
        <v>116</v>
      </c>
      <c r="C72" s="98">
        <v>5000</v>
      </c>
      <c r="D72" s="67">
        <v>401.73</v>
      </c>
      <c r="E72" s="91">
        <v>17.899999999999999</v>
      </c>
      <c r="F72" s="91">
        <v>18.28</v>
      </c>
      <c r="G72" s="92">
        <v>18.64</v>
      </c>
      <c r="H72" s="104">
        <v>5000</v>
      </c>
      <c r="I72" s="63">
        <v>449.26</v>
      </c>
      <c r="J72" s="454">
        <v>9.15</v>
      </c>
      <c r="K72" s="454">
        <v>8.52</v>
      </c>
      <c r="L72" s="456">
        <v>8.27</v>
      </c>
      <c r="M72" s="104">
        <v>5000</v>
      </c>
      <c r="N72" s="63">
        <v>409.46</v>
      </c>
      <c r="O72" s="457">
        <v>14.03</v>
      </c>
      <c r="P72" s="457">
        <v>13.61</v>
      </c>
      <c r="Q72" s="460">
        <v>12.19</v>
      </c>
      <c r="R72" s="104">
        <v>5000</v>
      </c>
      <c r="S72" s="63">
        <v>445.56</v>
      </c>
      <c r="T72" s="457">
        <v>8.57</v>
      </c>
      <c r="U72" s="457">
        <v>9.35</v>
      </c>
      <c r="V72" s="460">
        <v>9.4</v>
      </c>
      <c r="W72" s="5"/>
      <c r="X72" s="598">
        <v>5000</v>
      </c>
      <c r="Y72" s="592">
        <f t="shared" si="53"/>
        <v>1.8273333333333333</v>
      </c>
      <c r="Z72" s="593">
        <v>9.6440000000000001</v>
      </c>
      <c r="AA72" s="593">
        <v>4.5170000000000003</v>
      </c>
      <c r="AB72" s="593">
        <f t="shared" si="54"/>
        <v>3.299666666666667</v>
      </c>
      <c r="AC72" s="593">
        <f t="shared" si="55"/>
        <v>35.276333333333341</v>
      </c>
      <c r="AD72" s="653">
        <f t="shared" si="56"/>
        <v>4068.184935716667</v>
      </c>
      <c r="AE72" s="598">
        <v>5000</v>
      </c>
      <c r="AF72" s="595">
        <f t="shared" si="57"/>
        <v>0.86466666666666669</v>
      </c>
      <c r="AG72" s="593">
        <v>9.6440000000000001</v>
      </c>
      <c r="AH72" s="593">
        <v>4.5170000000000003</v>
      </c>
      <c r="AI72" s="593">
        <f t="shared" si="58"/>
        <v>4.2623333333333333</v>
      </c>
      <c r="AJ72" s="593">
        <f t="shared" si="59"/>
        <v>34.31366666666667</v>
      </c>
      <c r="AK72" s="653">
        <f t="shared" si="60"/>
        <v>5111.6571685166673</v>
      </c>
      <c r="AL72" s="598">
        <v>5000</v>
      </c>
      <c r="AM72" s="595">
        <f t="shared" si="61"/>
        <v>1.3276666666666666</v>
      </c>
      <c r="AN72" s="593">
        <v>9.6440000000000001</v>
      </c>
      <c r="AO72" s="593">
        <v>4.5170000000000003</v>
      </c>
      <c r="AP72" s="593">
        <f t="shared" si="62"/>
        <v>3.7993333333333332</v>
      </c>
      <c r="AQ72" s="593">
        <f t="shared" si="63"/>
        <v>34.776666666666671</v>
      </c>
      <c r="AR72" s="698">
        <f t="shared" si="64"/>
        <v>4617.8788036666665</v>
      </c>
      <c r="AS72" s="598">
        <v>5000</v>
      </c>
      <c r="AT72" s="595">
        <f t="shared" si="65"/>
        <v>0.91066666666666674</v>
      </c>
      <c r="AU72" s="593">
        <v>9.6440000000000001</v>
      </c>
      <c r="AV72" s="593">
        <v>4.5170000000000003</v>
      </c>
      <c r="AW72" s="593">
        <f t="shared" si="66"/>
        <v>4.216333333333333</v>
      </c>
      <c r="AX72" s="593">
        <f t="shared" si="67"/>
        <v>34.359666666666669</v>
      </c>
      <c r="AY72" s="698">
        <f t="shared" si="68"/>
        <v>5063.2696857166657</v>
      </c>
      <c r="AZ72" s="75"/>
      <c r="BA72" s="598">
        <v>5000</v>
      </c>
      <c r="BB72" s="593">
        <v>103.50685607036536</v>
      </c>
      <c r="BC72" s="667">
        <f>(BB78-BB79)/BB60</f>
        <v>0.90766934256153531</v>
      </c>
      <c r="BD72" s="714">
        <f>D72-BB76</f>
        <v>20.660000000000025</v>
      </c>
      <c r="BE72" s="667">
        <f>BB78-BB79</f>
        <v>93.949999999999989</v>
      </c>
      <c r="BF72" s="667">
        <f t="shared" si="69"/>
        <v>21.990420436402371</v>
      </c>
      <c r="BG72" s="668">
        <f t="shared" si="70"/>
        <v>19.960030460161089</v>
      </c>
      <c r="BH72" s="598">
        <v>5000</v>
      </c>
      <c r="BI72" s="593">
        <v>103.50685607036536</v>
      </c>
      <c r="BJ72" s="667">
        <f>(BI78-BI79)/BI60</f>
        <v>1.3174006551537092</v>
      </c>
      <c r="BK72" s="714">
        <f>I72-BI76</f>
        <v>25.850000000000023</v>
      </c>
      <c r="BL72" s="667">
        <f>BI78-BI79</f>
        <v>136.36000000000001</v>
      </c>
      <c r="BM72" s="667">
        <f t="shared" si="71"/>
        <v>18.957172191258447</v>
      </c>
      <c r="BN72" s="668">
        <f t="shared" si="72"/>
        <v>24.974191064625554</v>
      </c>
      <c r="BO72" s="598">
        <v>5000</v>
      </c>
      <c r="BP72" s="679">
        <v>103.50685607036536</v>
      </c>
      <c r="BQ72" s="667">
        <f>(BP78-BP79)/BP60</f>
        <v>0.94273948320547751</v>
      </c>
      <c r="BR72" s="714">
        <f>N72-BP76</f>
        <v>25.819999999999993</v>
      </c>
      <c r="BS72" s="667">
        <f>BP78-BP79</f>
        <v>97.579999999999984</v>
      </c>
      <c r="BT72" s="667">
        <f t="shared" si="73"/>
        <v>26.460340233654435</v>
      </c>
      <c r="BU72" s="710">
        <f t="shared" si="74"/>
        <v>24.945207477316487</v>
      </c>
      <c r="BV72" s="598">
        <v>5000</v>
      </c>
      <c r="BW72" s="593">
        <v>103.50685607036536</v>
      </c>
      <c r="BX72" s="667">
        <f>(BW78-BW79)/BW60</f>
        <v>1.1880372437976796</v>
      </c>
      <c r="BY72" s="714">
        <f>S72-BW76</f>
        <v>34.53000000000003</v>
      </c>
      <c r="BZ72" s="667">
        <f>BW78-BW79</f>
        <v>122.96999999999998</v>
      </c>
      <c r="CA72" s="667">
        <f t="shared" si="75"/>
        <v>28.080019516955385</v>
      </c>
      <c r="CB72" s="668">
        <f t="shared" si="76"/>
        <v>33.360108992708724</v>
      </c>
      <c r="CC72" s="560"/>
    </row>
    <row r="73" spans="1:81" ht="15.75">
      <c r="A73" s="5"/>
      <c r="B73" s="59" t="s">
        <v>116</v>
      </c>
      <c r="C73" s="98">
        <v>7000</v>
      </c>
      <c r="D73" s="67">
        <v>399.09</v>
      </c>
      <c r="E73" s="91">
        <v>19.39</v>
      </c>
      <c r="F73" s="91">
        <v>18.670000000000002</v>
      </c>
      <c r="G73" s="92">
        <v>21.27</v>
      </c>
      <c r="H73" s="104">
        <v>7000</v>
      </c>
      <c r="I73" s="63">
        <v>446.29</v>
      </c>
      <c r="J73" s="454">
        <v>10.71</v>
      </c>
      <c r="K73" s="454">
        <v>10.06</v>
      </c>
      <c r="L73" s="456">
        <v>9.85</v>
      </c>
      <c r="M73" s="104">
        <v>7000</v>
      </c>
      <c r="N73" s="63">
        <v>407.15</v>
      </c>
      <c r="O73" s="457">
        <v>17.079999999999998</v>
      </c>
      <c r="P73" s="457">
        <v>15.86</v>
      </c>
      <c r="Q73" s="460">
        <v>14.41</v>
      </c>
      <c r="R73" s="104">
        <v>7000</v>
      </c>
      <c r="S73" s="63">
        <v>442.5</v>
      </c>
      <c r="T73" s="457">
        <v>10.07</v>
      </c>
      <c r="U73" s="457">
        <v>10.71</v>
      </c>
      <c r="V73" s="460">
        <v>13.29</v>
      </c>
      <c r="W73" s="5"/>
      <c r="X73" s="598">
        <v>7000</v>
      </c>
      <c r="Y73" s="592">
        <f t="shared" si="53"/>
        <v>1.9776666666666667</v>
      </c>
      <c r="Z73" s="593">
        <v>9.6440000000000001</v>
      </c>
      <c r="AA73" s="593">
        <v>4.5170000000000003</v>
      </c>
      <c r="AB73" s="593">
        <f t="shared" si="54"/>
        <v>3.1493333333333329</v>
      </c>
      <c r="AC73" s="593">
        <f t="shared" si="55"/>
        <v>35.426666666666669</v>
      </c>
      <c r="AD73" s="653">
        <f t="shared" si="56"/>
        <v>7642.794322986666</v>
      </c>
      <c r="AE73" s="598">
        <v>7000</v>
      </c>
      <c r="AF73" s="595">
        <f t="shared" si="57"/>
        <v>1.0206666666666668</v>
      </c>
      <c r="AG73" s="593">
        <v>9.6440000000000001</v>
      </c>
      <c r="AH73" s="593">
        <v>4.5170000000000003</v>
      </c>
      <c r="AI73" s="593">
        <f t="shared" si="58"/>
        <v>4.1063333333333327</v>
      </c>
      <c r="AJ73" s="593">
        <f t="shared" si="59"/>
        <v>34.469666666666669</v>
      </c>
      <c r="AK73" s="653">
        <f t="shared" si="60"/>
        <v>9696.0430616046651</v>
      </c>
      <c r="AL73" s="598">
        <v>7000</v>
      </c>
      <c r="AM73" s="595">
        <f t="shared" si="61"/>
        <v>1.5783333333333331</v>
      </c>
      <c r="AN73" s="593">
        <v>9.6440000000000001</v>
      </c>
      <c r="AO73" s="593">
        <v>4.5170000000000003</v>
      </c>
      <c r="AP73" s="593">
        <f t="shared" si="62"/>
        <v>3.5486666666666666</v>
      </c>
      <c r="AQ73" s="593">
        <f t="shared" si="63"/>
        <v>35.027333333333338</v>
      </c>
      <c r="AR73" s="698">
        <f t="shared" si="64"/>
        <v>8514.8212208826662</v>
      </c>
      <c r="AS73" s="598">
        <v>7000</v>
      </c>
      <c r="AT73" s="595">
        <f t="shared" si="65"/>
        <v>1.1356666666666668</v>
      </c>
      <c r="AU73" s="593">
        <v>9.6440000000000001</v>
      </c>
      <c r="AV73" s="593">
        <v>4.5170000000000003</v>
      </c>
      <c r="AW73" s="593">
        <f t="shared" si="66"/>
        <v>3.9913333333333334</v>
      </c>
      <c r="AX73" s="593">
        <f t="shared" si="67"/>
        <v>34.584666666666671</v>
      </c>
      <c r="AY73" s="698">
        <f t="shared" si="68"/>
        <v>9455.9429807546676</v>
      </c>
      <c r="AZ73" s="75"/>
      <c r="BA73" s="598">
        <v>7000</v>
      </c>
      <c r="BB73" s="593">
        <v>103.50685607036536</v>
      </c>
      <c r="BC73" s="667">
        <f>(BB78-BB79)/BB60</f>
        <v>0.90766934256153531</v>
      </c>
      <c r="BD73" s="714">
        <f>D73-BB76</f>
        <v>18.019999999999982</v>
      </c>
      <c r="BE73" s="667">
        <f>BB78-BB79</f>
        <v>93.949999999999989</v>
      </c>
      <c r="BF73" s="667">
        <f t="shared" si="69"/>
        <v>19.180415114422548</v>
      </c>
      <c r="BG73" s="668">
        <f t="shared" si="70"/>
        <v>17.409474776965251</v>
      </c>
      <c r="BH73" s="598">
        <v>7000</v>
      </c>
      <c r="BI73" s="593">
        <v>103.50685607036536</v>
      </c>
      <c r="BJ73" s="667">
        <f>(BI78-BI79)/BI60</f>
        <v>1.3174006551537092</v>
      </c>
      <c r="BK73" s="714">
        <f>I73-BI76</f>
        <v>22.880000000000052</v>
      </c>
      <c r="BL73" s="667">
        <f>BI78-BI79</f>
        <v>136.36000000000001</v>
      </c>
      <c r="BM73" s="667">
        <f t="shared" si="71"/>
        <v>16.779114109709628</v>
      </c>
      <c r="BN73" s="668">
        <f t="shared" si="72"/>
        <v>22.104815921030308</v>
      </c>
      <c r="BO73" s="598">
        <v>7000</v>
      </c>
      <c r="BP73" s="679">
        <v>103.50685607036536</v>
      </c>
      <c r="BQ73" s="667">
        <f>(BP78-BP79)/BP60</f>
        <v>0.94273948320547751</v>
      </c>
      <c r="BR73" s="714">
        <f>N73-BP76</f>
        <v>23.509999999999991</v>
      </c>
      <c r="BS73" s="667">
        <f>BP78-BP79</f>
        <v>97.579999999999984</v>
      </c>
      <c r="BT73" s="667">
        <f t="shared" si="73"/>
        <v>24.093051854888291</v>
      </c>
      <c r="BU73" s="710">
        <f t="shared" si="74"/>
        <v>22.713471254520158</v>
      </c>
      <c r="BV73" s="598">
        <v>7000</v>
      </c>
      <c r="BW73" s="593">
        <v>103.50685607036536</v>
      </c>
      <c r="BX73" s="667">
        <f>(BW78-BW79)/BW60</f>
        <v>1.1880372437976796</v>
      </c>
      <c r="BY73" s="714">
        <f>S73-BW76</f>
        <v>31.470000000000027</v>
      </c>
      <c r="BZ73" s="667">
        <f>BW78-BW79</f>
        <v>122.96999999999998</v>
      </c>
      <c r="CA73" s="667">
        <f t="shared" si="75"/>
        <v>25.59160770919739</v>
      </c>
      <c r="CB73" s="668">
        <f t="shared" si="76"/>
        <v>30.403783087186316</v>
      </c>
      <c r="CC73" s="560"/>
    </row>
    <row r="74" spans="1:81" ht="15.75">
      <c r="A74" s="5"/>
      <c r="B74" s="59" t="s">
        <v>116</v>
      </c>
      <c r="C74" s="98">
        <v>9000</v>
      </c>
      <c r="D74" s="67">
        <v>397.07</v>
      </c>
      <c r="E74" s="93">
        <v>20.56</v>
      </c>
      <c r="F74" s="93">
        <v>20.76</v>
      </c>
      <c r="G74" s="94">
        <v>21.86</v>
      </c>
      <c r="H74" s="104">
        <v>9000</v>
      </c>
      <c r="I74" s="63">
        <v>444.17</v>
      </c>
      <c r="J74" s="454">
        <v>11.95</v>
      </c>
      <c r="K74" s="454">
        <v>11.16</v>
      </c>
      <c r="L74" s="456">
        <v>10.87</v>
      </c>
      <c r="M74" s="104">
        <v>9000</v>
      </c>
      <c r="N74" s="63">
        <v>405.32</v>
      </c>
      <c r="O74" s="457">
        <v>16.95</v>
      </c>
      <c r="P74" s="457">
        <v>16.84</v>
      </c>
      <c r="Q74" s="460">
        <v>15.63</v>
      </c>
      <c r="R74" s="104">
        <v>9000</v>
      </c>
      <c r="S74" s="63">
        <v>437.23</v>
      </c>
      <c r="T74" s="457">
        <v>12.91</v>
      </c>
      <c r="U74" s="457">
        <v>13.41</v>
      </c>
      <c r="V74" s="460">
        <v>14.62</v>
      </c>
      <c r="W74" s="5"/>
      <c r="X74" s="598">
        <v>9000</v>
      </c>
      <c r="Y74" s="592">
        <f t="shared" si="53"/>
        <v>2.1059999999999999</v>
      </c>
      <c r="Z74" s="593">
        <v>9.6440000000000001</v>
      </c>
      <c r="AA74" s="593">
        <v>4.5170000000000003</v>
      </c>
      <c r="AB74" s="593">
        <f t="shared" si="54"/>
        <v>3.0209999999999999</v>
      </c>
      <c r="AC74" s="593">
        <f t="shared" si="55"/>
        <v>35.555000000000007</v>
      </c>
      <c r="AD74" s="653">
        <f t="shared" si="56"/>
        <v>12163.08098889</v>
      </c>
      <c r="AE74" s="598">
        <v>9000</v>
      </c>
      <c r="AF74" s="595">
        <f t="shared" si="57"/>
        <v>1.1326666666666667</v>
      </c>
      <c r="AG74" s="593">
        <v>9.6440000000000001</v>
      </c>
      <c r="AH74" s="593">
        <v>4.5170000000000003</v>
      </c>
      <c r="AI74" s="593">
        <f t="shared" si="58"/>
        <v>3.9943333333333335</v>
      </c>
      <c r="AJ74" s="593">
        <f t="shared" si="59"/>
        <v>34.581666666666671</v>
      </c>
      <c r="AK74" s="653">
        <f t="shared" si="60"/>
        <v>15641.64464697</v>
      </c>
      <c r="AL74" s="598">
        <v>9000</v>
      </c>
      <c r="AM74" s="595">
        <f t="shared" si="61"/>
        <v>1.6473333333333333</v>
      </c>
      <c r="AN74" s="593">
        <v>9.6440000000000001</v>
      </c>
      <c r="AO74" s="593">
        <v>4.5170000000000003</v>
      </c>
      <c r="AP74" s="593">
        <f t="shared" si="62"/>
        <v>3.4796666666666667</v>
      </c>
      <c r="AQ74" s="593">
        <f t="shared" si="63"/>
        <v>35.096333333333341</v>
      </c>
      <c r="AR74" s="698">
        <f t="shared" si="64"/>
        <v>13829.025560922002</v>
      </c>
      <c r="AS74" s="598">
        <v>9000</v>
      </c>
      <c r="AT74" s="595">
        <f t="shared" si="65"/>
        <v>1.3646666666666667</v>
      </c>
      <c r="AU74" s="593">
        <v>9.6440000000000001</v>
      </c>
      <c r="AV74" s="593">
        <v>4.5170000000000003</v>
      </c>
      <c r="AW74" s="593">
        <f t="shared" si="66"/>
        <v>3.7623333333333333</v>
      </c>
      <c r="AX74" s="593">
        <f t="shared" si="67"/>
        <v>34.81366666666667</v>
      </c>
      <c r="AY74" s="698">
        <f t="shared" si="68"/>
        <v>14831.983283993999</v>
      </c>
      <c r="AZ74" s="75"/>
      <c r="BA74" s="598">
        <v>9000</v>
      </c>
      <c r="BB74" s="593">
        <v>103.50685607036536</v>
      </c>
      <c r="BC74" s="667">
        <f>(BB78-BB79)/BB60</f>
        <v>0.90766934256153531</v>
      </c>
      <c r="BD74" s="714">
        <f>D74-BB76</f>
        <v>16</v>
      </c>
      <c r="BE74" s="667">
        <f>BB78-BB79</f>
        <v>93.949999999999989</v>
      </c>
      <c r="BF74" s="667">
        <f t="shared" si="69"/>
        <v>17.030335284725918</v>
      </c>
      <c r="BG74" s="668">
        <f t="shared" si="70"/>
        <v>15.457913231489691</v>
      </c>
      <c r="BH74" s="598">
        <v>9000</v>
      </c>
      <c r="BI74" s="593">
        <v>103.50685607036536</v>
      </c>
      <c r="BJ74" s="667">
        <f>(BI78-BI79)/BI60</f>
        <v>1.3174006551537092</v>
      </c>
      <c r="BK74" s="714">
        <f>I74-BI76</f>
        <v>20.760000000000048</v>
      </c>
      <c r="BL74" s="667">
        <f>BI78-BI79</f>
        <v>136.36000000000001</v>
      </c>
      <c r="BM74" s="667">
        <f t="shared" si="71"/>
        <v>15.224405984159612</v>
      </c>
      <c r="BN74" s="668">
        <f t="shared" si="72"/>
        <v>20.056642417857923</v>
      </c>
      <c r="BO74" s="598">
        <v>9000</v>
      </c>
      <c r="BP74" s="679">
        <v>103.50685607036536</v>
      </c>
      <c r="BQ74" s="667">
        <f>(BP78-BP79)/BP60</f>
        <v>0.94273948320547751</v>
      </c>
      <c r="BR74" s="714">
        <f>N74-BP76</f>
        <v>21.680000000000007</v>
      </c>
      <c r="BS74" s="667">
        <f>BP78-BP79</f>
        <v>97.579999999999984</v>
      </c>
      <c r="BT74" s="667">
        <f t="shared" si="73"/>
        <v>22.217667554826821</v>
      </c>
      <c r="BU74" s="710">
        <f t="shared" si="74"/>
        <v>20.945472428668541</v>
      </c>
      <c r="BV74" s="598">
        <v>9000</v>
      </c>
      <c r="BW74" s="593">
        <v>103.50685607036536</v>
      </c>
      <c r="BX74" s="667">
        <f>(BW78-BW79)/BW60</f>
        <v>1.1880372437976796</v>
      </c>
      <c r="BY74" s="714">
        <f>S74-BW76</f>
        <v>26.200000000000045</v>
      </c>
      <c r="BZ74" s="667">
        <f>BW78-BW79</f>
        <v>122.96999999999998</v>
      </c>
      <c r="CA74" s="667">
        <f t="shared" si="75"/>
        <v>21.306009595836422</v>
      </c>
      <c r="CB74" s="668">
        <f t="shared" si="76"/>
        <v>25.312332916564415</v>
      </c>
      <c r="CC74" s="560"/>
    </row>
    <row r="75" spans="1:81" ht="28.5" customHeight="1">
      <c r="A75" s="5"/>
      <c r="B75" s="60" t="s">
        <v>116</v>
      </c>
      <c r="C75" s="99">
        <v>10000</v>
      </c>
      <c r="D75" s="68">
        <v>395.74</v>
      </c>
      <c r="E75" s="95">
        <v>21.32</v>
      </c>
      <c r="F75" s="95">
        <v>20.95</v>
      </c>
      <c r="G75" s="96">
        <v>22.15</v>
      </c>
      <c r="H75" s="105">
        <v>10000</v>
      </c>
      <c r="I75" s="65">
        <v>442.8</v>
      </c>
      <c r="J75" s="458">
        <v>12.56</v>
      </c>
      <c r="K75" s="458">
        <v>11.76</v>
      </c>
      <c r="L75" s="459">
        <v>11.78</v>
      </c>
      <c r="M75" s="105">
        <v>10000</v>
      </c>
      <c r="N75" s="65">
        <v>403.75</v>
      </c>
      <c r="O75" s="461">
        <v>17.64</v>
      </c>
      <c r="P75" s="461">
        <v>17.95</v>
      </c>
      <c r="Q75" s="462">
        <v>16.059999999999999</v>
      </c>
      <c r="R75" s="105">
        <v>10000</v>
      </c>
      <c r="S75" s="65">
        <v>436.6</v>
      </c>
      <c r="T75" s="106">
        <v>13.21</v>
      </c>
      <c r="U75" s="106">
        <v>14.82</v>
      </c>
      <c r="V75" s="66">
        <v>15.12</v>
      </c>
      <c r="W75" s="5"/>
      <c r="X75" s="607">
        <v>10000</v>
      </c>
      <c r="Y75" s="608">
        <f t="shared" si="53"/>
        <v>2.1473333333333331</v>
      </c>
      <c r="Z75" s="609">
        <v>9.6440000000000001</v>
      </c>
      <c r="AA75" s="609">
        <v>4.5170000000000003</v>
      </c>
      <c r="AB75" s="609">
        <f t="shared" si="54"/>
        <v>2.9796666666666667</v>
      </c>
      <c r="AC75" s="609">
        <f t="shared" si="55"/>
        <v>35.596333333333341</v>
      </c>
      <c r="AD75" s="702">
        <f t="shared" si="56"/>
        <v>14827.916062866669</v>
      </c>
      <c r="AE75" s="607">
        <v>10000</v>
      </c>
      <c r="AF75" s="602">
        <f t="shared" si="57"/>
        <v>1.2033333333333334</v>
      </c>
      <c r="AG75" s="609">
        <v>9.6440000000000001</v>
      </c>
      <c r="AH75" s="609">
        <v>4.5170000000000003</v>
      </c>
      <c r="AI75" s="609">
        <f t="shared" si="58"/>
        <v>3.9236666666666666</v>
      </c>
      <c r="AJ75" s="609">
        <f t="shared" si="59"/>
        <v>34.652333333333338</v>
      </c>
      <c r="AK75" s="702">
        <f t="shared" si="60"/>
        <v>19007.795890066667</v>
      </c>
      <c r="AL75" s="607">
        <v>10000</v>
      </c>
      <c r="AM75" s="602">
        <f t="shared" si="61"/>
        <v>1.7216666666666669</v>
      </c>
      <c r="AN75" s="609">
        <v>9.6440000000000001</v>
      </c>
      <c r="AO75" s="609">
        <v>4.5170000000000003</v>
      </c>
      <c r="AP75" s="609">
        <f t="shared" si="62"/>
        <v>3.4053333333333331</v>
      </c>
      <c r="AQ75" s="609">
        <f t="shared" si="63"/>
        <v>35.170666666666669</v>
      </c>
      <c r="AR75" s="699">
        <f t="shared" si="64"/>
        <v>16743.544529066665</v>
      </c>
      <c r="AS75" s="607">
        <v>10000</v>
      </c>
      <c r="AT75" s="602">
        <f t="shared" si="65"/>
        <v>1.4383333333333332</v>
      </c>
      <c r="AU75" s="609">
        <v>9.6440000000000001</v>
      </c>
      <c r="AV75" s="609">
        <v>4.5170000000000003</v>
      </c>
      <c r="AW75" s="609">
        <f t="shared" si="66"/>
        <v>3.6886666666666663</v>
      </c>
      <c r="AX75" s="609">
        <f t="shared" si="67"/>
        <v>34.887333333333338</v>
      </c>
      <c r="AY75" s="699">
        <f t="shared" si="68"/>
        <v>17990.546549066665</v>
      </c>
      <c r="AZ75" s="75"/>
      <c r="BA75" s="607">
        <v>10000</v>
      </c>
      <c r="BB75" s="609">
        <v>103.50685607036536</v>
      </c>
      <c r="BC75" s="667">
        <f>(BB78-BB79)/BB60</f>
        <v>0.90766934256153531</v>
      </c>
      <c r="BD75" s="714">
        <f>D75-BB76</f>
        <v>14.670000000000016</v>
      </c>
      <c r="BE75" s="682">
        <f>BB78-BB79</f>
        <v>93.949999999999989</v>
      </c>
      <c r="BF75" s="682">
        <f t="shared" si="69"/>
        <v>15.614688664183095</v>
      </c>
      <c r="BG75" s="683">
        <f t="shared" si="70"/>
        <v>14.172974194122128</v>
      </c>
      <c r="BH75" s="607">
        <v>10000</v>
      </c>
      <c r="BI75" s="609">
        <v>103.50685607036536</v>
      </c>
      <c r="BJ75" s="667">
        <f>(BI78-BI79)/BI60</f>
        <v>1.3174006551537092</v>
      </c>
      <c r="BK75" s="714">
        <f>I75-BI76</f>
        <v>19.390000000000043</v>
      </c>
      <c r="BL75" s="682">
        <f>BI78-BI79</f>
        <v>136.36000000000001</v>
      </c>
      <c r="BM75" s="682">
        <f t="shared" si="71"/>
        <v>14.219712525667379</v>
      </c>
      <c r="BN75" s="683">
        <f t="shared" si="72"/>
        <v>18.73305859741161</v>
      </c>
      <c r="BO75" s="607">
        <v>10000</v>
      </c>
      <c r="BP75" s="684">
        <v>103.50685607036536</v>
      </c>
      <c r="BQ75" s="667">
        <f>(BP78-BP79)/BP60</f>
        <v>0.94273948320547751</v>
      </c>
      <c r="BR75" s="714">
        <f>N75-BP76</f>
        <v>20.110000000000014</v>
      </c>
      <c r="BS75" s="682">
        <f>BP78-BP79</f>
        <v>97.579999999999984</v>
      </c>
      <c r="BT75" s="682">
        <f t="shared" si="73"/>
        <v>20.608731297397025</v>
      </c>
      <c r="BU75" s="711">
        <f t="shared" si="74"/>
        <v>19.428664692828622</v>
      </c>
      <c r="BV75" s="607">
        <v>10000</v>
      </c>
      <c r="BW75" s="609">
        <v>103.50685607036536</v>
      </c>
      <c r="BX75" s="667">
        <f>(BW78-BW79)/BW60</f>
        <v>1.1880372437976796</v>
      </c>
      <c r="BY75" s="714">
        <f>S75-BW76</f>
        <v>25.57000000000005</v>
      </c>
      <c r="BZ75" s="682">
        <f>BW78-BW79</f>
        <v>122.96999999999998</v>
      </c>
      <c r="CA75" s="682">
        <f t="shared" si="75"/>
        <v>20.793689517768605</v>
      </c>
      <c r="CB75" s="683">
        <f t="shared" si="76"/>
        <v>24.703677583074516</v>
      </c>
      <c r="CC75" s="560"/>
    </row>
    <row r="76" spans="1:81" ht="45">
      <c r="X76" s="560"/>
      <c r="Y76" s="560"/>
      <c r="Z76" s="560"/>
      <c r="AA76" s="560"/>
      <c r="AB76" s="560"/>
      <c r="AC76" s="560"/>
      <c r="AD76" s="560"/>
      <c r="AE76" s="559"/>
      <c r="AF76" s="559"/>
      <c r="AG76" s="559"/>
      <c r="AH76" s="559"/>
      <c r="AI76" s="559"/>
      <c r="AJ76" s="559"/>
      <c r="AK76" s="559"/>
      <c r="AL76" s="560"/>
      <c r="AM76" s="560"/>
      <c r="AN76" s="559"/>
      <c r="AO76" s="559"/>
      <c r="AP76" s="560"/>
      <c r="AQ76" s="560"/>
      <c r="AR76" s="560"/>
      <c r="AS76" s="560"/>
      <c r="AT76" s="560"/>
      <c r="AU76" s="560"/>
      <c r="AV76" s="560"/>
      <c r="AW76" s="560"/>
      <c r="AX76" s="560"/>
      <c r="AY76" s="560"/>
      <c r="AZ76" s="791" t="s">
        <v>144</v>
      </c>
      <c r="BA76" s="709" t="s">
        <v>1047</v>
      </c>
      <c r="BB76" s="569">
        <f>BB78+BB77</f>
        <v>381.07</v>
      </c>
      <c r="BC76" s="559"/>
      <c r="BD76" s="559"/>
      <c r="BE76" s="559"/>
      <c r="BF76" s="559"/>
      <c r="BG76" s="559"/>
      <c r="BH76" s="709" t="s">
        <v>1047</v>
      </c>
      <c r="BI76" s="569">
        <f>BI78+BI77</f>
        <v>423.40999999999997</v>
      </c>
      <c r="BJ76" s="559"/>
      <c r="BK76" s="569"/>
      <c r="BL76" s="569"/>
      <c r="BM76" s="569"/>
      <c r="BN76" s="569"/>
      <c r="BO76" s="709" t="s">
        <v>1047</v>
      </c>
      <c r="BP76" s="559">
        <f>BP77+BP78</f>
        <v>383.64</v>
      </c>
      <c r="BQ76" s="560"/>
      <c r="BR76" s="559"/>
      <c r="BS76" s="559"/>
      <c r="BT76" s="559"/>
      <c r="BU76" s="559"/>
      <c r="BV76" s="709" t="s">
        <v>1047</v>
      </c>
      <c r="BW76" s="559">
        <f>BW77+BW78</f>
        <v>411.03</v>
      </c>
      <c r="BX76" s="560"/>
      <c r="BY76" s="560"/>
      <c r="BZ76" s="560"/>
      <c r="CA76" s="560"/>
      <c r="CB76" s="560"/>
      <c r="CC76" s="560"/>
    </row>
    <row r="77" spans="1:81">
      <c r="X77" s="560"/>
      <c r="Y77" s="560"/>
      <c r="Z77" s="560"/>
      <c r="AA77" s="560"/>
      <c r="AB77" s="560"/>
      <c r="AC77" s="560"/>
      <c r="AD77" s="560"/>
      <c r="AE77" s="559"/>
      <c r="AF77" s="559"/>
      <c r="AG77" s="559"/>
      <c r="AH77" s="559"/>
      <c r="AI77" s="559"/>
      <c r="AJ77" s="559"/>
      <c r="AK77" s="559"/>
      <c r="AL77" s="560"/>
      <c r="AM77" s="560"/>
      <c r="AN77" s="559"/>
      <c r="AO77" s="559"/>
      <c r="AP77" s="560"/>
      <c r="AQ77" s="560"/>
      <c r="AR77" s="560"/>
      <c r="AS77" s="560"/>
      <c r="AT77" s="560"/>
      <c r="AU77" s="560"/>
      <c r="AV77" s="560"/>
      <c r="AW77" s="560"/>
      <c r="AX77" s="560"/>
      <c r="AY77" s="560"/>
      <c r="AZ77" s="791"/>
      <c r="BA77" s="655" t="s">
        <v>1048</v>
      </c>
      <c r="BB77" s="569">
        <v>215.12</v>
      </c>
      <c r="BC77" s="559"/>
      <c r="BD77" s="559"/>
      <c r="BE77" s="559"/>
      <c r="BF77" s="559"/>
      <c r="BG77" s="559"/>
      <c r="BH77" s="655" t="s">
        <v>1048</v>
      </c>
      <c r="BI77" s="569">
        <v>215.03</v>
      </c>
      <c r="BJ77" s="559"/>
      <c r="BK77" s="569"/>
      <c r="BL77" s="569"/>
      <c r="BM77" s="569"/>
      <c r="BN77" s="569"/>
      <c r="BO77" s="655" t="s">
        <v>1048</v>
      </c>
      <c r="BP77" s="559">
        <v>214.88</v>
      </c>
      <c r="BQ77" s="560"/>
      <c r="BR77" s="559"/>
      <c r="BS77" s="559"/>
      <c r="BT77" s="620"/>
      <c r="BU77" s="620"/>
      <c r="BV77" s="655" t="s">
        <v>1048</v>
      </c>
      <c r="BW77" s="559">
        <v>214.58</v>
      </c>
      <c r="BX77" s="560"/>
      <c r="BY77" s="560"/>
      <c r="BZ77" s="560"/>
      <c r="CA77" s="560"/>
      <c r="CB77" s="560"/>
      <c r="CC77" s="560"/>
    </row>
    <row r="78" spans="1:81">
      <c r="X78" s="560"/>
      <c r="Y78" s="560"/>
      <c r="Z78" s="560"/>
      <c r="AA78" s="560"/>
      <c r="AB78" s="560"/>
      <c r="AC78" s="560"/>
      <c r="AD78" s="560"/>
      <c r="AE78" s="559"/>
      <c r="AF78" s="559"/>
      <c r="AG78" s="559"/>
      <c r="AH78" s="559"/>
      <c r="AI78" s="559"/>
      <c r="AJ78" s="559"/>
      <c r="AK78" s="559"/>
      <c r="AL78" s="560"/>
      <c r="AM78" s="560"/>
      <c r="AN78" s="559"/>
      <c r="AO78" s="559"/>
      <c r="AP78" s="560"/>
      <c r="AQ78" s="560"/>
      <c r="AR78" s="560"/>
      <c r="AS78" s="560"/>
      <c r="AT78" s="560"/>
      <c r="AU78" s="560"/>
      <c r="AV78" s="560"/>
      <c r="AW78" s="560"/>
      <c r="AX78" s="560"/>
      <c r="AY78" s="560"/>
      <c r="AZ78" s="791"/>
      <c r="BA78" s="655" t="s">
        <v>1049</v>
      </c>
      <c r="BB78" s="712">
        <v>165.95</v>
      </c>
      <c r="BC78" s="559"/>
      <c r="BD78" s="559"/>
      <c r="BE78" s="559"/>
      <c r="BF78" s="559"/>
      <c r="BG78" s="559"/>
      <c r="BH78" s="655" t="s">
        <v>1049</v>
      </c>
      <c r="BI78" s="569">
        <v>208.38</v>
      </c>
      <c r="BJ78" s="559"/>
      <c r="BK78" s="569"/>
      <c r="BL78" s="569"/>
      <c r="BM78" s="569"/>
      <c r="BN78" s="569"/>
      <c r="BO78" s="655" t="s">
        <v>1049</v>
      </c>
      <c r="BP78" s="559">
        <v>168.76</v>
      </c>
      <c r="BQ78" s="560"/>
      <c r="BR78" s="559"/>
      <c r="BS78" s="559"/>
      <c r="BT78" s="620"/>
      <c r="BU78" s="620"/>
      <c r="BV78" s="655" t="s">
        <v>1049</v>
      </c>
      <c r="BW78" s="559">
        <v>196.45</v>
      </c>
      <c r="BX78" s="560"/>
      <c r="BY78" s="560"/>
      <c r="BZ78" s="560"/>
      <c r="CA78" s="560"/>
      <c r="CB78" s="560"/>
      <c r="CC78" s="560"/>
    </row>
    <row r="79" spans="1:81">
      <c r="X79" s="560"/>
      <c r="Y79" s="560"/>
      <c r="Z79" s="560"/>
      <c r="AA79" s="560"/>
      <c r="AB79" s="560"/>
      <c r="AC79" s="560"/>
      <c r="AD79" s="560"/>
      <c r="AE79" s="559"/>
      <c r="AF79" s="559"/>
      <c r="AG79" s="559"/>
      <c r="AH79" s="559"/>
      <c r="AI79" s="559"/>
      <c r="AJ79" s="559"/>
      <c r="AK79" s="559"/>
      <c r="AL79" s="560"/>
      <c r="AM79" s="560"/>
      <c r="AN79" s="559"/>
      <c r="AO79" s="559"/>
      <c r="AP79" s="560"/>
      <c r="AQ79" s="560"/>
      <c r="AR79" s="560"/>
      <c r="AS79" s="560"/>
      <c r="AT79" s="560"/>
      <c r="AU79" s="560"/>
      <c r="AV79" s="560"/>
      <c r="AW79" s="560"/>
      <c r="AX79" s="560"/>
      <c r="AY79" s="560"/>
      <c r="AZ79" s="791"/>
      <c r="BA79" s="655" t="s">
        <v>1050</v>
      </c>
      <c r="BB79" s="569">
        <v>72</v>
      </c>
      <c r="BC79" s="559"/>
      <c r="BD79" s="560"/>
      <c r="BE79" s="560"/>
      <c r="BF79" s="560"/>
      <c r="BG79" s="560"/>
      <c r="BH79" s="655" t="s">
        <v>1050</v>
      </c>
      <c r="BI79" s="569">
        <v>72.02</v>
      </c>
      <c r="BJ79" s="559"/>
      <c r="BK79" s="560"/>
      <c r="BL79" s="560"/>
      <c r="BM79" s="560"/>
      <c r="BN79" s="560"/>
      <c r="BO79" s="655" t="s">
        <v>1050</v>
      </c>
      <c r="BP79" s="559">
        <v>71.180000000000007</v>
      </c>
      <c r="BQ79" s="560"/>
      <c r="BR79" s="560"/>
      <c r="BS79" s="560"/>
      <c r="BT79" s="560"/>
      <c r="BU79" s="560"/>
      <c r="BV79" s="655" t="s">
        <v>1050</v>
      </c>
      <c r="BW79" s="559">
        <v>73.48</v>
      </c>
      <c r="BX79" s="560"/>
      <c r="BY79" s="560"/>
      <c r="BZ79" s="560"/>
      <c r="CA79" s="560"/>
      <c r="CB79" s="560"/>
      <c r="CC79" s="560"/>
    </row>
    <row r="80" spans="1:81">
      <c r="X80" s="560"/>
      <c r="Y80" s="560"/>
      <c r="Z80" s="560"/>
      <c r="AA80" s="560"/>
      <c r="AB80" s="560"/>
      <c r="AC80" s="560"/>
      <c r="AD80" s="560"/>
      <c r="AE80" s="559"/>
      <c r="AF80" s="559"/>
      <c r="AG80" s="559"/>
      <c r="AH80" s="559"/>
      <c r="AI80" s="559"/>
      <c r="AJ80" s="559"/>
      <c r="AK80" s="559"/>
      <c r="AL80" s="560"/>
      <c r="AM80" s="560"/>
      <c r="AN80" s="559"/>
      <c r="AO80" s="559"/>
      <c r="AP80" s="560"/>
      <c r="AQ80" s="560"/>
      <c r="AR80" s="560"/>
      <c r="AS80" s="560"/>
      <c r="AT80" s="560"/>
      <c r="AU80" s="560"/>
      <c r="AV80" s="560"/>
      <c r="AW80" s="560"/>
      <c r="AX80" s="560"/>
      <c r="AY80" s="560"/>
      <c r="BA80" s="560"/>
      <c r="BB80" s="560"/>
      <c r="BC80" s="559"/>
      <c r="BD80" s="560"/>
      <c r="BE80" s="560"/>
      <c r="BF80" s="560"/>
      <c r="BG80" s="560"/>
      <c r="BH80" s="560"/>
      <c r="BI80" s="560"/>
      <c r="BJ80" s="559"/>
      <c r="BK80" s="560"/>
      <c r="BL80" s="560"/>
      <c r="BM80" s="560"/>
      <c r="BN80" s="560"/>
      <c r="BO80" s="560"/>
      <c r="BP80" s="560"/>
      <c r="BQ80" s="560"/>
      <c r="BR80" s="560"/>
      <c r="BS80" s="560"/>
      <c r="BT80" s="560"/>
      <c r="BU80" s="560"/>
      <c r="BV80" s="560"/>
      <c r="BW80" s="560"/>
      <c r="BX80" s="560"/>
      <c r="BY80" s="560"/>
      <c r="BZ80" s="560"/>
      <c r="CA80" s="560"/>
      <c r="CB80" s="560"/>
      <c r="CC80" s="560"/>
    </row>
    <row r="81" spans="1:81" ht="18.75">
      <c r="A81" s="70" t="s">
        <v>155</v>
      </c>
      <c r="B81" s="71"/>
      <c r="X81" s="560"/>
      <c r="Y81" s="560"/>
      <c r="Z81" s="560"/>
      <c r="AA81" s="560"/>
      <c r="AB81" s="560"/>
      <c r="AC81" s="560"/>
      <c r="AD81" s="560"/>
      <c r="AE81" s="559"/>
      <c r="AF81" s="559"/>
      <c r="AG81" s="559"/>
      <c r="AH81" s="559"/>
      <c r="AI81" s="559"/>
      <c r="AJ81" s="559"/>
      <c r="AK81" s="559"/>
      <c r="AL81" s="560"/>
      <c r="AM81" s="560"/>
      <c r="AN81" s="559"/>
      <c r="AO81" s="559"/>
      <c r="AP81" s="560"/>
      <c r="AQ81" s="560"/>
      <c r="AR81" s="560"/>
      <c r="AS81" s="560"/>
      <c r="AT81" s="560"/>
      <c r="AU81" s="560"/>
      <c r="AV81" s="560"/>
      <c r="AW81" s="560"/>
      <c r="AX81" s="560"/>
      <c r="AY81" s="560"/>
      <c r="BA81" s="560"/>
      <c r="BB81" s="560"/>
      <c r="BC81" s="559"/>
      <c r="BD81" s="560"/>
      <c r="BE81" s="560"/>
      <c r="BF81" s="560"/>
      <c r="BG81" s="560"/>
      <c r="BH81" s="560"/>
      <c r="BI81" s="560"/>
      <c r="BJ81" s="559"/>
      <c r="BK81" s="560"/>
      <c r="BL81" s="560"/>
      <c r="BM81" s="560"/>
      <c r="BN81" s="560"/>
      <c r="BO81" s="560"/>
      <c r="BP81" s="560"/>
      <c r="BQ81" s="560"/>
      <c r="BR81" s="560"/>
      <c r="BS81" s="560"/>
      <c r="BT81" s="560"/>
      <c r="BU81" s="560"/>
      <c r="BV81" s="560"/>
      <c r="BW81" s="560"/>
      <c r="BX81" s="560"/>
      <c r="BY81" s="560"/>
      <c r="BZ81" s="560"/>
      <c r="CA81" s="560"/>
      <c r="CB81" s="560"/>
      <c r="CC81" s="560"/>
    </row>
    <row r="82" spans="1:81" ht="18.75">
      <c r="A82" s="804" t="s">
        <v>157</v>
      </c>
      <c r="B82" s="804"/>
      <c r="C82" s="804"/>
      <c r="D82" s="804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89"/>
      <c r="P82" s="89"/>
      <c r="Q82" s="89"/>
      <c r="R82" s="90"/>
      <c r="S82" s="90"/>
      <c r="T82" s="90"/>
      <c r="U82" s="90"/>
      <c r="V82" s="90"/>
      <c r="W82" s="90"/>
      <c r="X82" s="613"/>
      <c r="Y82" s="613"/>
      <c r="Z82" s="613"/>
      <c r="AA82" s="613"/>
      <c r="AB82" s="613"/>
      <c r="AC82" s="613"/>
      <c r="AD82" s="613"/>
      <c r="AE82" s="614"/>
      <c r="AF82" s="614"/>
      <c r="AG82" s="614"/>
      <c r="AH82" s="614"/>
      <c r="AI82" s="614"/>
      <c r="AJ82" s="614"/>
      <c r="AK82" s="614"/>
      <c r="AL82" s="613"/>
      <c r="AM82" s="613"/>
      <c r="AN82" s="614"/>
      <c r="AO82" s="614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89"/>
      <c r="BA82" s="613"/>
      <c r="BB82" s="613"/>
      <c r="BC82" s="614"/>
      <c r="BD82" s="613"/>
      <c r="BE82" s="613"/>
      <c r="BF82" s="613"/>
      <c r="BG82" s="613"/>
      <c r="BH82" s="613"/>
      <c r="BI82" s="613"/>
      <c r="BJ82" s="614"/>
      <c r="BK82" s="613"/>
      <c r="BL82" s="613"/>
      <c r="BM82" s="613"/>
      <c r="BN82" s="613"/>
      <c r="BO82" s="613"/>
      <c r="BP82" s="613"/>
      <c r="BQ82" s="613"/>
      <c r="BR82" s="613"/>
      <c r="BS82" s="613"/>
      <c r="BT82" s="613"/>
      <c r="BU82" s="613"/>
      <c r="BV82" s="613"/>
      <c r="BW82" s="613"/>
      <c r="BX82" s="613"/>
      <c r="BY82" s="613"/>
      <c r="BZ82" s="613"/>
      <c r="CA82" s="613"/>
      <c r="CB82" s="613"/>
      <c r="CC82" s="560"/>
    </row>
    <row r="83" spans="1:81">
      <c r="X83" s="560"/>
      <c r="Y83" s="560"/>
      <c r="Z83" s="560"/>
      <c r="AA83" s="560"/>
      <c r="AB83" s="560"/>
      <c r="AC83" s="560"/>
      <c r="AD83" s="560"/>
      <c r="AE83" s="559"/>
      <c r="AF83" s="559"/>
      <c r="AG83" s="559"/>
      <c r="AH83" s="559"/>
      <c r="AI83" s="559"/>
      <c r="AJ83" s="559"/>
      <c r="AK83" s="559"/>
      <c r="AL83" s="560"/>
      <c r="AM83" s="560"/>
      <c r="AN83" s="559"/>
      <c r="AO83" s="559"/>
      <c r="AP83" s="560"/>
      <c r="AQ83" s="560"/>
      <c r="AR83" s="560"/>
      <c r="AS83" s="560"/>
      <c r="AT83" s="560"/>
      <c r="AU83" s="560"/>
      <c r="AV83" s="560"/>
      <c r="AW83" s="560"/>
      <c r="AX83" s="560"/>
      <c r="AY83" s="560"/>
      <c r="BA83" s="560"/>
      <c r="BB83" s="560"/>
      <c r="BC83" s="559"/>
      <c r="BD83" s="560"/>
      <c r="BE83" s="560"/>
      <c r="BF83" s="560"/>
      <c r="BG83" s="560"/>
      <c r="BH83" s="560"/>
      <c r="BI83" s="560"/>
      <c r="BJ83" s="559"/>
      <c r="BK83" s="560"/>
      <c r="BL83" s="560"/>
      <c r="BM83" s="560"/>
      <c r="BN83" s="560"/>
      <c r="BO83" s="560"/>
      <c r="BP83" s="560"/>
      <c r="BQ83" s="560"/>
      <c r="BR83" s="560"/>
      <c r="BS83" s="560"/>
      <c r="BT83" s="560"/>
      <c r="BU83" s="560"/>
      <c r="BV83" s="560"/>
      <c r="BW83" s="560"/>
      <c r="BX83" s="560"/>
      <c r="BY83" s="560"/>
      <c r="BZ83" s="560"/>
      <c r="CA83" s="560"/>
      <c r="CB83" s="560"/>
      <c r="CC83" s="560"/>
    </row>
    <row r="84" spans="1:81">
      <c r="A84" s="447" t="s">
        <v>134</v>
      </c>
      <c r="B84" s="76" t="s">
        <v>124</v>
      </c>
      <c r="C84" s="61" t="s">
        <v>119</v>
      </c>
      <c r="D84" s="77" t="s">
        <v>111</v>
      </c>
      <c r="E84" s="73"/>
      <c r="F84" s="73"/>
      <c r="G84" s="78"/>
      <c r="H84" s="76" t="s">
        <v>124</v>
      </c>
      <c r="I84" s="77" t="s">
        <v>119</v>
      </c>
      <c r="J84" s="77" t="s">
        <v>111</v>
      </c>
      <c r="K84" s="73"/>
      <c r="L84" s="73"/>
      <c r="M84" s="79" t="s">
        <v>124</v>
      </c>
      <c r="N84" s="77" t="s">
        <v>119</v>
      </c>
      <c r="O84" s="61" t="s">
        <v>111</v>
      </c>
      <c r="P84" s="63"/>
      <c r="Q84" s="63"/>
      <c r="R84" s="79" t="s">
        <v>124</v>
      </c>
      <c r="S84" s="77" t="s">
        <v>119</v>
      </c>
      <c r="T84" s="77" t="s">
        <v>111</v>
      </c>
      <c r="U84" s="73"/>
      <c r="V84" s="73"/>
      <c r="W84" s="447" t="s">
        <v>133</v>
      </c>
      <c r="X84" s="571" t="s">
        <v>124</v>
      </c>
      <c r="Y84" s="568" t="s">
        <v>119</v>
      </c>
      <c r="Z84" s="568" t="s">
        <v>111</v>
      </c>
      <c r="AA84" s="569"/>
      <c r="AB84" s="569"/>
      <c r="AC84" s="665"/>
      <c r="AD84" s="570"/>
      <c r="AE84" s="566" t="s">
        <v>124</v>
      </c>
      <c r="AF84" s="568" t="s">
        <v>119</v>
      </c>
      <c r="AG84" s="568" t="s">
        <v>111</v>
      </c>
      <c r="AH84" s="665"/>
      <c r="AI84" s="665"/>
      <c r="AJ84" s="665"/>
      <c r="AK84" s="570"/>
      <c r="AL84" s="571" t="s">
        <v>124</v>
      </c>
      <c r="AM84" s="568" t="s">
        <v>119</v>
      </c>
      <c r="AN84" s="568" t="s">
        <v>111</v>
      </c>
      <c r="AO84" s="665"/>
      <c r="AP84" s="569"/>
      <c r="AQ84" s="569"/>
      <c r="AR84" s="700"/>
      <c r="AS84" s="571" t="s">
        <v>124</v>
      </c>
      <c r="AT84" s="568" t="s">
        <v>119</v>
      </c>
      <c r="AU84" s="568" t="s">
        <v>111</v>
      </c>
      <c r="AV84" s="569"/>
      <c r="AW84" s="569"/>
      <c r="AX84" s="569"/>
      <c r="AY84" s="700"/>
      <c r="AZ84" s="447" t="s">
        <v>141</v>
      </c>
      <c r="BA84" s="566" t="s">
        <v>124</v>
      </c>
      <c r="BB84" s="568" t="s">
        <v>119</v>
      </c>
      <c r="BC84" s="568" t="s">
        <v>111</v>
      </c>
      <c r="BD84" s="569"/>
      <c r="BE84" s="569"/>
      <c r="BF84" s="569"/>
      <c r="BG84" s="665"/>
      <c r="BH84" s="566" t="s">
        <v>124</v>
      </c>
      <c r="BI84" s="567" t="s">
        <v>119</v>
      </c>
      <c r="BJ84" s="567" t="s">
        <v>111</v>
      </c>
      <c r="BK84" s="665"/>
      <c r="BL84" s="665"/>
      <c r="BM84" s="665"/>
      <c r="BN84" s="665"/>
      <c r="BO84" s="571" t="s">
        <v>124</v>
      </c>
      <c r="BP84" s="568" t="s">
        <v>119</v>
      </c>
      <c r="BQ84" s="568" t="s">
        <v>111</v>
      </c>
      <c r="BR84" s="560"/>
      <c r="BS84" s="665"/>
      <c r="BT84" s="569"/>
      <c r="BU84" s="569"/>
      <c r="BV84" s="672" t="s">
        <v>124</v>
      </c>
      <c r="BW84" s="567" t="s">
        <v>119</v>
      </c>
      <c r="BX84" s="567" t="s">
        <v>111</v>
      </c>
      <c r="BY84" s="559"/>
      <c r="BZ84" s="559"/>
      <c r="CA84" s="559"/>
      <c r="CB84" s="570"/>
      <c r="CC84" s="560"/>
    </row>
    <row r="85" spans="1:81">
      <c r="A85" s="80"/>
      <c r="B85" s="81" t="s">
        <v>63</v>
      </c>
      <c r="C85" s="86" t="s">
        <v>10</v>
      </c>
      <c r="D85" s="82" t="s">
        <v>112</v>
      </c>
      <c r="E85" s="73"/>
      <c r="F85" s="73"/>
      <c r="G85" s="78"/>
      <c r="H85" s="76" t="s">
        <v>63</v>
      </c>
      <c r="I85" s="86" t="s">
        <v>10</v>
      </c>
      <c r="J85" s="83" t="s">
        <v>114</v>
      </c>
      <c r="K85" s="73"/>
      <c r="L85" s="73"/>
      <c r="M85" s="79" t="s">
        <v>63</v>
      </c>
      <c r="N85" s="83" t="s">
        <v>160</v>
      </c>
      <c r="O85" s="64" t="s">
        <v>4</v>
      </c>
      <c r="P85" s="63"/>
      <c r="Q85" s="63"/>
      <c r="R85" s="79" t="s">
        <v>63</v>
      </c>
      <c r="S85" s="83" t="s">
        <v>160</v>
      </c>
      <c r="T85" s="83" t="s">
        <v>114</v>
      </c>
      <c r="U85" s="805"/>
      <c r="V85" s="805"/>
      <c r="W85" s="80"/>
      <c r="X85" s="578" t="s">
        <v>63</v>
      </c>
      <c r="Y85" s="573" t="s">
        <v>10</v>
      </c>
      <c r="Z85" s="574" t="s">
        <v>112</v>
      </c>
      <c r="AA85" s="569"/>
      <c r="AB85" s="569"/>
      <c r="AC85" s="665"/>
      <c r="AD85" s="570"/>
      <c r="AE85" s="566" t="s">
        <v>63</v>
      </c>
      <c r="AF85" s="573" t="s">
        <v>10</v>
      </c>
      <c r="AG85" s="575" t="s">
        <v>114</v>
      </c>
      <c r="AH85" s="665"/>
      <c r="AI85" s="677"/>
      <c r="AJ85" s="665"/>
      <c r="AK85" s="570"/>
      <c r="AL85" s="571" t="s">
        <v>63</v>
      </c>
      <c r="AM85" s="575" t="s">
        <v>160</v>
      </c>
      <c r="AN85" s="575" t="s">
        <v>112</v>
      </c>
      <c r="AO85" s="665"/>
      <c r="AP85" s="677"/>
      <c r="AQ85" s="569"/>
      <c r="AR85" s="700"/>
      <c r="AS85" s="571" t="s">
        <v>63</v>
      </c>
      <c r="AT85" s="575" t="s">
        <v>160</v>
      </c>
      <c r="AU85" s="705" t="s">
        <v>12</v>
      </c>
      <c r="AV85" s="802"/>
      <c r="AW85" s="802"/>
      <c r="AX85" s="569"/>
      <c r="AY85" s="700"/>
      <c r="AZ85" s="80"/>
      <c r="BA85" s="566" t="s">
        <v>63</v>
      </c>
      <c r="BB85" s="573" t="s">
        <v>10</v>
      </c>
      <c r="BC85" s="575" t="s">
        <v>112</v>
      </c>
      <c r="BD85" s="665"/>
      <c r="BE85" s="569"/>
      <c r="BF85" s="673"/>
      <c r="BG85" s="676"/>
      <c r="BH85" s="566" t="s">
        <v>63</v>
      </c>
      <c r="BI85" s="573" t="s">
        <v>10</v>
      </c>
      <c r="BJ85" s="615" t="s">
        <v>114</v>
      </c>
      <c r="BK85" s="665" t="s">
        <v>143</v>
      </c>
      <c r="BL85" s="665"/>
      <c r="BM85" s="665"/>
      <c r="BN85" s="665"/>
      <c r="BO85" s="571" t="s">
        <v>63</v>
      </c>
      <c r="BP85" s="575" t="s">
        <v>160</v>
      </c>
      <c r="BQ85" s="615" t="s">
        <v>4</v>
      </c>
      <c r="BR85" s="560"/>
      <c r="BS85" s="665"/>
      <c r="BT85" s="677"/>
      <c r="BU85" s="569"/>
      <c r="BV85" s="672" t="s">
        <v>63</v>
      </c>
      <c r="BW85" s="575" t="s">
        <v>160</v>
      </c>
      <c r="BX85" s="615" t="s">
        <v>114</v>
      </c>
      <c r="BY85" s="806"/>
      <c r="BZ85" s="806"/>
      <c r="CA85" s="559"/>
      <c r="CB85" s="570"/>
      <c r="CC85" s="560"/>
    </row>
    <row r="86" spans="1:81" ht="63">
      <c r="A86" s="5"/>
      <c r="B86" s="448" t="s">
        <v>122</v>
      </c>
      <c r="C86" s="449" t="s">
        <v>121</v>
      </c>
      <c r="D86" s="450" t="s">
        <v>125</v>
      </c>
      <c r="E86" s="796" t="s">
        <v>1013</v>
      </c>
      <c r="F86" s="796"/>
      <c r="G86" s="797"/>
      <c r="H86" s="451" t="s">
        <v>121</v>
      </c>
      <c r="I86" s="450" t="s">
        <v>125</v>
      </c>
      <c r="J86" s="796" t="s">
        <v>1013</v>
      </c>
      <c r="K86" s="796"/>
      <c r="L86" s="797"/>
      <c r="M86" s="451" t="s">
        <v>121</v>
      </c>
      <c r="N86" s="450" t="s">
        <v>125</v>
      </c>
      <c r="O86" s="807" t="s">
        <v>149</v>
      </c>
      <c r="P86" s="807"/>
      <c r="Q86" s="808"/>
      <c r="R86" s="451" t="s">
        <v>121</v>
      </c>
      <c r="S86" s="450" t="s">
        <v>125</v>
      </c>
      <c r="T86" s="807" t="s">
        <v>149</v>
      </c>
      <c r="U86" s="807"/>
      <c r="V86" s="808"/>
      <c r="W86" s="5"/>
      <c r="X86" s="582" t="s">
        <v>121</v>
      </c>
      <c r="Y86" s="584" t="s">
        <v>126</v>
      </c>
      <c r="Z86" s="583" t="s">
        <v>127</v>
      </c>
      <c r="AA86" s="583" t="s">
        <v>128</v>
      </c>
      <c r="AB86" s="694" t="s">
        <v>129</v>
      </c>
      <c r="AC86" s="583" t="s">
        <v>130</v>
      </c>
      <c r="AD86" s="701" t="s">
        <v>131</v>
      </c>
      <c r="AE86" s="582" t="s">
        <v>121</v>
      </c>
      <c r="AF86" s="694" t="s">
        <v>126</v>
      </c>
      <c r="AG86" s="583" t="s">
        <v>127</v>
      </c>
      <c r="AH86" s="583" t="s">
        <v>128</v>
      </c>
      <c r="AI86" s="694" t="s">
        <v>129</v>
      </c>
      <c r="AJ86" s="583" t="s">
        <v>130</v>
      </c>
      <c r="AK86" s="701" t="s">
        <v>131</v>
      </c>
      <c r="AL86" s="582" t="s">
        <v>121</v>
      </c>
      <c r="AM86" s="694" t="s">
        <v>126</v>
      </c>
      <c r="AN86" s="583" t="s">
        <v>127</v>
      </c>
      <c r="AO86" s="583" t="s">
        <v>128</v>
      </c>
      <c r="AP86" s="694" t="s">
        <v>129</v>
      </c>
      <c r="AQ86" s="583" t="s">
        <v>130</v>
      </c>
      <c r="AR86" s="696" t="s">
        <v>131</v>
      </c>
      <c r="AS86" s="582" t="s">
        <v>121</v>
      </c>
      <c r="AT86" s="694" t="s">
        <v>126</v>
      </c>
      <c r="AU86" s="695" t="s">
        <v>127</v>
      </c>
      <c r="AV86" s="695" t="s">
        <v>128</v>
      </c>
      <c r="AW86" s="694" t="s">
        <v>129</v>
      </c>
      <c r="AX86" s="583" t="s">
        <v>130</v>
      </c>
      <c r="AY86" s="696" t="s">
        <v>131</v>
      </c>
      <c r="AZ86" s="75"/>
      <c r="BA86" s="648" t="s">
        <v>121</v>
      </c>
      <c r="BB86" s="583" t="s">
        <v>143</v>
      </c>
      <c r="BC86" s="583" t="s">
        <v>888</v>
      </c>
      <c r="BD86" s="583" t="s">
        <v>1045</v>
      </c>
      <c r="BE86" s="583" t="s">
        <v>1044</v>
      </c>
      <c r="BF86" s="666" t="s">
        <v>1051</v>
      </c>
      <c r="BG86" s="666" t="s">
        <v>1052</v>
      </c>
      <c r="BH86" s="648" t="s">
        <v>121</v>
      </c>
      <c r="BI86" s="583" t="s">
        <v>143</v>
      </c>
      <c r="BJ86" s="583" t="s">
        <v>888</v>
      </c>
      <c r="BK86" s="583" t="s">
        <v>1045</v>
      </c>
      <c r="BL86" s="583" t="s">
        <v>1044</v>
      </c>
      <c r="BM86" s="666" t="s">
        <v>1051</v>
      </c>
      <c r="BN86" s="666" t="s">
        <v>1052</v>
      </c>
      <c r="BO86" s="648" t="s">
        <v>121</v>
      </c>
      <c r="BP86" s="583" t="s">
        <v>143</v>
      </c>
      <c r="BQ86" s="583" t="s">
        <v>888</v>
      </c>
      <c r="BR86" s="583" t="s">
        <v>1045</v>
      </c>
      <c r="BS86" s="583" t="s">
        <v>1044</v>
      </c>
      <c r="BT86" s="666" t="s">
        <v>1051</v>
      </c>
      <c r="BU86" s="666" t="s">
        <v>1052</v>
      </c>
      <c r="BV86" s="648" t="s">
        <v>121</v>
      </c>
      <c r="BW86" s="583" t="s">
        <v>143</v>
      </c>
      <c r="BX86" s="583" t="s">
        <v>888</v>
      </c>
      <c r="BY86" s="583" t="s">
        <v>1045</v>
      </c>
      <c r="BZ86" s="583" t="s">
        <v>1044</v>
      </c>
      <c r="CA86" s="666" t="s">
        <v>1051</v>
      </c>
      <c r="CB86" s="666" t="s">
        <v>1052</v>
      </c>
      <c r="CC86" s="560"/>
    </row>
    <row r="87" spans="1:81" ht="15.75">
      <c r="A87" s="5"/>
      <c r="B87" s="452" t="s">
        <v>120</v>
      </c>
      <c r="C87" s="454">
        <v>0</v>
      </c>
      <c r="D87" s="311">
        <v>442.03</v>
      </c>
      <c r="E87" s="109">
        <v>0</v>
      </c>
      <c r="F87" s="109">
        <v>0</v>
      </c>
      <c r="G87" s="109">
        <v>0</v>
      </c>
      <c r="H87" s="453">
        <v>0</v>
      </c>
      <c r="I87" s="311">
        <v>463.25</v>
      </c>
      <c r="J87" s="108">
        <v>0</v>
      </c>
      <c r="K87" s="87">
        <v>0</v>
      </c>
      <c r="L87" s="108">
        <v>0</v>
      </c>
      <c r="M87" s="453">
        <v>0</v>
      </c>
      <c r="N87" s="315">
        <v>427.23</v>
      </c>
      <c r="O87" s="108">
        <v>0</v>
      </c>
      <c r="P87" s="108">
        <v>0</v>
      </c>
      <c r="Q87" s="108">
        <v>0</v>
      </c>
      <c r="R87" s="453">
        <v>0</v>
      </c>
      <c r="S87" s="315">
        <v>450.13</v>
      </c>
      <c r="T87" s="108">
        <v>0</v>
      </c>
      <c r="U87" s="108">
        <v>0</v>
      </c>
      <c r="V87" s="108">
        <v>0</v>
      </c>
      <c r="W87" s="5"/>
      <c r="X87" s="591">
        <v>0</v>
      </c>
      <c r="Y87" s="592">
        <f t="shared" ref="Y87:Y102" si="77">AVERAGE(E87:G87)/10</f>
        <v>0</v>
      </c>
      <c r="Z87" s="593">
        <v>9.6440000000000001</v>
      </c>
      <c r="AA87" s="593">
        <v>4.5170000000000003</v>
      </c>
      <c r="AB87" s="593">
        <f t="shared" ref="AB87:AB102" si="78">Z87-(AA87+Y87)</f>
        <v>5.1269999999999998</v>
      </c>
      <c r="AC87" s="593">
        <f t="shared" ref="AC87:AC102" si="79">3*Z87+AA87+Y87</f>
        <v>33.449000000000005</v>
      </c>
      <c r="AD87" s="653">
        <f t="shared" ref="AD87:AD102" si="80">1.398*(10^-6)*(X87^2)*AB87*AC87</f>
        <v>0</v>
      </c>
      <c r="AE87" s="591">
        <v>0</v>
      </c>
      <c r="AF87" s="595">
        <f t="shared" ref="AF87:AF102" si="81">AVERAGE(J87:L87)/10</f>
        <v>0</v>
      </c>
      <c r="AG87" s="593">
        <v>9.6440000000000001</v>
      </c>
      <c r="AH87" s="593">
        <v>4.5170000000000003</v>
      </c>
      <c r="AI87" s="593">
        <f t="shared" ref="AI87:AI102" si="82">AG87-(AH87+AF87)</f>
        <v>5.1269999999999998</v>
      </c>
      <c r="AJ87" s="593">
        <f t="shared" ref="AJ87:AJ102" si="83">3*AG87+AH87+AF87</f>
        <v>33.449000000000005</v>
      </c>
      <c r="AK87" s="653">
        <f t="shared" ref="AK87:AK102" si="84">1.398*(10^-6)*(AE87^2)*AI87*AJ87</f>
        <v>0</v>
      </c>
      <c r="AL87" s="591">
        <v>0</v>
      </c>
      <c r="AM87" s="595">
        <f t="shared" ref="AM87:AM102" si="85">AVERAGE(O87:Q87)/10</f>
        <v>0</v>
      </c>
      <c r="AN87" s="593">
        <v>9.6440000000000001</v>
      </c>
      <c r="AO87" s="593">
        <v>4.5170000000000003</v>
      </c>
      <c r="AP87" s="593">
        <f t="shared" ref="AP87:AP102" si="86">AN87-(AO87+AM87)</f>
        <v>5.1269999999999998</v>
      </c>
      <c r="AQ87" s="593">
        <f t="shared" ref="AQ87:AQ102" si="87">3*AN87+AO87+AM87</f>
        <v>33.449000000000005</v>
      </c>
      <c r="AR87" s="698">
        <f t="shared" ref="AR87:AR102" si="88">1.398*(10^-6)*(AL87^2)*AP87*AQ87</f>
        <v>0</v>
      </c>
      <c r="AS87" s="591">
        <v>0</v>
      </c>
      <c r="AT87" s="595">
        <f t="shared" ref="AT87:AT102" si="89">AVERAGE(T87:V87)/10</f>
        <v>0</v>
      </c>
      <c r="AU87" s="593">
        <v>9.6440000000000001</v>
      </c>
      <c r="AV87" s="593">
        <v>4.5170000000000003</v>
      </c>
      <c r="AW87" s="593">
        <f t="shared" ref="AW87:AW102" si="90">AU87-(AV87+AT87)</f>
        <v>5.1269999999999998</v>
      </c>
      <c r="AX87" s="593">
        <f t="shared" ref="AX87:AX102" si="91">3*AU87+AV87+AT87</f>
        <v>33.449000000000005</v>
      </c>
      <c r="AY87" s="698">
        <f t="shared" ref="AY87:AY102" si="92">1.398*(10^-6)*(AS87^2)*AW87*AX87</f>
        <v>0</v>
      </c>
      <c r="AZ87" s="75"/>
      <c r="BA87" s="591">
        <v>0</v>
      </c>
      <c r="BB87" s="593">
        <v>103.50685607036536</v>
      </c>
      <c r="BC87" s="667">
        <f>(BB105-BB106)/BB87</f>
        <v>1.0643739379457622</v>
      </c>
      <c r="BD87" s="714">
        <f>D87-BB103</f>
        <v>44.979999999999961</v>
      </c>
      <c r="BE87" s="667">
        <f>BB105-BB106</f>
        <v>110.17</v>
      </c>
      <c r="BF87" s="667">
        <f t="shared" ref="BF87:BF102" si="93">BD87/BE87*100</f>
        <v>40.82781156394659</v>
      </c>
      <c r="BG87" s="668">
        <f t="shared" ref="BG87:BG102" si="94">BF87*BC87</f>
        <v>43.456058572025356</v>
      </c>
      <c r="BH87" s="591">
        <v>0</v>
      </c>
      <c r="BI87" s="593">
        <v>103.50685607036536</v>
      </c>
      <c r="BJ87" s="667">
        <f>(BI105-BI106)/BI87</f>
        <v>1.332278896639018</v>
      </c>
      <c r="BK87" s="714">
        <f>I87-BI103</f>
        <v>38.169999999999959</v>
      </c>
      <c r="BL87" s="667">
        <f>BI105-BI106</f>
        <v>137.9</v>
      </c>
      <c r="BM87" s="667">
        <f t="shared" ref="BM87:BM102" si="95">BK87/BL87*100</f>
        <v>27.679477882523535</v>
      </c>
      <c r="BN87" s="668">
        <f t="shared" ref="BN87:BN102" si="96">BM87*BJ87</f>
        <v>36.876784252872561</v>
      </c>
      <c r="BO87" s="591">
        <v>0</v>
      </c>
      <c r="BP87" s="679">
        <v>103.50685607036536</v>
      </c>
      <c r="BQ87" s="667">
        <f>(BP105-BP106)/BP87</f>
        <v>0.89810475874955109</v>
      </c>
      <c r="BR87" s="714">
        <f>N87-BP103</f>
        <v>47.129999999999995</v>
      </c>
      <c r="BS87" s="667">
        <f>BP105-BP106</f>
        <v>92.96</v>
      </c>
      <c r="BT87" s="667">
        <f t="shared" ref="BT87:BT102" si="97">BR87/BS87*100</f>
        <v>50.69922547332186</v>
      </c>
      <c r="BU87" s="710">
        <f t="shared" ref="BU87:BU102" si="98">BT87*BQ87</f>
        <v>45.533215662506827</v>
      </c>
      <c r="BV87" s="591">
        <v>0</v>
      </c>
      <c r="BW87" s="593">
        <v>103.50685607036536</v>
      </c>
      <c r="BX87" s="667">
        <f>(BW105-BW106)/BW87</f>
        <v>1.2185666224298719</v>
      </c>
      <c r="BY87" s="714">
        <f>S87-BW103</f>
        <v>37.319999999999993</v>
      </c>
      <c r="BZ87" s="667">
        <f>BW105-BW106</f>
        <v>126.13</v>
      </c>
      <c r="CA87" s="667">
        <f t="shared" ref="CA87:CA102" si="99">BY87/BZ87*100</f>
        <v>29.588519781178146</v>
      </c>
      <c r="CB87" s="668">
        <f t="shared" ref="CB87:CB102" si="100">CA87*BX87</f>
        <v>36.055582612449705</v>
      </c>
      <c r="CC87" s="560"/>
    </row>
    <row r="88" spans="1:81" ht="15.75">
      <c r="A88" s="5"/>
      <c r="B88" s="59" t="s">
        <v>116</v>
      </c>
      <c r="C88" s="97">
        <v>300</v>
      </c>
      <c r="D88" s="315">
        <v>437.35</v>
      </c>
      <c r="E88" s="109">
        <v>0</v>
      </c>
      <c r="F88" s="109">
        <v>0</v>
      </c>
      <c r="G88" s="109">
        <v>0</v>
      </c>
      <c r="H88" s="103">
        <v>300</v>
      </c>
      <c r="I88" s="315">
        <v>462.13</v>
      </c>
      <c r="J88" s="108">
        <v>0</v>
      </c>
      <c r="K88" s="87">
        <v>0</v>
      </c>
      <c r="L88" s="108">
        <v>0</v>
      </c>
      <c r="M88" s="103">
        <v>300</v>
      </c>
      <c r="N88" s="315">
        <v>421.43</v>
      </c>
      <c r="O88" s="108">
        <v>0</v>
      </c>
      <c r="P88" s="108">
        <v>0</v>
      </c>
      <c r="Q88" s="108">
        <v>0</v>
      </c>
      <c r="R88" s="103">
        <v>300</v>
      </c>
      <c r="S88" s="315">
        <v>448.51</v>
      </c>
      <c r="T88" s="108">
        <v>0</v>
      </c>
      <c r="U88" s="108">
        <v>0</v>
      </c>
      <c r="V88" s="108">
        <v>0</v>
      </c>
      <c r="W88" s="5"/>
      <c r="X88" s="591">
        <v>300</v>
      </c>
      <c r="Y88" s="592">
        <f t="shared" si="77"/>
        <v>0</v>
      </c>
      <c r="Z88" s="593">
        <v>9.6440000000000001</v>
      </c>
      <c r="AA88" s="593">
        <v>4.5170000000000003</v>
      </c>
      <c r="AB88" s="593">
        <f t="shared" si="78"/>
        <v>5.1269999999999998</v>
      </c>
      <c r="AC88" s="593">
        <f t="shared" si="79"/>
        <v>33.449000000000005</v>
      </c>
      <c r="AD88" s="653">
        <f t="shared" si="80"/>
        <v>21.577252153859998</v>
      </c>
      <c r="AE88" s="591">
        <v>300</v>
      </c>
      <c r="AF88" s="595">
        <f t="shared" si="81"/>
        <v>0</v>
      </c>
      <c r="AG88" s="593">
        <v>9.6440000000000001</v>
      </c>
      <c r="AH88" s="593">
        <v>4.5170000000000003</v>
      </c>
      <c r="AI88" s="593">
        <f t="shared" si="82"/>
        <v>5.1269999999999998</v>
      </c>
      <c r="AJ88" s="593">
        <f t="shared" si="83"/>
        <v>33.449000000000005</v>
      </c>
      <c r="AK88" s="653">
        <f t="shared" si="84"/>
        <v>21.577252153859998</v>
      </c>
      <c r="AL88" s="591">
        <v>300</v>
      </c>
      <c r="AM88" s="595">
        <f t="shared" si="85"/>
        <v>0</v>
      </c>
      <c r="AN88" s="593">
        <v>9.6440000000000001</v>
      </c>
      <c r="AO88" s="593">
        <v>4.5170000000000003</v>
      </c>
      <c r="AP88" s="593">
        <f t="shared" si="86"/>
        <v>5.1269999999999998</v>
      </c>
      <c r="AQ88" s="593">
        <f t="shared" si="87"/>
        <v>33.449000000000005</v>
      </c>
      <c r="AR88" s="698">
        <f t="shared" si="88"/>
        <v>21.577252153859998</v>
      </c>
      <c r="AS88" s="591">
        <v>300</v>
      </c>
      <c r="AT88" s="595">
        <f t="shared" si="89"/>
        <v>0</v>
      </c>
      <c r="AU88" s="593">
        <v>9.6440000000000001</v>
      </c>
      <c r="AV88" s="593">
        <v>4.5170000000000003</v>
      </c>
      <c r="AW88" s="593">
        <f t="shared" si="90"/>
        <v>5.1269999999999998</v>
      </c>
      <c r="AX88" s="593">
        <f t="shared" si="91"/>
        <v>33.449000000000005</v>
      </c>
      <c r="AY88" s="698">
        <f t="shared" si="92"/>
        <v>21.577252153859998</v>
      </c>
      <c r="AZ88" s="75"/>
      <c r="BA88" s="591">
        <v>300</v>
      </c>
      <c r="BB88" s="593">
        <v>103.50685607036536</v>
      </c>
      <c r="BC88" s="667">
        <f>(BB105-BB106)/BB87</f>
        <v>1.0643739379457622</v>
      </c>
      <c r="BD88" s="714">
        <f>D88-BB103</f>
        <v>40.300000000000011</v>
      </c>
      <c r="BE88" s="667">
        <f>BB105-BB106</f>
        <v>110.17</v>
      </c>
      <c r="BF88" s="667">
        <f t="shared" si="93"/>
        <v>36.579831170009996</v>
      </c>
      <c r="BG88" s="668">
        <f t="shared" si="94"/>
        <v>38.934618951814677</v>
      </c>
      <c r="BH88" s="591">
        <v>300</v>
      </c>
      <c r="BI88" s="593">
        <v>103.50685607036536</v>
      </c>
      <c r="BJ88" s="667">
        <f>(BI105-BI106)/BI87</f>
        <v>1.332278896639018</v>
      </c>
      <c r="BK88" s="714">
        <f>I88-BI103</f>
        <v>37.049999999999955</v>
      </c>
      <c r="BL88" s="667">
        <f>BI105-BI106</f>
        <v>137.9</v>
      </c>
      <c r="BM88" s="667">
        <f t="shared" si="95"/>
        <v>26.867295141406782</v>
      </c>
      <c r="BN88" s="668">
        <f t="shared" si="96"/>
        <v>35.794730326668279</v>
      </c>
      <c r="BO88" s="591">
        <v>300</v>
      </c>
      <c r="BP88" s="679">
        <v>103.50685607036536</v>
      </c>
      <c r="BQ88" s="667">
        <f>(BP105-BP106)/BP87</f>
        <v>0.89810475874955109</v>
      </c>
      <c r="BR88" s="714">
        <f>N88-BP103</f>
        <v>41.329999999999984</v>
      </c>
      <c r="BS88" s="667">
        <f>BP105-BP106</f>
        <v>92.96</v>
      </c>
      <c r="BT88" s="667">
        <f t="shared" si="97"/>
        <v>44.459982788296024</v>
      </c>
      <c r="BU88" s="710">
        <f t="shared" si="98"/>
        <v>39.929722116091796</v>
      </c>
      <c r="BV88" s="591">
        <v>300</v>
      </c>
      <c r="BW88" s="593">
        <v>103.50685607036536</v>
      </c>
      <c r="BX88" s="667">
        <f>(BW105-BW106)/BW87</f>
        <v>1.2185666224298719</v>
      </c>
      <c r="BY88" s="714">
        <f>S88-BW103</f>
        <v>35.699999999999989</v>
      </c>
      <c r="BZ88" s="667">
        <f>BW105-BW106</f>
        <v>126.13</v>
      </c>
      <c r="CA88" s="667">
        <f t="shared" si="99"/>
        <v>28.304130658844041</v>
      </c>
      <c r="CB88" s="668">
        <f t="shared" si="100"/>
        <v>34.490468897761367</v>
      </c>
      <c r="CC88" s="560"/>
    </row>
    <row r="89" spans="1:81" ht="15.75">
      <c r="A89" s="5"/>
      <c r="B89" s="59" t="s">
        <v>116</v>
      </c>
      <c r="C89" s="97">
        <v>350</v>
      </c>
      <c r="D89" s="315">
        <v>435.48</v>
      </c>
      <c r="E89" s="109">
        <v>0</v>
      </c>
      <c r="F89" s="109">
        <v>0</v>
      </c>
      <c r="G89" s="109">
        <v>0</v>
      </c>
      <c r="H89" s="103">
        <v>350</v>
      </c>
      <c r="I89" s="311">
        <v>460.41</v>
      </c>
      <c r="J89" s="108">
        <v>0</v>
      </c>
      <c r="K89" s="87">
        <v>0</v>
      </c>
      <c r="L89" s="108">
        <v>0</v>
      </c>
      <c r="M89" s="103">
        <v>350</v>
      </c>
      <c r="N89" s="315">
        <v>418.33</v>
      </c>
      <c r="O89" s="108">
        <v>1.76</v>
      </c>
      <c r="P89" s="108">
        <v>3.57</v>
      </c>
      <c r="Q89" s="108">
        <v>5.83</v>
      </c>
      <c r="R89" s="103">
        <v>350</v>
      </c>
      <c r="S89" s="315">
        <v>447.51</v>
      </c>
      <c r="T89" s="108">
        <v>0</v>
      </c>
      <c r="U89" s="108">
        <v>0</v>
      </c>
      <c r="V89" s="108">
        <v>0</v>
      </c>
      <c r="W89" s="5"/>
      <c r="X89" s="591">
        <v>350</v>
      </c>
      <c r="Y89" s="592">
        <f t="shared" si="77"/>
        <v>0</v>
      </c>
      <c r="Z89" s="593">
        <v>9.6440000000000001</v>
      </c>
      <c r="AA89" s="593">
        <v>4.5170000000000003</v>
      </c>
      <c r="AB89" s="593">
        <f t="shared" si="78"/>
        <v>5.1269999999999998</v>
      </c>
      <c r="AC89" s="593">
        <f t="shared" si="79"/>
        <v>33.449000000000005</v>
      </c>
      <c r="AD89" s="653">
        <f t="shared" si="80"/>
        <v>29.369037653864996</v>
      </c>
      <c r="AE89" s="591">
        <v>350</v>
      </c>
      <c r="AF89" s="595">
        <f t="shared" si="81"/>
        <v>0</v>
      </c>
      <c r="AG89" s="593">
        <v>9.6440000000000001</v>
      </c>
      <c r="AH89" s="593">
        <v>4.5170000000000003</v>
      </c>
      <c r="AI89" s="593">
        <f t="shared" si="82"/>
        <v>5.1269999999999998</v>
      </c>
      <c r="AJ89" s="593">
        <f t="shared" si="83"/>
        <v>33.449000000000005</v>
      </c>
      <c r="AK89" s="653">
        <f t="shared" si="84"/>
        <v>29.369037653864996</v>
      </c>
      <c r="AL89" s="591">
        <v>350</v>
      </c>
      <c r="AM89" s="595">
        <f t="shared" si="85"/>
        <v>0.372</v>
      </c>
      <c r="AN89" s="593">
        <v>9.6440000000000001</v>
      </c>
      <c r="AO89" s="593">
        <v>4.5170000000000003</v>
      </c>
      <c r="AP89" s="593">
        <f t="shared" si="86"/>
        <v>4.7549999999999999</v>
      </c>
      <c r="AQ89" s="593">
        <f t="shared" si="87"/>
        <v>33.821000000000005</v>
      </c>
      <c r="AR89" s="698">
        <f t="shared" si="88"/>
        <v>27.541033013024997</v>
      </c>
      <c r="AS89" s="591">
        <v>350</v>
      </c>
      <c r="AT89" s="595">
        <f t="shared" si="89"/>
        <v>0</v>
      </c>
      <c r="AU89" s="593">
        <v>9.6440000000000001</v>
      </c>
      <c r="AV89" s="593">
        <v>4.5170000000000003</v>
      </c>
      <c r="AW89" s="593">
        <f t="shared" si="90"/>
        <v>5.1269999999999998</v>
      </c>
      <c r="AX89" s="593">
        <f t="shared" si="91"/>
        <v>33.449000000000005</v>
      </c>
      <c r="AY89" s="698">
        <f t="shared" si="92"/>
        <v>29.369037653864996</v>
      </c>
      <c r="AZ89" s="75"/>
      <c r="BA89" s="591">
        <v>350</v>
      </c>
      <c r="BB89" s="593">
        <v>103.50685607036536</v>
      </c>
      <c r="BC89" s="667">
        <f>(BB105-BB106)/BB87</f>
        <v>1.0643739379457622</v>
      </c>
      <c r="BD89" s="714">
        <f>D89-BB103</f>
        <v>38.430000000000007</v>
      </c>
      <c r="BE89" s="667">
        <f>BB105-BB106</f>
        <v>110.17</v>
      </c>
      <c r="BF89" s="667">
        <f t="shared" si="93"/>
        <v>34.882454388672059</v>
      </c>
      <c r="BG89" s="668">
        <f t="shared" si="94"/>
        <v>37.127975342884312</v>
      </c>
      <c r="BH89" s="591">
        <v>350</v>
      </c>
      <c r="BI89" s="593">
        <v>103.50685607036536</v>
      </c>
      <c r="BJ89" s="667">
        <f>(BI105-BI106)/BI87</f>
        <v>1.332278896639018</v>
      </c>
      <c r="BK89" s="714">
        <f>I89-BI103</f>
        <v>35.329999999999984</v>
      </c>
      <c r="BL89" s="667">
        <f>BI105-BI106</f>
        <v>137.9</v>
      </c>
      <c r="BM89" s="667">
        <f t="shared" si="95"/>
        <v>25.620014503263221</v>
      </c>
      <c r="BN89" s="668">
        <f t="shared" si="96"/>
        <v>34.133004654283162</v>
      </c>
      <c r="BO89" s="591">
        <v>350</v>
      </c>
      <c r="BP89" s="679">
        <v>103.50685607036536</v>
      </c>
      <c r="BQ89" s="667">
        <f>(BP105-BP106)/BP87</f>
        <v>0.89810475874955109</v>
      </c>
      <c r="BR89" s="714">
        <f>N89-BP103</f>
        <v>38.229999999999961</v>
      </c>
      <c r="BS89" s="667">
        <f>BP105-BP106</f>
        <v>92.96</v>
      </c>
      <c r="BT89" s="667">
        <f t="shared" si="97"/>
        <v>41.125215146299446</v>
      </c>
      <c r="BU89" s="710">
        <f t="shared" si="98"/>
        <v>36.934751427490646</v>
      </c>
      <c r="BV89" s="591">
        <v>350</v>
      </c>
      <c r="BW89" s="593">
        <v>103.50685607036536</v>
      </c>
      <c r="BX89" s="667">
        <f>(BW105-BW106)/BW87</f>
        <v>1.2185666224298719</v>
      </c>
      <c r="BY89" s="714">
        <f>S89-BW103</f>
        <v>34.699999999999989</v>
      </c>
      <c r="BZ89" s="667">
        <f>BW105-BW106</f>
        <v>126.13</v>
      </c>
      <c r="CA89" s="667">
        <f t="shared" si="99"/>
        <v>27.511297867279783</v>
      </c>
      <c r="CB89" s="668">
        <f t="shared" si="100"/>
        <v>33.524349320793263</v>
      </c>
      <c r="CC89" s="560"/>
    </row>
    <row r="90" spans="1:81" ht="15.75">
      <c r="A90" s="5"/>
      <c r="B90" s="59" t="s">
        <v>116</v>
      </c>
      <c r="C90" s="98">
        <v>450</v>
      </c>
      <c r="D90" s="72">
        <v>433.18</v>
      </c>
      <c r="E90" s="110">
        <v>1.22</v>
      </c>
      <c r="F90" s="110">
        <v>0.62</v>
      </c>
      <c r="G90" s="110">
        <v>0.88</v>
      </c>
      <c r="H90" s="104">
        <v>450</v>
      </c>
      <c r="I90" s="315">
        <v>459.28</v>
      </c>
      <c r="J90" s="108">
        <v>0</v>
      </c>
      <c r="K90" s="87">
        <v>0</v>
      </c>
      <c r="L90" s="108">
        <v>0</v>
      </c>
      <c r="M90" s="104">
        <v>450</v>
      </c>
      <c r="N90" s="315">
        <v>414.84</v>
      </c>
      <c r="O90" s="108">
        <v>2.7</v>
      </c>
      <c r="P90" s="108">
        <v>4.55</v>
      </c>
      <c r="Q90" s="108">
        <v>6.61</v>
      </c>
      <c r="R90" s="104">
        <v>450</v>
      </c>
      <c r="S90" s="315">
        <v>445.5</v>
      </c>
      <c r="T90" s="108">
        <v>0.74</v>
      </c>
      <c r="U90" s="108">
        <v>0</v>
      </c>
      <c r="V90" s="108">
        <v>1.1200000000000001</v>
      </c>
      <c r="W90" s="5"/>
      <c r="X90" s="598">
        <v>450</v>
      </c>
      <c r="Y90" s="592">
        <f t="shared" si="77"/>
        <v>9.0666666666666659E-2</v>
      </c>
      <c r="Z90" s="593">
        <v>9.6440000000000001</v>
      </c>
      <c r="AA90" s="593">
        <v>4.5170000000000003</v>
      </c>
      <c r="AB90" s="593">
        <f t="shared" si="78"/>
        <v>5.0363333333333333</v>
      </c>
      <c r="AC90" s="593">
        <f t="shared" si="79"/>
        <v>33.539666666666669</v>
      </c>
      <c r="AD90" s="653">
        <f t="shared" si="80"/>
        <v>47.819541475304987</v>
      </c>
      <c r="AE90" s="598">
        <v>450</v>
      </c>
      <c r="AF90" s="595">
        <f t="shared" si="81"/>
        <v>0</v>
      </c>
      <c r="AG90" s="593">
        <v>9.6440000000000001</v>
      </c>
      <c r="AH90" s="593">
        <v>4.5170000000000003</v>
      </c>
      <c r="AI90" s="593">
        <f t="shared" si="82"/>
        <v>5.1269999999999998</v>
      </c>
      <c r="AJ90" s="593">
        <f t="shared" si="83"/>
        <v>33.449000000000005</v>
      </c>
      <c r="AK90" s="653">
        <f t="shared" si="84"/>
        <v>48.54881734618499</v>
      </c>
      <c r="AL90" s="598">
        <v>450</v>
      </c>
      <c r="AM90" s="595">
        <f t="shared" si="85"/>
        <v>0.46200000000000002</v>
      </c>
      <c r="AN90" s="593">
        <v>9.6440000000000001</v>
      </c>
      <c r="AO90" s="593">
        <v>4.5170000000000003</v>
      </c>
      <c r="AP90" s="593">
        <f t="shared" si="86"/>
        <v>4.665</v>
      </c>
      <c r="AQ90" s="593">
        <f t="shared" si="87"/>
        <v>33.911000000000008</v>
      </c>
      <c r="AR90" s="698">
        <f t="shared" si="88"/>
        <v>44.784161152425</v>
      </c>
      <c r="AS90" s="598">
        <v>450</v>
      </c>
      <c r="AT90" s="595">
        <f t="shared" si="89"/>
        <v>6.2E-2</v>
      </c>
      <c r="AU90" s="593">
        <v>9.6440000000000001</v>
      </c>
      <c r="AV90" s="593">
        <v>4.5170000000000003</v>
      </c>
      <c r="AW90" s="593">
        <f t="shared" si="90"/>
        <v>5.0649999999999995</v>
      </c>
      <c r="AX90" s="593">
        <f t="shared" si="91"/>
        <v>33.511000000000003</v>
      </c>
      <c r="AY90" s="698">
        <f t="shared" si="92"/>
        <v>48.050624500424988</v>
      </c>
      <c r="AZ90" s="75"/>
      <c r="BA90" s="598">
        <v>450</v>
      </c>
      <c r="BB90" s="593">
        <v>103.50685607036536</v>
      </c>
      <c r="BC90" s="667">
        <f>(BB105-BB106)/BB87</f>
        <v>1.0643739379457622</v>
      </c>
      <c r="BD90" s="714">
        <f>D90-BB103</f>
        <v>36.129999999999995</v>
      </c>
      <c r="BE90" s="667">
        <f>BB105-BB106</f>
        <v>110.17</v>
      </c>
      <c r="BF90" s="667">
        <f t="shared" si="93"/>
        <v>32.794771716438227</v>
      </c>
      <c r="BG90" s="668">
        <f t="shared" si="94"/>
        <v>34.905900315857657</v>
      </c>
      <c r="BH90" s="598">
        <v>450</v>
      </c>
      <c r="BI90" s="593">
        <v>103.50685607036536</v>
      </c>
      <c r="BJ90" s="667">
        <f>(BI105-BI106)/BI87</f>
        <v>1.332278896639018</v>
      </c>
      <c r="BK90" s="714">
        <f>I90-BI103</f>
        <v>34.199999999999932</v>
      </c>
      <c r="BL90" s="667">
        <f>BI105-BI106</f>
        <v>137.9</v>
      </c>
      <c r="BM90" s="667">
        <f t="shared" si="95"/>
        <v>24.800580130529319</v>
      </c>
      <c r="BN90" s="668">
        <f t="shared" si="96"/>
        <v>33.04128953230915</v>
      </c>
      <c r="BO90" s="598">
        <v>450</v>
      </c>
      <c r="BP90" s="679">
        <v>103.50685607036536</v>
      </c>
      <c r="BQ90" s="667">
        <f>(BP105-BP106)/BP87</f>
        <v>0.89810475874955109</v>
      </c>
      <c r="BR90" s="714">
        <f>N90-BP103</f>
        <v>34.739999999999952</v>
      </c>
      <c r="BS90" s="667">
        <f>BP105-BP106</f>
        <v>92.96</v>
      </c>
      <c r="BT90" s="667">
        <f t="shared" si="97"/>
        <v>37.370912220309762</v>
      </c>
      <c r="BU90" s="710">
        <f t="shared" si="98"/>
        <v>33.562994103871951</v>
      </c>
      <c r="BV90" s="598">
        <v>450</v>
      </c>
      <c r="BW90" s="593">
        <v>103.50685607036536</v>
      </c>
      <c r="BX90" s="667">
        <f>(BW105-BW106)/BW87</f>
        <v>1.2185666224298719</v>
      </c>
      <c r="BY90" s="714">
        <f>S90-BW103</f>
        <v>32.69</v>
      </c>
      <c r="BZ90" s="667">
        <f>BW105-BW106</f>
        <v>126.13</v>
      </c>
      <c r="CA90" s="667">
        <f t="shared" si="99"/>
        <v>25.917703956235627</v>
      </c>
      <c r="CB90" s="668">
        <f t="shared" si="100"/>
        <v>31.582448971087377</v>
      </c>
      <c r="CC90" s="560"/>
    </row>
    <row r="91" spans="1:81" ht="15.75">
      <c r="A91" s="5"/>
      <c r="B91" s="59" t="s">
        <v>116</v>
      </c>
      <c r="C91" s="98">
        <v>550</v>
      </c>
      <c r="D91" s="72">
        <v>431.16</v>
      </c>
      <c r="E91" s="110">
        <v>1.71</v>
      </c>
      <c r="F91" s="110">
        <v>1.21</v>
      </c>
      <c r="G91" s="110">
        <v>1.17</v>
      </c>
      <c r="H91" s="104">
        <v>550</v>
      </c>
      <c r="I91" s="315">
        <v>458.03</v>
      </c>
      <c r="J91" s="108">
        <v>0</v>
      </c>
      <c r="K91" s="87">
        <v>0</v>
      </c>
      <c r="L91" s="108">
        <v>0</v>
      </c>
      <c r="M91" s="104">
        <v>550</v>
      </c>
      <c r="N91" s="315">
        <v>412.42</v>
      </c>
      <c r="O91" s="108">
        <v>3.73</v>
      </c>
      <c r="P91" s="108">
        <v>4.82</v>
      </c>
      <c r="Q91" s="108">
        <v>7.58</v>
      </c>
      <c r="R91" s="104">
        <v>550</v>
      </c>
      <c r="S91" s="315">
        <v>443.69</v>
      </c>
      <c r="T91" s="108">
        <v>1.02</v>
      </c>
      <c r="U91" s="108">
        <v>0.63</v>
      </c>
      <c r="V91" s="108">
        <v>1.87</v>
      </c>
      <c r="W91" s="5"/>
      <c r="X91" s="598">
        <v>550</v>
      </c>
      <c r="Y91" s="592">
        <f t="shared" si="77"/>
        <v>0.13633333333333333</v>
      </c>
      <c r="Z91" s="593">
        <v>9.6440000000000001</v>
      </c>
      <c r="AA91" s="593">
        <v>4.5170000000000003</v>
      </c>
      <c r="AB91" s="593">
        <f t="shared" si="78"/>
        <v>4.9906666666666668</v>
      </c>
      <c r="AC91" s="593">
        <f t="shared" si="79"/>
        <v>33.585333333333338</v>
      </c>
      <c r="AD91" s="653">
        <f t="shared" si="80"/>
        <v>70.88278571762666</v>
      </c>
      <c r="AE91" s="598">
        <v>550</v>
      </c>
      <c r="AF91" s="595">
        <f t="shared" si="81"/>
        <v>0</v>
      </c>
      <c r="AG91" s="593">
        <v>9.6440000000000001</v>
      </c>
      <c r="AH91" s="593">
        <v>4.5170000000000003</v>
      </c>
      <c r="AI91" s="593">
        <f t="shared" si="82"/>
        <v>5.1269999999999998</v>
      </c>
      <c r="AJ91" s="593">
        <f t="shared" si="83"/>
        <v>33.449000000000005</v>
      </c>
      <c r="AK91" s="653">
        <f t="shared" si="84"/>
        <v>72.523541961584996</v>
      </c>
      <c r="AL91" s="598">
        <v>550</v>
      </c>
      <c r="AM91" s="595">
        <f t="shared" si="85"/>
        <v>0.53766666666666674</v>
      </c>
      <c r="AN91" s="593">
        <v>9.6440000000000001</v>
      </c>
      <c r="AO91" s="593">
        <v>4.5170000000000003</v>
      </c>
      <c r="AP91" s="593">
        <f t="shared" si="86"/>
        <v>4.5893333333333333</v>
      </c>
      <c r="AQ91" s="593">
        <f t="shared" si="87"/>
        <v>33.986666666666672</v>
      </c>
      <c r="AR91" s="698">
        <f t="shared" si="88"/>
        <v>65.961530665066661</v>
      </c>
      <c r="AS91" s="598">
        <v>550</v>
      </c>
      <c r="AT91" s="595">
        <f t="shared" si="89"/>
        <v>0.11733333333333333</v>
      </c>
      <c r="AU91" s="593">
        <v>9.6440000000000001</v>
      </c>
      <c r="AV91" s="593">
        <v>4.5170000000000003</v>
      </c>
      <c r="AW91" s="593">
        <f t="shared" si="90"/>
        <v>5.009666666666666</v>
      </c>
      <c r="AX91" s="593">
        <f t="shared" si="91"/>
        <v>33.56633333333334</v>
      </c>
      <c r="AY91" s="698">
        <f t="shared" si="92"/>
        <v>71.112391342171648</v>
      </c>
      <c r="AZ91" s="75"/>
      <c r="BA91" s="598">
        <v>550</v>
      </c>
      <c r="BB91" s="593">
        <v>103.50685607036536</v>
      </c>
      <c r="BC91" s="667">
        <f>(BB105-BB106)/BB87</f>
        <v>1.0643739379457622</v>
      </c>
      <c r="BD91" s="714">
        <f>D91-BB103</f>
        <v>34.110000000000014</v>
      </c>
      <c r="BE91" s="667">
        <f>BB105-BB106</f>
        <v>110.17</v>
      </c>
      <c r="BF91" s="667">
        <f t="shared" si="93"/>
        <v>30.961241717345935</v>
      </c>
      <c r="BG91" s="668">
        <f t="shared" si="94"/>
        <v>32.954338770382108</v>
      </c>
      <c r="BH91" s="598">
        <v>550</v>
      </c>
      <c r="BI91" s="593">
        <v>103.50685607036536</v>
      </c>
      <c r="BJ91" s="667">
        <f>(BI105-BI106)/BI87</f>
        <v>1.332278896639018</v>
      </c>
      <c r="BK91" s="714">
        <f>I91-BI103</f>
        <v>32.949999999999932</v>
      </c>
      <c r="BL91" s="667">
        <f>BI105-BI106</f>
        <v>137.9</v>
      </c>
      <c r="BM91" s="667">
        <f t="shared" si="95"/>
        <v>23.894126178390088</v>
      </c>
      <c r="BN91" s="668">
        <f t="shared" si="96"/>
        <v>31.833640061099022</v>
      </c>
      <c r="BO91" s="598">
        <v>550</v>
      </c>
      <c r="BP91" s="679">
        <v>103.50685607036536</v>
      </c>
      <c r="BQ91" s="667">
        <f>(BP105-BP106)/BP87</f>
        <v>0.89810475874955109</v>
      </c>
      <c r="BR91" s="714">
        <f>N91-BP103</f>
        <v>32.319999999999993</v>
      </c>
      <c r="BS91" s="667">
        <f>BP105-BP106</f>
        <v>92.96</v>
      </c>
      <c r="BT91" s="667">
        <f t="shared" si="97"/>
        <v>34.76764199655765</v>
      </c>
      <c r="BU91" s="710">
        <f t="shared" si="98"/>
        <v>31.224984727609169</v>
      </c>
      <c r="BV91" s="598">
        <v>550</v>
      </c>
      <c r="BW91" s="593">
        <v>103.50685607036536</v>
      </c>
      <c r="BX91" s="667">
        <f>(BW105-BW106)/BW87</f>
        <v>1.2185666224298719</v>
      </c>
      <c r="BY91" s="714">
        <f>S91-BW103</f>
        <v>30.879999999999995</v>
      </c>
      <c r="BZ91" s="667">
        <f>BW105-BW106</f>
        <v>126.13</v>
      </c>
      <c r="CA91" s="667">
        <f t="shared" si="99"/>
        <v>24.48267660350432</v>
      </c>
      <c r="CB91" s="668">
        <f t="shared" si="100"/>
        <v>29.833772536775108</v>
      </c>
      <c r="CC91" s="560"/>
    </row>
    <row r="92" spans="1:81" ht="15.75">
      <c r="A92" s="5"/>
      <c r="B92" s="59" t="s">
        <v>116</v>
      </c>
      <c r="C92" s="98">
        <v>650</v>
      </c>
      <c r="D92" s="72">
        <v>429.58</v>
      </c>
      <c r="E92" s="110">
        <v>1.77</v>
      </c>
      <c r="F92" s="110">
        <v>1.28</v>
      </c>
      <c r="G92" s="110">
        <v>1.43</v>
      </c>
      <c r="H92" s="104">
        <v>650</v>
      </c>
      <c r="I92" s="315">
        <v>456.71</v>
      </c>
      <c r="J92" s="108">
        <v>0.45</v>
      </c>
      <c r="K92" s="108">
        <v>0.6</v>
      </c>
      <c r="L92" s="108">
        <v>0.59</v>
      </c>
      <c r="M92" s="104">
        <v>650</v>
      </c>
      <c r="N92" s="315">
        <v>410.36</v>
      </c>
      <c r="O92" s="108">
        <v>3.86</v>
      </c>
      <c r="P92" s="108">
        <v>5.8</v>
      </c>
      <c r="Q92" s="108">
        <v>8.31</v>
      </c>
      <c r="R92" s="104">
        <v>650</v>
      </c>
      <c r="S92" s="315">
        <v>441.97</v>
      </c>
      <c r="T92" s="108">
        <v>1.29</v>
      </c>
      <c r="U92" s="108">
        <v>0.94</v>
      </c>
      <c r="V92" s="108">
        <v>2.11</v>
      </c>
      <c r="W92" s="5"/>
      <c r="X92" s="598">
        <v>650</v>
      </c>
      <c r="Y92" s="592">
        <f t="shared" si="77"/>
        <v>0.14933333333333332</v>
      </c>
      <c r="Z92" s="593">
        <v>9.6440000000000001</v>
      </c>
      <c r="AA92" s="593">
        <v>4.5170000000000003</v>
      </c>
      <c r="AB92" s="593">
        <f t="shared" si="78"/>
        <v>4.977666666666666</v>
      </c>
      <c r="AC92" s="593">
        <f t="shared" si="79"/>
        <v>33.598333333333336</v>
      </c>
      <c r="AD92" s="653">
        <f t="shared" si="80"/>
        <v>98.781912348491645</v>
      </c>
      <c r="AE92" s="598">
        <v>650</v>
      </c>
      <c r="AF92" s="595">
        <f t="shared" si="81"/>
        <v>5.4666666666666676E-2</v>
      </c>
      <c r="AG92" s="593">
        <v>9.6440000000000001</v>
      </c>
      <c r="AH92" s="593">
        <v>4.5170000000000003</v>
      </c>
      <c r="AI92" s="593">
        <f t="shared" si="82"/>
        <v>5.0723333333333329</v>
      </c>
      <c r="AJ92" s="593">
        <f t="shared" si="83"/>
        <v>33.503666666666675</v>
      </c>
      <c r="AK92" s="653">
        <f t="shared" si="84"/>
        <v>100.37695333733167</v>
      </c>
      <c r="AL92" s="598">
        <v>650</v>
      </c>
      <c r="AM92" s="595">
        <f t="shared" si="85"/>
        <v>0.59899999999999998</v>
      </c>
      <c r="AN92" s="593">
        <v>9.6440000000000001</v>
      </c>
      <c r="AO92" s="593">
        <v>4.5170000000000003</v>
      </c>
      <c r="AP92" s="593">
        <f t="shared" si="86"/>
        <v>4.5279999999999996</v>
      </c>
      <c r="AQ92" s="593">
        <f t="shared" si="87"/>
        <v>34.048000000000002</v>
      </c>
      <c r="AR92" s="698">
        <f t="shared" si="88"/>
        <v>91.060893880319995</v>
      </c>
      <c r="AS92" s="598">
        <v>650</v>
      </c>
      <c r="AT92" s="595">
        <f t="shared" si="89"/>
        <v>0.14466666666666667</v>
      </c>
      <c r="AU92" s="593">
        <v>9.6440000000000001</v>
      </c>
      <c r="AV92" s="593">
        <v>4.5170000000000003</v>
      </c>
      <c r="AW92" s="593">
        <f t="shared" si="90"/>
        <v>4.9823333333333331</v>
      </c>
      <c r="AX92" s="593">
        <f t="shared" si="91"/>
        <v>33.593666666666671</v>
      </c>
      <c r="AY92" s="698">
        <f t="shared" si="92"/>
        <v>98.86078920473166</v>
      </c>
      <c r="AZ92" s="75"/>
      <c r="BA92" s="598">
        <v>650</v>
      </c>
      <c r="BB92" s="593">
        <v>103.50685607036536</v>
      </c>
      <c r="BC92" s="667">
        <f>(BB105-BB106)/BB87</f>
        <v>1.0643739379457622</v>
      </c>
      <c r="BD92" s="714">
        <f>D92-BB103</f>
        <v>32.529999999999973</v>
      </c>
      <c r="BE92" s="667">
        <f>BB105-BB106</f>
        <v>110.17</v>
      </c>
      <c r="BF92" s="667">
        <f t="shared" si="93"/>
        <v>29.527094490333095</v>
      </c>
      <c r="BG92" s="668">
        <f t="shared" si="94"/>
        <v>31.427869838772455</v>
      </c>
      <c r="BH92" s="598">
        <v>650</v>
      </c>
      <c r="BI92" s="593">
        <v>103.50685607036536</v>
      </c>
      <c r="BJ92" s="667">
        <f>(BI105-BI106)/BI87</f>
        <v>1.332278896639018</v>
      </c>
      <c r="BK92" s="714">
        <f>I92-BI103</f>
        <v>31.629999999999939</v>
      </c>
      <c r="BL92" s="667">
        <f>BI105-BI106</f>
        <v>137.9</v>
      </c>
      <c r="BM92" s="667">
        <f t="shared" si="95"/>
        <v>22.936910804931063</v>
      </c>
      <c r="BN92" s="668">
        <f t="shared" si="96"/>
        <v>30.558362219501127</v>
      </c>
      <c r="BO92" s="598">
        <v>650</v>
      </c>
      <c r="BP92" s="679">
        <v>103.50685607036536</v>
      </c>
      <c r="BQ92" s="667">
        <f>(BP105-BP106)/BP87</f>
        <v>0.89810475874955109</v>
      </c>
      <c r="BR92" s="714">
        <f>N92-BP103</f>
        <v>30.259999999999991</v>
      </c>
      <c r="BS92" s="667">
        <f>BP105-BP106</f>
        <v>92.96</v>
      </c>
      <c r="BT92" s="667">
        <f t="shared" si="97"/>
        <v>32.551635111876074</v>
      </c>
      <c r="BU92" s="710">
        <f t="shared" si="98"/>
        <v>29.234778399054878</v>
      </c>
      <c r="BV92" s="598">
        <v>650</v>
      </c>
      <c r="BW92" s="593">
        <v>103.50685607036536</v>
      </c>
      <c r="BX92" s="667">
        <f>(BW105-BW106)/BW87</f>
        <v>1.2185666224298719</v>
      </c>
      <c r="BY92" s="714">
        <f>S92-BW103</f>
        <v>29.160000000000025</v>
      </c>
      <c r="BZ92" s="667">
        <f>BW105-BW106</f>
        <v>126.13</v>
      </c>
      <c r="CA92" s="667">
        <f t="shared" si="99"/>
        <v>23.119004202013816</v>
      </c>
      <c r="CB92" s="668">
        <f t="shared" si="100"/>
        <v>28.172046864389991</v>
      </c>
      <c r="CC92" s="560"/>
    </row>
    <row r="93" spans="1:81" ht="15.75">
      <c r="A93" s="5"/>
      <c r="B93" s="59" t="s">
        <v>116</v>
      </c>
      <c r="C93" s="98">
        <v>750</v>
      </c>
      <c r="D93" s="72">
        <v>428.13</v>
      </c>
      <c r="E93" s="110">
        <v>1.79</v>
      </c>
      <c r="F93" s="110">
        <v>1.47</v>
      </c>
      <c r="G93" s="110">
        <v>1.76</v>
      </c>
      <c r="H93" s="104">
        <v>750</v>
      </c>
      <c r="I93" s="315">
        <v>455.56</v>
      </c>
      <c r="J93" s="108">
        <v>0.69</v>
      </c>
      <c r="K93" s="108">
        <v>0.77</v>
      </c>
      <c r="L93" s="108">
        <v>0.87</v>
      </c>
      <c r="M93" s="104">
        <v>750</v>
      </c>
      <c r="N93" s="315">
        <v>408.8</v>
      </c>
      <c r="O93" s="108">
        <v>4.83</v>
      </c>
      <c r="P93" s="108">
        <v>6.94</v>
      </c>
      <c r="Q93" s="108">
        <v>9.5500000000000007</v>
      </c>
      <c r="R93" s="104">
        <v>750</v>
      </c>
      <c r="S93" s="315">
        <v>440.34</v>
      </c>
      <c r="T93" s="108">
        <v>1.51</v>
      </c>
      <c r="U93" s="108">
        <v>1.22</v>
      </c>
      <c r="V93" s="108">
        <v>2.35</v>
      </c>
      <c r="W93" s="5"/>
      <c r="X93" s="598">
        <v>750</v>
      </c>
      <c r="Y93" s="592">
        <f t="shared" si="77"/>
        <v>0.16733333333333331</v>
      </c>
      <c r="Z93" s="593">
        <v>9.6440000000000001</v>
      </c>
      <c r="AA93" s="593">
        <v>4.5170000000000003</v>
      </c>
      <c r="AB93" s="593">
        <f t="shared" si="78"/>
        <v>4.9596666666666662</v>
      </c>
      <c r="AC93" s="593">
        <f t="shared" si="79"/>
        <v>33.616333333333337</v>
      </c>
      <c r="AD93" s="653">
        <f t="shared" si="80"/>
        <v>131.10900717862498</v>
      </c>
      <c r="AE93" s="598">
        <v>750</v>
      </c>
      <c r="AF93" s="595">
        <f t="shared" si="81"/>
        <v>7.7666666666666676E-2</v>
      </c>
      <c r="AG93" s="593">
        <v>9.6440000000000001</v>
      </c>
      <c r="AH93" s="593">
        <v>4.5170000000000003</v>
      </c>
      <c r="AI93" s="593">
        <f t="shared" si="82"/>
        <v>5.0493333333333332</v>
      </c>
      <c r="AJ93" s="593">
        <f t="shared" si="83"/>
        <v>33.526666666666671</v>
      </c>
      <c r="AK93" s="653">
        <f t="shared" si="84"/>
        <v>133.12331277000001</v>
      </c>
      <c r="AL93" s="598">
        <v>750</v>
      </c>
      <c r="AM93" s="595">
        <f t="shared" si="85"/>
        <v>0.71066666666666667</v>
      </c>
      <c r="AN93" s="593">
        <v>9.6440000000000001</v>
      </c>
      <c r="AO93" s="593">
        <v>4.5170000000000003</v>
      </c>
      <c r="AP93" s="593">
        <f t="shared" si="86"/>
        <v>4.4163333333333332</v>
      </c>
      <c r="AQ93" s="593">
        <f t="shared" si="87"/>
        <v>34.159666666666674</v>
      </c>
      <c r="AR93" s="698">
        <f t="shared" si="88"/>
        <v>118.63290567862502</v>
      </c>
      <c r="AS93" s="598">
        <v>750</v>
      </c>
      <c r="AT93" s="595">
        <f t="shared" si="89"/>
        <v>0.16933333333333334</v>
      </c>
      <c r="AU93" s="593">
        <v>9.6440000000000001</v>
      </c>
      <c r="AV93" s="593">
        <v>4.5170000000000003</v>
      </c>
      <c r="AW93" s="593">
        <f t="shared" si="90"/>
        <v>4.9576666666666664</v>
      </c>
      <c r="AX93" s="593">
        <f t="shared" si="91"/>
        <v>33.618333333333339</v>
      </c>
      <c r="AY93" s="698">
        <f t="shared" si="92"/>
        <v>131.06393426062502</v>
      </c>
      <c r="AZ93" s="75"/>
      <c r="BA93" s="598">
        <v>750</v>
      </c>
      <c r="BB93" s="593">
        <v>103.50685607036536</v>
      </c>
      <c r="BC93" s="667">
        <f>(BB105-BB106)/BB87</f>
        <v>1.0643739379457622</v>
      </c>
      <c r="BD93" s="714">
        <f>D93-BB103</f>
        <v>31.079999999999984</v>
      </c>
      <c r="BE93" s="667">
        <f>BB105-BB106</f>
        <v>110.17</v>
      </c>
      <c r="BF93" s="667">
        <f t="shared" si="93"/>
        <v>28.210946718707437</v>
      </c>
      <c r="BG93" s="668">
        <f t="shared" si="94"/>
        <v>30.026996452168714</v>
      </c>
      <c r="BH93" s="598">
        <v>750</v>
      </c>
      <c r="BI93" s="593">
        <v>103.50685607036536</v>
      </c>
      <c r="BJ93" s="667">
        <f>(BI105-BI106)/BI87</f>
        <v>1.332278896639018</v>
      </c>
      <c r="BK93" s="714">
        <f>I93-BI103</f>
        <v>30.479999999999961</v>
      </c>
      <c r="BL93" s="667">
        <f>BI105-BI106</f>
        <v>137.9</v>
      </c>
      <c r="BM93" s="667">
        <f t="shared" si="95"/>
        <v>22.10297316896299</v>
      </c>
      <c r="BN93" s="668">
        <f t="shared" si="96"/>
        <v>29.447324705987832</v>
      </c>
      <c r="BO93" s="598">
        <v>750</v>
      </c>
      <c r="BP93" s="679">
        <v>103.50685607036536</v>
      </c>
      <c r="BQ93" s="667">
        <f>(BP105-BP106)/BP87</f>
        <v>0.89810475874955109</v>
      </c>
      <c r="BR93" s="714">
        <f>N93-BP103</f>
        <v>28.699999999999989</v>
      </c>
      <c r="BS93" s="667">
        <f>BP105-BP106</f>
        <v>92.96</v>
      </c>
      <c r="BT93" s="667">
        <f t="shared" si="97"/>
        <v>30.873493975903603</v>
      </c>
      <c r="BU93" s="710">
        <f t="shared" si="98"/>
        <v>27.727631858984623</v>
      </c>
      <c r="BV93" s="598">
        <v>750</v>
      </c>
      <c r="BW93" s="593">
        <v>103.50685607036536</v>
      </c>
      <c r="BX93" s="667">
        <f>(BW105-BW106)/BW87</f>
        <v>1.2185666224298719</v>
      </c>
      <c r="BY93" s="714">
        <f>S93-BW103</f>
        <v>27.529999999999973</v>
      </c>
      <c r="BZ93" s="667">
        <f>BW105-BW106</f>
        <v>126.13</v>
      </c>
      <c r="CA93" s="667">
        <f t="shared" si="99"/>
        <v>21.826686751764033</v>
      </c>
      <c r="CB93" s="668">
        <f t="shared" si="100"/>
        <v>26.59727195393193</v>
      </c>
      <c r="CC93" s="560"/>
    </row>
    <row r="94" spans="1:81" ht="15.75">
      <c r="A94" s="5"/>
      <c r="B94" s="59" t="s">
        <v>116</v>
      </c>
      <c r="C94" s="98">
        <v>850</v>
      </c>
      <c r="D94" s="72">
        <v>426.95</v>
      </c>
      <c r="E94" s="110">
        <v>2.59</v>
      </c>
      <c r="F94" s="110">
        <v>1.67</v>
      </c>
      <c r="G94" s="110">
        <v>1.82</v>
      </c>
      <c r="H94" s="104">
        <v>850</v>
      </c>
      <c r="I94" s="315">
        <v>454.32</v>
      </c>
      <c r="J94" s="108">
        <v>0.87</v>
      </c>
      <c r="K94" s="108">
        <v>0.83</v>
      </c>
      <c r="L94" s="108">
        <v>1.25</v>
      </c>
      <c r="M94" s="104">
        <v>850</v>
      </c>
      <c r="N94" s="315">
        <v>407.42</v>
      </c>
      <c r="O94" s="108">
        <v>4.8099999999999996</v>
      </c>
      <c r="P94" s="108">
        <v>7.04</v>
      </c>
      <c r="Q94" s="108">
        <v>9.6199999999999992</v>
      </c>
      <c r="R94" s="104">
        <v>850</v>
      </c>
      <c r="S94" s="315">
        <v>439.16</v>
      </c>
      <c r="T94" s="108">
        <v>2.0499999999999998</v>
      </c>
      <c r="U94" s="108">
        <v>1.71</v>
      </c>
      <c r="V94" s="108">
        <v>2.4500000000000002</v>
      </c>
      <c r="W94" s="5"/>
      <c r="X94" s="598">
        <v>850</v>
      </c>
      <c r="Y94" s="592">
        <f t="shared" si="77"/>
        <v>0.20266666666666669</v>
      </c>
      <c r="Z94" s="593">
        <v>9.6440000000000001</v>
      </c>
      <c r="AA94" s="593">
        <v>4.5170000000000003</v>
      </c>
      <c r="AB94" s="593">
        <f t="shared" si="78"/>
        <v>4.9243333333333332</v>
      </c>
      <c r="AC94" s="593">
        <f t="shared" si="79"/>
        <v>33.651666666666671</v>
      </c>
      <c r="AD94" s="653">
        <f t="shared" si="80"/>
        <v>167.37825828909166</v>
      </c>
      <c r="AE94" s="598">
        <v>850</v>
      </c>
      <c r="AF94" s="595">
        <f t="shared" si="81"/>
        <v>9.8333333333333342E-2</v>
      </c>
      <c r="AG94" s="593">
        <v>9.6440000000000001</v>
      </c>
      <c r="AH94" s="593">
        <v>4.5170000000000003</v>
      </c>
      <c r="AI94" s="593">
        <f t="shared" si="82"/>
        <v>5.0286666666666662</v>
      </c>
      <c r="AJ94" s="593">
        <f t="shared" si="83"/>
        <v>33.547333333333341</v>
      </c>
      <c r="AK94" s="653">
        <f t="shared" si="84"/>
        <v>170.39461886740668</v>
      </c>
      <c r="AL94" s="598">
        <v>850</v>
      </c>
      <c r="AM94" s="595">
        <f t="shared" si="85"/>
        <v>0.71566666666666667</v>
      </c>
      <c r="AN94" s="593">
        <v>9.6440000000000001</v>
      </c>
      <c r="AO94" s="593">
        <v>4.5170000000000003</v>
      </c>
      <c r="AP94" s="593">
        <f t="shared" si="86"/>
        <v>4.4113333333333333</v>
      </c>
      <c r="AQ94" s="593">
        <f t="shared" si="87"/>
        <v>34.164666666666669</v>
      </c>
      <c r="AR94" s="698">
        <f t="shared" si="88"/>
        <v>152.22713936308665</v>
      </c>
      <c r="AS94" s="598">
        <v>850</v>
      </c>
      <c r="AT94" s="595">
        <f t="shared" si="89"/>
        <v>0.20699999999999999</v>
      </c>
      <c r="AU94" s="593">
        <v>9.6440000000000001</v>
      </c>
      <c r="AV94" s="593">
        <v>4.5170000000000003</v>
      </c>
      <c r="AW94" s="593">
        <f t="shared" si="90"/>
        <v>4.92</v>
      </c>
      <c r="AX94" s="593">
        <f t="shared" si="91"/>
        <v>33.656000000000006</v>
      </c>
      <c r="AY94" s="698">
        <f t="shared" si="92"/>
        <v>167.25250251360001</v>
      </c>
      <c r="AZ94" s="75"/>
      <c r="BA94" s="598">
        <v>850</v>
      </c>
      <c r="BB94" s="593">
        <v>103.50685607036536</v>
      </c>
      <c r="BC94" s="667">
        <f>(BB105-BB106)/BB87</f>
        <v>1.0643739379457622</v>
      </c>
      <c r="BD94" s="714">
        <f>D94-BB103</f>
        <v>29.899999999999977</v>
      </c>
      <c r="BE94" s="667">
        <f>BB105-BB106</f>
        <v>110.17</v>
      </c>
      <c r="BF94" s="667">
        <f t="shared" si="93"/>
        <v>27.139874739039644</v>
      </c>
      <c r="BG94" s="668">
        <f t="shared" si="94"/>
        <v>28.88697535134634</v>
      </c>
      <c r="BH94" s="598">
        <v>850</v>
      </c>
      <c r="BI94" s="593">
        <v>103.50685607036536</v>
      </c>
      <c r="BJ94" s="667">
        <f>(BI105-BI106)/BI87</f>
        <v>1.332278896639018</v>
      </c>
      <c r="BK94" s="714">
        <f>I94-BI103</f>
        <v>29.239999999999952</v>
      </c>
      <c r="BL94" s="667">
        <f>BI105-BI106</f>
        <v>137.9</v>
      </c>
      <c r="BM94" s="667">
        <f t="shared" si="95"/>
        <v>21.203770848440865</v>
      </c>
      <c r="BN94" s="668">
        <f t="shared" si="96"/>
        <v>28.24933643054737</v>
      </c>
      <c r="BO94" s="598">
        <v>850</v>
      </c>
      <c r="BP94" s="679">
        <v>103.50685607036536</v>
      </c>
      <c r="BQ94" s="667">
        <f>(BP105-BP106)/BP87</f>
        <v>0.89810475874955109</v>
      </c>
      <c r="BR94" s="714">
        <f>N94-BP103</f>
        <v>27.319999999999993</v>
      </c>
      <c r="BS94" s="667">
        <f>BP105-BP106</f>
        <v>92.96</v>
      </c>
      <c r="BT94" s="667">
        <f t="shared" si="97"/>
        <v>29.388984509466432</v>
      </c>
      <c r="BU94" s="710">
        <f t="shared" si="98"/>
        <v>26.394386842768643</v>
      </c>
      <c r="BV94" s="598">
        <v>850</v>
      </c>
      <c r="BW94" s="593">
        <v>103.50685607036536</v>
      </c>
      <c r="BX94" s="667">
        <f>(BW105-BW106)/BW87</f>
        <v>1.2185666224298719</v>
      </c>
      <c r="BY94" s="714">
        <f>S94-BW103</f>
        <v>26.350000000000023</v>
      </c>
      <c r="BZ94" s="667">
        <f>BW105-BW106</f>
        <v>126.13</v>
      </c>
      <c r="CA94" s="667">
        <f t="shared" si="99"/>
        <v>20.891144057718247</v>
      </c>
      <c r="CB94" s="668">
        <f t="shared" si="100"/>
        <v>25.457250853109613</v>
      </c>
      <c r="CC94" s="560"/>
    </row>
    <row r="95" spans="1:81" ht="15.75">
      <c r="A95" s="5"/>
      <c r="B95" s="59" t="s">
        <v>116</v>
      </c>
      <c r="C95" s="98">
        <v>950</v>
      </c>
      <c r="D95" s="72">
        <v>425.84</v>
      </c>
      <c r="E95" s="110">
        <v>3.45</v>
      </c>
      <c r="F95" s="110">
        <v>2.2000000000000002</v>
      </c>
      <c r="G95" s="110">
        <v>2.37</v>
      </c>
      <c r="H95" s="104">
        <v>950</v>
      </c>
      <c r="I95" s="315">
        <v>453.13</v>
      </c>
      <c r="J95" s="108">
        <v>1.03</v>
      </c>
      <c r="K95" s="108">
        <v>1.06</v>
      </c>
      <c r="L95" s="108">
        <v>1.34</v>
      </c>
      <c r="M95" s="104">
        <v>950</v>
      </c>
      <c r="N95" s="315">
        <v>406.3</v>
      </c>
      <c r="O95" s="108">
        <v>5.18</v>
      </c>
      <c r="P95" s="108">
        <v>7.36</v>
      </c>
      <c r="Q95" s="108">
        <v>9.77</v>
      </c>
      <c r="R95" s="104">
        <v>950</v>
      </c>
      <c r="S95" s="315">
        <v>438.05</v>
      </c>
      <c r="T95" s="108">
        <v>2.1</v>
      </c>
      <c r="U95" s="108">
        <v>2.02</v>
      </c>
      <c r="V95" s="108">
        <v>2.94</v>
      </c>
      <c r="W95" s="5"/>
      <c r="X95" s="598">
        <v>950</v>
      </c>
      <c r="Y95" s="592">
        <f t="shared" si="77"/>
        <v>0.26733333333333331</v>
      </c>
      <c r="Z95" s="593">
        <v>9.6440000000000001</v>
      </c>
      <c r="AA95" s="593">
        <v>4.5170000000000003</v>
      </c>
      <c r="AB95" s="593">
        <f t="shared" si="78"/>
        <v>4.8596666666666666</v>
      </c>
      <c r="AC95" s="593">
        <f t="shared" si="79"/>
        <v>33.716333333333338</v>
      </c>
      <c r="AD95" s="653">
        <f t="shared" si="80"/>
        <v>206.72890392937165</v>
      </c>
      <c r="AE95" s="598">
        <v>950</v>
      </c>
      <c r="AF95" s="595">
        <f t="shared" si="81"/>
        <v>0.11433333333333333</v>
      </c>
      <c r="AG95" s="593">
        <v>9.6440000000000001</v>
      </c>
      <c r="AH95" s="593">
        <v>4.5170000000000003</v>
      </c>
      <c r="AI95" s="593">
        <f t="shared" si="82"/>
        <v>5.0126666666666662</v>
      </c>
      <c r="AJ95" s="593">
        <f t="shared" si="83"/>
        <v>33.56333333333334</v>
      </c>
      <c r="AK95" s="653">
        <f t="shared" si="84"/>
        <v>212.26984065476665</v>
      </c>
      <c r="AL95" s="598">
        <v>950</v>
      </c>
      <c r="AM95" s="595">
        <f t="shared" si="85"/>
        <v>0.7436666666666667</v>
      </c>
      <c r="AN95" s="593">
        <v>9.6440000000000001</v>
      </c>
      <c r="AO95" s="593">
        <v>4.5170000000000003</v>
      </c>
      <c r="AP95" s="593">
        <f t="shared" si="86"/>
        <v>4.3833333333333329</v>
      </c>
      <c r="AQ95" s="593">
        <f t="shared" si="87"/>
        <v>34.192666666666675</v>
      </c>
      <c r="AR95" s="698">
        <f t="shared" si="88"/>
        <v>189.10014096516667</v>
      </c>
      <c r="AS95" s="598">
        <v>950</v>
      </c>
      <c r="AT95" s="595">
        <f t="shared" si="89"/>
        <v>0.23533333333333334</v>
      </c>
      <c r="AU95" s="593">
        <v>9.6440000000000001</v>
      </c>
      <c r="AV95" s="593">
        <v>4.5170000000000003</v>
      </c>
      <c r="AW95" s="593">
        <f t="shared" si="90"/>
        <v>4.8916666666666666</v>
      </c>
      <c r="AX95" s="593">
        <f t="shared" si="91"/>
        <v>33.684333333333342</v>
      </c>
      <c r="AY95" s="698">
        <f t="shared" si="92"/>
        <v>207.89267793929167</v>
      </c>
      <c r="AZ95" s="75"/>
      <c r="BA95" s="598">
        <v>950</v>
      </c>
      <c r="BB95" s="593">
        <v>103.50685607036536</v>
      </c>
      <c r="BC95" s="667">
        <f>(BB105-BB106)/BB87</f>
        <v>1.0643739379457622</v>
      </c>
      <c r="BD95" s="714">
        <f>D95-BB103</f>
        <v>28.789999999999964</v>
      </c>
      <c r="BE95" s="667">
        <f>BB105-BB106</f>
        <v>110.17</v>
      </c>
      <c r="BF95" s="667">
        <f t="shared" si="93"/>
        <v>26.132340927657221</v>
      </c>
      <c r="BG95" s="668">
        <f t="shared" si="94"/>
        <v>27.814582620911729</v>
      </c>
      <c r="BH95" s="598">
        <v>950</v>
      </c>
      <c r="BI95" s="593">
        <v>103.50685607036536</v>
      </c>
      <c r="BJ95" s="667">
        <f>(BI105-BI106)/BI87</f>
        <v>1.332278896639018</v>
      </c>
      <c r="BK95" s="714">
        <f>I95-BI103</f>
        <v>28.049999999999955</v>
      </c>
      <c r="BL95" s="667">
        <f>BI105-BI106</f>
        <v>137.9</v>
      </c>
      <c r="BM95" s="667">
        <f t="shared" si="95"/>
        <v>20.340826686004316</v>
      </c>
      <c r="BN95" s="668">
        <f t="shared" si="96"/>
        <v>27.099654133955323</v>
      </c>
      <c r="BO95" s="598">
        <v>950</v>
      </c>
      <c r="BP95" s="679">
        <v>103.50685607036536</v>
      </c>
      <c r="BQ95" s="667">
        <f>(BP105-BP106)/BP87</f>
        <v>0.89810475874955109</v>
      </c>
      <c r="BR95" s="714">
        <f>N95-BP103</f>
        <v>26.199999999999989</v>
      </c>
      <c r="BS95" s="667">
        <f>BP105-BP106</f>
        <v>92.96</v>
      </c>
      <c r="BT95" s="667">
        <f t="shared" si="97"/>
        <v>28.184165232357994</v>
      </c>
      <c r="BU95" s="710">
        <f t="shared" si="98"/>
        <v>25.312332916564362</v>
      </c>
      <c r="BV95" s="598">
        <v>950</v>
      </c>
      <c r="BW95" s="593">
        <v>103.50685607036536</v>
      </c>
      <c r="BX95" s="667">
        <f>(BW105-BW106)/BW87</f>
        <v>1.2185666224298719</v>
      </c>
      <c r="BY95" s="714">
        <f>S95-BW103</f>
        <v>25.240000000000009</v>
      </c>
      <c r="BZ95" s="667">
        <f>BW105-BW106</f>
        <v>126.13</v>
      </c>
      <c r="CA95" s="667">
        <f t="shared" si="99"/>
        <v>20.011099659081907</v>
      </c>
      <c r="CB95" s="668">
        <f t="shared" si="100"/>
        <v>24.384858122675002</v>
      </c>
      <c r="CC95" s="560"/>
    </row>
    <row r="96" spans="1:81" ht="15.75">
      <c r="A96" s="5"/>
      <c r="B96" s="59" t="s">
        <v>116</v>
      </c>
      <c r="C96" s="98">
        <v>1000</v>
      </c>
      <c r="D96" s="72">
        <v>425.14</v>
      </c>
      <c r="E96" s="110">
        <v>3.61</v>
      </c>
      <c r="F96" s="110">
        <v>2.42</v>
      </c>
      <c r="G96" s="110">
        <v>2.36</v>
      </c>
      <c r="H96" s="104">
        <v>1000</v>
      </c>
      <c r="I96" s="315">
        <v>452.41</v>
      </c>
      <c r="J96" s="108">
        <v>1.36</v>
      </c>
      <c r="K96" s="108">
        <v>0.91</v>
      </c>
      <c r="L96" s="108">
        <v>1.24</v>
      </c>
      <c r="M96" s="104">
        <v>1000</v>
      </c>
      <c r="N96" s="315">
        <v>405.57</v>
      </c>
      <c r="O96" s="108">
        <v>5.2</v>
      </c>
      <c r="P96" s="108">
        <v>7.37</v>
      </c>
      <c r="Q96" s="108">
        <v>9.56</v>
      </c>
      <c r="R96" s="104">
        <v>1000</v>
      </c>
      <c r="S96" s="315">
        <v>437.43</v>
      </c>
      <c r="T96" s="108">
        <v>2.59</v>
      </c>
      <c r="U96" s="108">
        <v>1.87</v>
      </c>
      <c r="V96" s="108">
        <v>2.73</v>
      </c>
      <c r="W96" s="5"/>
      <c r="X96" s="598">
        <v>1000</v>
      </c>
      <c r="Y96" s="592">
        <f t="shared" si="77"/>
        <v>0.27966666666666662</v>
      </c>
      <c r="Z96" s="593">
        <v>9.6440000000000001</v>
      </c>
      <c r="AA96" s="593">
        <v>4.5170000000000003</v>
      </c>
      <c r="AB96" s="593">
        <f t="shared" si="78"/>
        <v>4.8473333333333333</v>
      </c>
      <c r="AC96" s="593">
        <f t="shared" si="79"/>
        <v>33.728666666666669</v>
      </c>
      <c r="AD96" s="653">
        <f t="shared" si="80"/>
        <v>228.56473813066663</v>
      </c>
      <c r="AE96" s="598">
        <v>1000</v>
      </c>
      <c r="AF96" s="595">
        <f t="shared" si="81"/>
        <v>0.11699999999999999</v>
      </c>
      <c r="AG96" s="593">
        <v>9.6440000000000001</v>
      </c>
      <c r="AH96" s="593">
        <v>4.5170000000000003</v>
      </c>
      <c r="AI96" s="593">
        <f t="shared" si="82"/>
        <v>5.01</v>
      </c>
      <c r="AJ96" s="593">
        <f t="shared" si="83"/>
        <v>33.566000000000003</v>
      </c>
      <c r="AK96" s="653">
        <f t="shared" si="84"/>
        <v>235.09559267999998</v>
      </c>
      <c r="AL96" s="598">
        <v>1000</v>
      </c>
      <c r="AM96" s="595">
        <f t="shared" si="85"/>
        <v>0.7376666666666668</v>
      </c>
      <c r="AN96" s="593">
        <v>9.6440000000000001</v>
      </c>
      <c r="AO96" s="593">
        <v>4.5170000000000003</v>
      </c>
      <c r="AP96" s="593">
        <f t="shared" si="86"/>
        <v>4.3893333333333331</v>
      </c>
      <c r="AQ96" s="593">
        <f t="shared" si="87"/>
        <v>34.186666666666675</v>
      </c>
      <c r="AR96" s="698">
        <f t="shared" si="88"/>
        <v>209.77923242666668</v>
      </c>
      <c r="AS96" s="598">
        <v>1000</v>
      </c>
      <c r="AT96" s="595">
        <f t="shared" si="89"/>
        <v>0.23966666666666664</v>
      </c>
      <c r="AU96" s="593">
        <v>9.6440000000000001</v>
      </c>
      <c r="AV96" s="593">
        <v>4.5170000000000003</v>
      </c>
      <c r="AW96" s="593">
        <f t="shared" si="90"/>
        <v>4.8873333333333333</v>
      </c>
      <c r="AX96" s="593">
        <f t="shared" si="91"/>
        <v>33.68866666666667</v>
      </c>
      <c r="AY96" s="698">
        <f t="shared" si="92"/>
        <v>230.17754549066663</v>
      </c>
      <c r="AZ96" s="75"/>
      <c r="BA96" s="598">
        <v>1000</v>
      </c>
      <c r="BB96" s="593">
        <v>103.50685607036536</v>
      </c>
      <c r="BC96" s="667">
        <f>(BB105-BB106)/BB87</f>
        <v>1.0643739379457622</v>
      </c>
      <c r="BD96" s="714">
        <f>D96-BB103</f>
        <v>28.089999999999975</v>
      </c>
      <c r="BE96" s="667">
        <f>BB105-BB106</f>
        <v>110.17</v>
      </c>
      <c r="BF96" s="667">
        <f t="shared" si="93"/>
        <v>25.496959244803463</v>
      </c>
      <c r="BG96" s="668">
        <f t="shared" si="94"/>
        <v>27.138298917034067</v>
      </c>
      <c r="BH96" s="598">
        <v>1000</v>
      </c>
      <c r="BI96" s="593">
        <v>103.50685607036536</v>
      </c>
      <c r="BJ96" s="667">
        <f>(BI105-BI106)/BI87</f>
        <v>1.332278896639018</v>
      </c>
      <c r="BK96" s="714">
        <f>I96-BI103</f>
        <v>27.329999999999984</v>
      </c>
      <c r="BL96" s="667">
        <f>BI105-BI106</f>
        <v>137.9</v>
      </c>
      <c r="BM96" s="667">
        <f t="shared" si="95"/>
        <v>19.818709209572141</v>
      </c>
      <c r="BN96" s="668">
        <f t="shared" si="96"/>
        <v>26.404048038538317</v>
      </c>
      <c r="BO96" s="598">
        <v>1000</v>
      </c>
      <c r="BP96" s="679">
        <v>103.50685607036536</v>
      </c>
      <c r="BQ96" s="667">
        <f>(BP105-BP106)/BP87</f>
        <v>0.89810475874955109</v>
      </c>
      <c r="BR96" s="714">
        <f>N96-BP103</f>
        <v>25.46999999999997</v>
      </c>
      <c r="BS96" s="667">
        <f>BP105-BP106</f>
        <v>92.96</v>
      </c>
      <c r="BT96" s="667">
        <f t="shared" si="97"/>
        <v>27.398881239242655</v>
      </c>
      <c r="BU96" s="710">
        <f t="shared" si="98"/>
        <v>24.607065625377626</v>
      </c>
      <c r="BV96" s="598">
        <v>1000</v>
      </c>
      <c r="BW96" s="593">
        <v>103.50685607036536</v>
      </c>
      <c r="BX96" s="667">
        <f>(BW105-BW106)/BW87</f>
        <v>1.2185666224298719</v>
      </c>
      <c r="BY96" s="714">
        <f>S96-BW103</f>
        <v>24.620000000000005</v>
      </c>
      <c r="BZ96" s="667">
        <f>BW105-BW106</f>
        <v>126.13</v>
      </c>
      <c r="CA96" s="667">
        <f t="shared" si="99"/>
        <v>19.519543328312064</v>
      </c>
      <c r="CB96" s="668">
        <f t="shared" si="100"/>
        <v>23.785863984954773</v>
      </c>
      <c r="CC96" s="560"/>
    </row>
    <row r="97" spans="1:81" ht="15.75">
      <c r="A97" s="5"/>
      <c r="B97" s="59" t="s">
        <v>116</v>
      </c>
      <c r="C97" s="98">
        <v>1350</v>
      </c>
      <c r="D97" s="72">
        <v>423.44</v>
      </c>
      <c r="E97" s="110">
        <v>4.53</v>
      </c>
      <c r="F97" s="110">
        <v>2.94</v>
      </c>
      <c r="G97" s="110">
        <v>2.86</v>
      </c>
      <c r="H97" s="104">
        <v>1350</v>
      </c>
      <c r="I97" s="315">
        <v>450.56</v>
      </c>
      <c r="J97" s="108">
        <v>1.52</v>
      </c>
      <c r="K97" s="108">
        <v>1.36</v>
      </c>
      <c r="L97" s="108">
        <v>1.55</v>
      </c>
      <c r="M97" s="104">
        <v>1350</v>
      </c>
      <c r="N97" s="315">
        <v>403.96</v>
      </c>
      <c r="O97" s="108">
        <v>5.74</v>
      </c>
      <c r="P97" s="108">
        <v>7.94</v>
      </c>
      <c r="Q97" s="108">
        <v>10.59</v>
      </c>
      <c r="R97" s="104">
        <v>1350</v>
      </c>
      <c r="S97" s="315">
        <v>435.8</v>
      </c>
      <c r="T97" s="108">
        <v>2.9</v>
      </c>
      <c r="U97" s="108">
        <v>2.31</v>
      </c>
      <c r="V97" s="108">
        <v>3.24</v>
      </c>
      <c r="W97" s="5"/>
      <c r="X97" s="598">
        <v>1350</v>
      </c>
      <c r="Y97" s="592">
        <f t="shared" si="77"/>
        <v>0.34433333333333332</v>
      </c>
      <c r="Z97" s="593">
        <v>9.6440000000000001</v>
      </c>
      <c r="AA97" s="593">
        <v>4.5170000000000003</v>
      </c>
      <c r="AB97" s="593">
        <f t="shared" si="78"/>
        <v>4.7826666666666666</v>
      </c>
      <c r="AC97" s="593">
        <f t="shared" si="79"/>
        <v>33.793333333333337</v>
      </c>
      <c r="AD97" s="653">
        <f t="shared" si="80"/>
        <v>411.7900549428</v>
      </c>
      <c r="AE97" s="598">
        <v>1350</v>
      </c>
      <c r="AF97" s="595">
        <f t="shared" si="81"/>
        <v>0.14766666666666667</v>
      </c>
      <c r="AG97" s="593">
        <v>9.6440000000000001</v>
      </c>
      <c r="AH97" s="593">
        <v>4.5170000000000003</v>
      </c>
      <c r="AI97" s="593">
        <f t="shared" si="82"/>
        <v>4.9793333333333329</v>
      </c>
      <c r="AJ97" s="593">
        <f t="shared" si="83"/>
        <v>33.596666666666671</v>
      </c>
      <c r="AK97" s="653">
        <f t="shared" si="84"/>
        <v>426.22812075689995</v>
      </c>
      <c r="AL97" s="598">
        <v>1350</v>
      </c>
      <c r="AM97" s="595">
        <f t="shared" si="85"/>
        <v>0.80899999999999994</v>
      </c>
      <c r="AN97" s="593">
        <v>9.6440000000000001</v>
      </c>
      <c r="AO97" s="593">
        <v>4.5170000000000003</v>
      </c>
      <c r="AP97" s="593">
        <f t="shared" si="86"/>
        <v>4.3179999999999996</v>
      </c>
      <c r="AQ97" s="593">
        <f t="shared" si="87"/>
        <v>34.258000000000003</v>
      </c>
      <c r="AR97" s="698">
        <f t="shared" si="88"/>
        <v>376.89411083561993</v>
      </c>
      <c r="AS97" s="598">
        <v>1350</v>
      </c>
      <c r="AT97" s="595">
        <f t="shared" si="89"/>
        <v>0.28166666666666662</v>
      </c>
      <c r="AU97" s="593">
        <v>9.6440000000000001</v>
      </c>
      <c r="AV97" s="593">
        <v>4.5170000000000003</v>
      </c>
      <c r="AW97" s="593">
        <f t="shared" si="90"/>
        <v>4.8453333333333335</v>
      </c>
      <c r="AX97" s="593">
        <f t="shared" si="91"/>
        <v>33.730666666666671</v>
      </c>
      <c r="AY97" s="698">
        <f t="shared" si="92"/>
        <v>416.41205415264005</v>
      </c>
      <c r="AZ97" s="75"/>
      <c r="BA97" s="598">
        <v>1350</v>
      </c>
      <c r="BB97" s="593">
        <v>103.50685607036536</v>
      </c>
      <c r="BC97" s="667">
        <f>(BB105-BB106)/BB87</f>
        <v>1.0643739379457622</v>
      </c>
      <c r="BD97" s="714">
        <f>D97-BB103</f>
        <v>26.389999999999986</v>
      </c>
      <c r="BE97" s="667">
        <f>BB105-BB106</f>
        <v>110.17</v>
      </c>
      <c r="BF97" s="667">
        <f t="shared" si="93"/>
        <v>23.953889443587169</v>
      </c>
      <c r="BG97" s="668">
        <f t="shared" si="94"/>
        <v>25.495895636188298</v>
      </c>
      <c r="BH97" s="598">
        <v>1350</v>
      </c>
      <c r="BI97" s="593">
        <v>103.50685607036536</v>
      </c>
      <c r="BJ97" s="667">
        <f>(BI105-BI106)/BI87</f>
        <v>1.332278896639018</v>
      </c>
      <c r="BK97" s="714">
        <f>I97-BI103</f>
        <v>25.479999999999961</v>
      </c>
      <c r="BL97" s="667">
        <f>BI105-BI106</f>
        <v>137.9</v>
      </c>
      <c r="BM97" s="667">
        <f t="shared" si="95"/>
        <v>18.477157360406064</v>
      </c>
      <c r="BN97" s="668">
        <f t="shared" si="96"/>
        <v>24.616726821147303</v>
      </c>
      <c r="BO97" s="598">
        <v>1350</v>
      </c>
      <c r="BP97" s="679">
        <v>103.50685607036536</v>
      </c>
      <c r="BQ97" s="667">
        <f>(BP105-BP106)/BP87</f>
        <v>0.89810475874955109</v>
      </c>
      <c r="BR97" s="714">
        <f>N97-BP103</f>
        <v>23.859999999999957</v>
      </c>
      <c r="BS97" s="667">
        <f>BP105-BP106</f>
        <v>92.96</v>
      </c>
      <c r="BT97" s="667">
        <f t="shared" si="97"/>
        <v>25.666953528399265</v>
      </c>
      <c r="BU97" s="710">
        <f t="shared" si="98"/>
        <v>23.051613106458962</v>
      </c>
      <c r="BV97" s="598">
        <v>1350</v>
      </c>
      <c r="BW97" s="593">
        <v>103.50685607036536</v>
      </c>
      <c r="BX97" s="667">
        <f>(BW105-BW106)/BW87</f>
        <v>1.2185666224298719</v>
      </c>
      <c r="BY97" s="714">
        <f>S97-BW103</f>
        <v>22.990000000000009</v>
      </c>
      <c r="BZ97" s="667">
        <f>BW105-BW106</f>
        <v>126.13</v>
      </c>
      <c r="CA97" s="667">
        <f t="shared" si="99"/>
        <v>18.227225878062324</v>
      </c>
      <c r="CB97" s="668">
        <f t="shared" si="100"/>
        <v>22.211089074496762</v>
      </c>
      <c r="CC97" s="560"/>
    </row>
    <row r="98" spans="1:81" ht="15.75">
      <c r="A98" s="5"/>
      <c r="B98" s="59" t="s">
        <v>116</v>
      </c>
      <c r="C98" s="98">
        <v>2500</v>
      </c>
      <c r="D98" s="72">
        <v>418.46</v>
      </c>
      <c r="E98" s="110">
        <v>7.09</v>
      </c>
      <c r="F98" s="110">
        <v>5.72</v>
      </c>
      <c r="G98" s="110">
        <v>5.81</v>
      </c>
      <c r="H98" s="104">
        <v>2500</v>
      </c>
      <c r="I98" s="315">
        <v>445.15</v>
      </c>
      <c r="J98" s="108">
        <v>3.13</v>
      </c>
      <c r="K98" s="108">
        <v>3.02</v>
      </c>
      <c r="L98" s="108">
        <v>3.13</v>
      </c>
      <c r="M98" s="104">
        <v>2500</v>
      </c>
      <c r="N98" s="315">
        <v>399.17</v>
      </c>
      <c r="O98" s="108">
        <v>9.56</v>
      </c>
      <c r="P98" s="108">
        <v>13.18</v>
      </c>
      <c r="Q98" s="108">
        <v>16.53</v>
      </c>
      <c r="R98" s="104">
        <v>2500</v>
      </c>
      <c r="S98" s="315">
        <v>431.1</v>
      </c>
      <c r="T98" s="108">
        <v>4.92</v>
      </c>
      <c r="U98" s="108">
        <v>4.32</v>
      </c>
      <c r="V98" s="108">
        <v>5.99</v>
      </c>
      <c r="W98" s="5"/>
      <c r="X98" s="598">
        <v>2500</v>
      </c>
      <c r="Y98" s="592">
        <f t="shared" si="77"/>
        <v>0.62066666666666659</v>
      </c>
      <c r="Z98" s="593">
        <v>9.6440000000000001</v>
      </c>
      <c r="AA98" s="593">
        <v>4.5170000000000003</v>
      </c>
      <c r="AB98" s="593">
        <f t="shared" si="78"/>
        <v>4.5063333333333331</v>
      </c>
      <c r="AC98" s="593">
        <f t="shared" si="79"/>
        <v>34.06966666666667</v>
      </c>
      <c r="AD98" s="653">
        <f t="shared" si="80"/>
        <v>1341.4620364291666</v>
      </c>
      <c r="AE98" s="598">
        <v>2500</v>
      </c>
      <c r="AF98" s="595">
        <f t="shared" si="81"/>
        <v>0.30933333333333335</v>
      </c>
      <c r="AG98" s="593">
        <v>9.6440000000000001</v>
      </c>
      <c r="AH98" s="593">
        <v>4.5170000000000003</v>
      </c>
      <c r="AI98" s="593">
        <f t="shared" si="82"/>
        <v>4.8176666666666668</v>
      </c>
      <c r="AJ98" s="593">
        <f t="shared" si="83"/>
        <v>33.75833333333334</v>
      </c>
      <c r="AK98" s="653">
        <f t="shared" si="84"/>
        <v>1421.0355207291668</v>
      </c>
      <c r="AL98" s="598">
        <v>2500</v>
      </c>
      <c r="AM98" s="595">
        <f t="shared" si="85"/>
        <v>1.3090000000000002</v>
      </c>
      <c r="AN98" s="593">
        <v>9.6440000000000001</v>
      </c>
      <c r="AO98" s="593">
        <v>4.5170000000000003</v>
      </c>
      <c r="AP98" s="593">
        <f t="shared" si="86"/>
        <v>3.8179999999999996</v>
      </c>
      <c r="AQ98" s="593">
        <f t="shared" si="87"/>
        <v>34.758000000000003</v>
      </c>
      <c r="AR98" s="698">
        <f t="shared" si="88"/>
        <v>1159.5190594499998</v>
      </c>
      <c r="AS98" s="598">
        <v>2500</v>
      </c>
      <c r="AT98" s="595">
        <f t="shared" si="89"/>
        <v>0.50766666666666671</v>
      </c>
      <c r="AU98" s="593">
        <v>9.6440000000000001</v>
      </c>
      <c r="AV98" s="593">
        <v>4.5170000000000003</v>
      </c>
      <c r="AW98" s="593">
        <f t="shared" si="90"/>
        <v>4.6193333333333335</v>
      </c>
      <c r="AX98" s="593">
        <f t="shared" si="91"/>
        <v>33.956666666666671</v>
      </c>
      <c r="AY98" s="698">
        <f t="shared" si="92"/>
        <v>1370.5394549166667</v>
      </c>
      <c r="AZ98" s="75"/>
      <c r="BA98" s="598">
        <v>2500</v>
      </c>
      <c r="BB98" s="593">
        <v>103.50685607036536</v>
      </c>
      <c r="BC98" s="667">
        <f>(BB105-BB106)/BB87</f>
        <v>1.0643739379457622</v>
      </c>
      <c r="BD98" s="714">
        <f>D98-BB103</f>
        <v>21.409999999999968</v>
      </c>
      <c r="BE98" s="667">
        <f>BB105-BB106</f>
        <v>110.17</v>
      </c>
      <c r="BF98" s="667">
        <f t="shared" si="93"/>
        <v>19.433602614141751</v>
      </c>
      <c r="BG98" s="668">
        <f t="shared" si="94"/>
        <v>20.684620142887113</v>
      </c>
      <c r="BH98" s="598">
        <v>2500</v>
      </c>
      <c r="BI98" s="593">
        <v>103.50685607036536</v>
      </c>
      <c r="BJ98" s="667">
        <f>(BI105-BI106)/BI87</f>
        <v>1.332278896639018</v>
      </c>
      <c r="BK98" s="714">
        <f>I98-BI103</f>
        <v>20.069999999999936</v>
      </c>
      <c r="BL98" s="667">
        <f>BI105-BI106</f>
        <v>137.9</v>
      </c>
      <c r="BM98" s="667">
        <f t="shared" si="95"/>
        <v>14.554024655547451</v>
      </c>
      <c r="BN98" s="668">
        <f t="shared" si="96"/>
        <v>19.390019909749821</v>
      </c>
      <c r="BO98" s="598">
        <v>2500</v>
      </c>
      <c r="BP98" s="679">
        <v>103.50685607036536</v>
      </c>
      <c r="BQ98" s="667">
        <f>(BP105-BP106)/BP87</f>
        <v>0.89810475874955109</v>
      </c>
      <c r="BR98" s="714">
        <f>N98-BP103</f>
        <v>19.069999999999993</v>
      </c>
      <c r="BS98" s="667">
        <f>BP105-BP106</f>
        <v>92.96</v>
      </c>
      <c r="BT98" s="667">
        <f t="shared" si="97"/>
        <v>20.514199655765918</v>
      </c>
      <c r="BU98" s="710">
        <f t="shared" si="98"/>
        <v>18.423900332781773</v>
      </c>
      <c r="BV98" s="598">
        <v>2500</v>
      </c>
      <c r="BW98" s="593">
        <v>103.50685607036536</v>
      </c>
      <c r="BX98" s="667">
        <f>(BW105-BW106)/BW87</f>
        <v>1.2185666224298719</v>
      </c>
      <c r="BY98" s="714">
        <f>S98-BW103</f>
        <v>18.29000000000002</v>
      </c>
      <c r="BZ98" s="667">
        <f>BW105-BW106</f>
        <v>126.13</v>
      </c>
      <c r="CA98" s="667">
        <f t="shared" si="99"/>
        <v>14.500911757710316</v>
      </c>
      <c r="CB98" s="668">
        <f t="shared" si="100"/>
        <v>17.670327062746676</v>
      </c>
      <c r="CC98" s="560"/>
    </row>
    <row r="99" spans="1:81" ht="15.75">
      <c r="A99" s="5"/>
      <c r="B99" s="59" t="s">
        <v>116</v>
      </c>
      <c r="C99" s="98">
        <v>5000</v>
      </c>
      <c r="D99" s="72">
        <v>414.15</v>
      </c>
      <c r="E99" s="110">
        <v>9.4600000000000009</v>
      </c>
      <c r="F99" s="110">
        <v>9.7799999999999994</v>
      </c>
      <c r="G99" s="110">
        <v>9.69</v>
      </c>
      <c r="H99" s="104">
        <v>5000</v>
      </c>
      <c r="I99" s="315">
        <v>441.07</v>
      </c>
      <c r="J99" s="108">
        <v>5.57</v>
      </c>
      <c r="K99" s="108">
        <v>5.18</v>
      </c>
      <c r="L99" s="108">
        <v>5.15</v>
      </c>
      <c r="M99" s="104">
        <v>5000</v>
      </c>
      <c r="N99" s="315">
        <v>394.81</v>
      </c>
      <c r="O99" s="108">
        <v>15.56</v>
      </c>
      <c r="P99" s="108">
        <v>18.02</v>
      </c>
      <c r="Q99" s="108">
        <v>22.15</v>
      </c>
      <c r="R99" s="104">
        <v>5000</v>
      </c>
      <c r="S99" s="315">
        <v>427.34</v>
      </c>
      <c r="T99" s="108">
        <v>8.86</v>
      </c>
      <c r="U99" s="108">
        <v>7.63</v>
      </c>
      <c r="V99" s="108">
        <v>8.89</v>
      </c>
      <c r="W99" s="5"/>
      <c r="X99" s="598">
        <v>5000</v>
      </c>
      <c r="Y99" s="592">
        <f t="shared" si="77"/>
        <v>0.96433333333333326</v>
      </c>
      <c r="Z99" s="593">
        <v>9.6440000000000001</v>
      </c>
      <c r="AA99" s="593">
        <v>4.5170000000000003</v>
      </c>
      <c r="AB99" s="593">
        <f t="shared" si="78"/>
        <v>4.1626666666666665</v>
      </c>
      <c r="AC99" s="593">
        <f t="shared" si="79"/>
        <v>34.413333333333341</v>
      </c>
      <c r="AD99" s="653">
        <f t="shared" si="80"/>
        <v>5006.6306826666669</v>
      </c>
      <c r="AE99" s="598">
        <v>5000</v>
      </c>
      <c r="AF99" s="595">
        <f t="shared" si="81"/>
        <v>0.53</v>
      </c>
      <c r="AG99" s="593">
        <v>9.6440000000000001</v>
      </c>
      <c r="AH99" s="593">
        <v>4.5170000000000003</v>
      </c>
      <c r="AI99" s="593">
        <f t="shared" si="82"/>
        <v>4.5969999999999995</v>
      </c>
      <c r="AJ99" s="593">
        <f t="shared" si="83"/>
        <v>33.979000000000006</v>
      </c>
      <c r="AK99" s="653">
        <f t="shared" si="84"/>
        <v>5459.2411318499999</v>
      </c>
      <c r="AL99" s="598">
        <v>5000</v>
      </c>
      <c r="AM99" s="595">
        <f t="shared" si="85"/>
        <v>1.8576666666666664</v>
      </c>
      <c r="AN99" s="593">
        <v>9.6440000000000001</v>
      </c>
      <c r="AO99" s="593">
        <v>4.5170000000000003</v>
      </c>
      <c r="AP99" s="593">
        <f t="shared" si="86"/>
        <v>3.2693333333333339</v>
      </c>
      <c r="AQ99" s="593">
        <f t="shared" si="87"/>
        <v>35.306666666666672</v>
      </c>
      <c r="AR99" s="698">
        <f t="shared" si="88"/>
        <v>4034.2527146666675</v>
      </c>
      <c r="AS99" s="598">
        <v>5000</v>
      </c>
      <c r="AT99" s="595">
        <f t="shared" si="89"/>
        <v>0.84599999999999986</v>
      </c>
      <c r="AU99" s="593">
        <v>9.6440000000000001</v>
      </c>
      <c r="AV99" s="593">
        <v>4.5170000000000003</v>
      </c>
      <c r="AW99" s="593">
        <f t="shared" si="90"/>
        <v>4.2809999999999997</v>
      </c>
      <c r="AX99" s="593">
        <f t="shared" si="91"/>
        <v>34.295000000000002</v>
      </c>
      <c r="AY99" s="698">
        <f t="shared" si="92"/>
        <v>5131.2504802499989</v>
      </c>
      <c r="AZ99" s="75"/>
      <c r="BA99" s="598">
        <v>5000</v>
      </c>
      <c r="BB99" s="593">
        <v>103.50685607036536</v>
      </c>
      <c r="BC99" s="667">
        <f>(BB105-BB106)/BB87</f>
        <v>1.0643739379457622</v>
      </c>
      <c r="BD99" s="714">
        <f>D99-BB103</f>
        <v>17.099999999999966</v>
      </c>
      <c r="BE99" s="667">
        <f>BB105-BB106</f>
        <v>110.17</v>
      </c>
      <c r="BF99" s="667">
        <f t="shared" si="93"/>
        <v>15.521466823999241</v>
      </c>
      <c r="BG99" s="668">
        <f t="shared" si="94"/>
        <v>16.520644766154575</v>
      </c>
      <c r="BH99" s="598">
        <v>5000</v>
      </c>
      <c r="BI99" s="593">
        <v>103.50685607036536</v>
      </c>
      <c r="BJ99" s="667">
        <f>(BI105-BI106)/BI87</f>
        <v>1.332278896639018</v>
      </c>
      <c r="BK99" s="714">
        <f>I99-BI103</f>
        <v>15.989999999999952</v>
      </c>
      <c r="BL99" s="667">
        <f>BI105-BI106</f>
        <v>137.9</v>
      </c>
      <c r="BM99" s="667">
        <f t="shared" si="95"/>
        <v>11.595358955765011</v>
      </c>
      <c r="BN99" s="668">
        <f t="shared" si="96"/>
        <v>15.448252035719966</v>
      </c>
      <c r="BO99" s="598">
        <v>5000</v>
      </c>
      <c r="BP99" s="679">
        <v>103.50685607036536</v>
      </c>
      <c r="BQ99" s="667">
        <f>(BP105-BP106)/BP87</f>
        <v>0.89810475874955109</v>
      </c>
      <c r="BR99" s="714">
        <f>N99-BP103</f>
        <v>14.70999999999998</v>
      </c>
      <c r="BS99" s="667">
        <f>BP105-BP106</f>
        <v>92.96</v>
      </c>
      <c r="BT99" s="667">
        <f t="shared" si="97"/>
        <v>15.824010327022354</v>
      </c>
      <c r="BU99" s="710">
        <f t="shared" si="98"/>
        <v>14.211618977200816</v>
      </c>
      <c r="BV99" s="598">
        <v>5000</v>
      </c>
      <c r="BW99" s="593">
        <v>103.50685607036536</v>
      </c>
      <c r="BX99" s="667">
        <f>(BW105-BW106)/BW87</f>
        <v>1.2185666224298719</v>
      </c>
      <c r="BY99" s="714">
        <f>S99-BW103</f>
        <v>14.529999999999973</v>
      </c>
      <c r="BZ99" s="667">
        <f>BW105-BW106</f>
        <v>126.13</v>
      </c>
      <c r="CA99" s="667">
        <f t="shared" si="99"/>
        <v>11.519860461428664</v>
      </c>
      <c r="CB99" s="668">
        <f t="shared" si="100"/>
        <v>14.037717453346552</v>
      </c>
      <c r="CC99" s="560"/>
    </row>
    <row r="100" spans="1:81" ht="15.75">
      <c r="A100" s="5"/>
      <c r="B100" s="59" t="s">
        <v>116</v>
      </c>
      <c r="C100" s="98">
        <v>7000</v>
      </c>
      <c r="D100" s="72">
        <v>412.04</v>
      </c>
      <c r="E100" s="109">
        <v>12.87</v>
      </c>
      <c r="F100" s="109">
        <v>12.03</v>
      </c>
      <c r="G100" s="109">
        <v>11.76</v>
      </c>
      <c r="H100" s="104">
        <v>7000</v>
      </c>
      <c r="I100" s="315">
        <v>439.1</v>
      </c>
      <c r="J100" s="108">
        <v>6.47</v>
      </c>
      <c r="K100" s="108">
        <v>6.12</v>
      </c>
      <c r="L100" s="108">
        <v>6.25</v>
      </c>
      <c r="M100" s="104">
        <v>7000</v>
      </c>
      <c r="N100" s="315">
        <v>392.74</v>
      </c>
      <c r="O100" s="108">
        <v>17.649999999999999</v>
      </c>
      <c r="P100" s="108">
        <v>20.059999999999999</v>
      </c>
      <c r="Q100" s="108">
        <v>23.62</v>
      </c>
      <c r="R100" s="104">
        <v>7000</v>
      </c>
      <c r="S100" s="315">
        <v>425.49</v>
      </c>
      <c r="T100" s="108">
        <v>10.36</v>
      </c>
      <c r="U100" s="108">
        <v>8.69</v>
      </c>
      <c r="V100" s="108">
        <v>10.19</v>
      </c>
      <c r="W100" s="5"/>
      <c r="X100" s="598">
        <v>7000</v>
      </c>
      <c r="Y100" s="592">
        <f t="shared" si="77"/>
        <v>1.222</v>
      </c>
      <c r="Z100" s="593">
        <v>9.6440000000000001</v>
      </c>
      <c r="AA100" s="593">
        <v>4.5170000000000003</v>
      </c>
      <c r="AB100" s="593">
        <f t="shared" si="78"/>
        <v>3.9049999999999994</v>
      </c>
      <c r="AC100" s="593">
        <f t="shared" si="79"/>
        <v>34.671000000000006</v>
      </c>
      <c r="AD100" s="653">
        <f t="shared" si="80"/>
        <v>9274.5032480099999</v>
      </c>
      <c r="AE100" s="598">
        <v>7000</v>
      </c>
      <c r="AF100" s="595">
        <f t="shared" si="81"/>
        <v>0.628</v>
      </c>
      <c r="AG100" s="593">
        <v>9.6440000000000001</v>
      </c>
      <c r="AH100" s="593">
        <v>4.5170000000000003</v>
      </c>
      <c r="AI100" s="593">
        <f t="shared" si="82"/>
        <v>4.4989999999999997</v>
      </c>
      <c r="AJ100" s="593">
        <f t="shared" si="83"/>
        <v>34.077000000000005</v>
      </c>
      <c r="AK100" s="653">
        <f t="shared" si="84"/>
        <v>10502.207600345999</v>
      </c>
      <c r="AL100" s="598">
        <v>7000</v>
      </c>
      <c r="AM100" s="595">
        <f t="shared" si="85"/>
        <v>2.0443333333333333</v>
      </c>
      <c r="AN100" s="593">
        <v>9.6440000000000001</v>
      </c>
      <c r="AO100" s="593">
        <v>4.5170000000000003</v>
      </c>
      <c r="AP100" s="593">
        <f t="shared" si="86"/>
        <v>3.0826666666666664</v>
      </c>
      <c r="AQ100" s="593">
        <f t="shared" si="87"/>
        <v>35.493333333333339</v>
      </c>
      <c r="AR100" s="698">
        <f t="shared" si="88"/>
        <v>7495.0857437866671</v>
      </c>
      <c r="AS100" s="598">
        <v>7000</v>
      </c>
      <c r="AT100" s="595">
        <f t="shared" si="89"/>
        <v>0.97466666666666646</v>
      </c>
      <c r="AU100" s="593">
        <v>9.6440000000000001</v>
      </c>
      <c r="AV100" s="593">
        <v>4.5170000000000003</v>
      </c>
      <c r="AW100" s="593">
        <f t="shared" si="90"/>
        <v>4.152333333333333</v>
      </c>
      <c r="AX100" s="593">
        <f t="shared" si="91"/>
        <v>34.423666666666669</v>
      </c>
      <c r="AY100" s="698">
        <f t="shared" si="92"/>
        <v>9791.5757681326668</v>
      </c>
      <c r="AZ100" s="75"/>
      <c r="BA100" s="598">
        <v>7000</v>
      </c>
      <c r="BB100" s="593">
        <v>103.50685607036536</v>
      </c>
      <c r="BC100" s="667">
        <f>(BB105-BB106)/BB87</f>
        <v>1.0643739379457622</v>
      </c>
      <c r="BD100" s="714">
        <f>D100-BB103</f>
        <v>14.990000000000009</v>
      </c>
      <c r="BE100" s="667">
        <f>BB105-BB106</f>
        <v>110.17</v>
      </c>
      <c r="BF100" s="667">
        <f t="shared" si="93"/>
        <v>13.606244894254344</v>
      </c>
      <c r="BG100" s="668">
        <f t="shared" si="94"/>
        <v>14.482132458751916</v>
      </c>
      <c r="BH100" s="598">
        <v>7000</v>
      </c>
      <c r="BI100" s="593">
        <v>103.50685607036536</v>
      </c>
      <c r="BJ100" s="667">
        <f>(BI105-BI106)/BI87</f>
        <v>1.332278896639018</v>
      </c>
      <c r="BK100" s="714">
        <f>I100-BI103</f>
        <v>14.019999999999982</v>
      </c>
      <c r="BL100" s="667">
        <f>BI105-BI106</f>
        <v>137.9</v>
      </c>
      <c r="BM100" s="667">
        <f t="shared" si="95"/>
        <v>10.166787527193605</v>
      </c>
      <c r="BN100" s="668">
        <f t="shared" si="96"/>
        <v>13.544996469092826</v>
      </c>
      <c r="BO100" s="598">
        <v>7000</v>
      </c>
      <c r="BP100" s="679">
        <v>103.50685607036536</v>
      </c>
      <c r="BQ100" s="667">
        <f>(BP105-BP106)/BP87</f>
        <v>0.89810475874955109</v>
      </c>
      <c r="BR100" s="714">
        <f>N100-BP103</f>
        <v>12.639999999999986</v>
      </c>
      <c r="BS100" s="667">
        <f>BP105-BP106</f>
        <v>92.96</v>
      </c>
      <c r="BT100" s="667">
        <f t="shared" si="97"/>
        <v>13.597246127366597</v>
      </c>
      <c r="BU100" s="710">
        <f t="shared" si="98"/>
        <v>12.211751452876847</v>
      </c>
      <c r="BV100" s="598">
        <v>7000</v>
      </c>
      <c r="BW100" s="593">
        <v>103.50685607036536</v>
      </c>
      <c r="BX100" s="667">
        <f>(BW105-BW106)/BW87</f>
        <v>1.2185666224298719</v>
      </c>
      <c r="BY100" s="714">
        <f>S100-BW103</f>
        <v>12.680000000000007</v>
      </c>
      <c r="BZ100" s="667">
        <f>BW105-BW106</f>
        <v>126.13</v>
      </c>
      <c r="CA100" s="667">
        <f t="shared" si="99"/>
        <v>10.05311979703481</v>
      </c>
      <c r="CB100" s="668">
        <f t="shared" si="100"/>
        <v>12.250396235955588</v>
      </c>
      <c r="CC100" s="560"/>
    </row>
    <row r="101" spans="1:81" ht="15.75">
      <c r="A101" s="5"/>
      <c r="B101" s="59" t="s">
        <v>116</v>
      </c>
      <c r="C101" s="98">
        <v>9000</v>
      </c>
      <c r="D101" s="72">
        <v>410.55</v>
      </c>
      <c r="E101" s="109">
        <v>13.07</v>
      </c>
      <c r="F101" s="109">
        <v>13.43</v>
      </c>
      <c r="G101" s="109">
        <v>13.12</v>
      </c>
      <c r="H101" s="104">
        <v>9000</v>
      </c>
      <c r="I101" s="315">
        <v>437.71</v>
      </c>
      <c r="J101" s="108">
        <v>7.63</v>
      </c>
      <c r="K101" s="108">
        <v>7.82</v>
      </c>
      <c r="L101" s="108">
        <v>7.21</v>
      </c>
      <c r="M101" s="104">
        <v>9000</v>
      </c>
      <c r="N101" s="315">
        <v>391.3</v>
      </c>
      <c r="O101" s="108">
        <v>18.86</v>
      </c>
      <c r="P101" s="108">
        <v>22.34</v>
      </c>
      <c r="Q101" s="108">
        <v>24.15</v>
      </c>
      <c r="R101" s="104">
        <v>9000</v>
      </c>
      <c r="S101" s="315">
        <v>424.18</v>
      </c>
      <c r="T101" s="108">
        <v>11.46</v>
      </c>
      <c r="U101" s="108">
        <v>10.8</v>
      </c>
      <c r="V101" s="108">
        <v>10.69</v>
      </c>
      <c r="W101" s="5"/>
      <c r="X101" s="598">
        <v>9000</v>
      </c>
      <c r="Y101" s="592">
        <f t="shared" si="77"/>
        <v>1.3206666666666664</v>
      </c>
      <c r="Z101" s="593">
        <v>9.6440000000000001</v>
      </c>
      <c r="AA101" s="593">
        <v>4.5170000000000003</v>
      </c>
      <c r="AB101" s="593">
        <f t="shared" si="78"/>
        <v>3.8063333333333329</v>
      </c>
      <c r="AC101" s="593">
        <f t="shared" si="79"/>
        <v>34.769666666666673</v>
      </c>
      <c r="AD101" s="653">
        <f t="shared" si="80"/>
        <v>14986.476454121997</v>
      </c>
      <c r="AE101" s="598">
        <v>9000</v>
      </c>
      <c r="AF101" s="595">
        <f t="shared" si="81"/>
        <v>0.75533333333333341</v>
      </c>
      <c r="AG101" s="593">
        <v>9.6440000000000001</v>
      </c>
      <c r="AH101" s="593">
        <v>4.5170000000000003</v>
      </c>
      <c r="AI101" s="593">
        <f t="shared" si="82"/>
        <v>4.3716666666666661</v>
      </c>
      <c r="AJ101" s="593">
        <f t="shared" si="83"/>
        <v>34.204333333333338</v>
      </c>
      <c r="AK101" s="653">
        <f t="shared" si="84"/>
        <v>16932.471786089998</v>
      </c>
      <c r="AL101" s="598">
        <v>9000</v>
      </c>
      <c r="AM101" s="595">
        <f t="shared" si="85"/>
        <v>2.1783333333333332</v>
      </c>
      <c r="AN101" s="593">
        <v>9.6440000000000001</v>
      </c>
      <c r="AO101" s="593">
        <v>4.5170000000000003</v>
      </c>
      <c r="AP101" s="593">
        <f t="shared" si="86"/>
        <v>2.9486666666666661</v>
      </c>
      <c r="AQ101" s="593">
        <f t="shared" si="87"/>
        <v>35.62733333333334</v>
      </c>
      <c r="AR101" s="698">
        <f t="shared" si="88"/>
        <v>11896.006360103998</v>
      </c>
      <c r="AS101" s="598">
        <v>9000</v>
      </c>
      <c r="AT101" s="595">
        <f t="shared" si="89"/>
        <v>1.0983333333333334</v>
      </c>
      <c r="AU101" s="593">
        <v>9.6440000000000001</v>
      </c>
      <c r="AV101" s="593">
        <v>4.5170000000000003</v>
      </c>
      <c r="AW101" s="593">
        <f t="shared" si="90"/>
        <v>4.0286666666666662</v>
      </c>
      <c r="AX101" s="593">
        <f t="shared" si="91"/>
        <v>34.547333333333341</v>
      </c>
      <c r="AY101" s="698">
        <f t="shared" si="92"/>
        <v>15760.429761383999</v>
      </c>
      <c r="AZ101" s="75"/>
      <c r="BA101" s="598">
        <v>9000</v>
      </c>
      <c r="BB101" s="593">
        <v>103.50685607036536</v>
      </c>
      <c r="BC101" s="667">
        <f>(BB105-BB106)/BB87</f>
        <v>1.0643739379457622</v>
      </c>
      <c r="BD101" s="714">
        <f>D101-BB103</f>
        <v>13.5</v>
      </c>
      <c r="BE101" s="667">
        <f>BB105-BB106</f>
        <v>110.17</v>
      </c>
      <c r="BF101" s="667">
        <f t="shared" si="93"/>
        <v>12.253789597894164</v>
      </c>
      <c r="BG101" s="668">
        <f t="shared" si="94"/>
        <v>13.042614289069428</v>
      </c>
      <c r="BH101" s="598">
        <v>9000</v>
      </c>
      <c r="BI101" s="593">
        <v>103.50685607036536</v>
      </c>
      <c r="BJ101" s="667">
        <f>(BI105-BI106)/BI87</f>
        <v>1.332278896639018</v>
      </c>
      <c r="BK101" s="714">
        <f>I101-BI103</f>
        <v>12.629999999999939</v>
      </c>
      <c r="BL101" s="667">
        <f>BI105-BI106</f>
        <v>137.9</v>
      </c>
      <c r="BM101" s="667">
        <f t="shared" si="95"/>
        <v>9.1588107324147483</v>
      </c>
      <c r="BN101" s="668">
        <f t="shared" si="96"/>
        <v>12.202090257107118</v>
      </c>
      <c r="BO101" s="598">
        <v>9000</v>
      </c>
      <c r="BP101" s="679">
        <v>103.50685607036536</v>
      </c>
      <c r="BQ101" s="667">
        <f>(BP105-BP106)/BP87</f>
        <v>0.89810475874955109</v>
      </c>
      <c r="BR101" s="714">
        <f>N101-BP103</f>
        <v>11.199999999999989</v>
      </c>
      <c r="BS101" s="667">
        <f>BP105-BP106</f>
        <v>92.96</v>
      </c>
      <c r="BT101" s="667">
        <f t="shared" si="97"/>
        <v>12.048192771084326</v>
      </c>
      <c r="BU101" s="710">
        <f t="shared" si="98"/>
        <v>10.820539262042773</v>
      </c>
      <c r="BV101" s="598">
        <v>9000</v>
      </c>
      <c r="BW101" s="593">
        <v>103.50685607036536</v>
      </c>
      <c r="BX101" s="667">
        <f>(BW105-BW106)/BW87</f>
        <v>1.2185666224298719</v>
      </c>
      <c r="BY101" s="714">
        <f>S101-BW103</f>
        <v>11.370000000000005</v>
      </c>
      <c r="BZ101" s="667">
        <f>BW105-BW106</f>
        <v>126.13</v>
      </c>
      <c r="CA101" s="667">
        <f t="shared" si="99"/>
        <v>9.0145088400856306</v>
      </c>
      <c r="CB101" s="668">
        <f t="shared" si="100"/>
        <v>10.984779590127369</v>
      </c>
      <c r="CC101" s="560"/>
    </row>
    <row r="102" spans="1:81" ht="15.75">
      <c r="A102" s="5"/>
      <c r="B102" s="60" t="s">
        <v>116</v>
      </c>
      <c r="C102" s="99">
        <v>10000</v>
      </c>
      <c r="D102" s="72">
        <v>409.64</v>
      </c>
      <c r="E102" s="111">
        <v>14.63</v>
      </c>
      <c r="F102" s="111">
        <v>13.8</v>
      </c>
      <c r="G102" s="111">
        <v>13.73</v>
      </c>
      <c r="H102" s="105">
        <v>10000</v>
      </c>
      <c r="I102" s="315">
        <v>436.78</v>
      </c>
      <c r="J102" s="108">
        <v>8.1300000000000008</v>
      </c>
      <c r="K102" s="108">
        <v>8.44</v>
      </c>
      <c r="L102" s="108">
        <v>7.4</v>
      </c>
      <c r="M102" s="105">
        <v>10000</v>
      </c>
      <c r="N102" s="315">
        <v>390.42</v>
      </c>
      <c r="O102" s="108">
        <v>19.14</v>
      </c>
      <c r="P102" s="108">
        <v>22.56</v>
      </c>
      <c r="Q102" s="108">
        <v>25.88</v>
      </c>
      <c r="R102" s="105">
        <v>10000</v>
      </c>
      <c r="S102" s="315">
        <v>423.37</v>
      </c>
      <c r="T102" s="315">
        <v>11.62</v>
      </c>
      <c r="U102" s="315">
        <v>10.81</v>
      </c>
      <c r="V102" s="315">
        <v>11.66</v>
      </c>
      <c r="W102" s="5"/>
      <c r="X102" s="607">
        <v>10000</v>
      </c>
      <c r="Y102" s="608">
        <f t="shared" si="77"/>
        <v>1.4053333333333333</v>
      </c>
      <c r="Z102" s="609">
        <v>9.6440000000000001</v>
      </c>
      <c r="AA102" s="609">
        <v>4.5170000000000003</v>
      </c>
      <c r="AB102" s="609">
        <f t="shared" si="78"/>
        <v>3.7216666666666667</v>
      </c>
      <c r="AC102" s="609">
        <f t="shared" si="79"/>
        <v>34.854333333333336</v>
      </c>
      <c r="AD102" s="702">
        <f t="shared" si="80"/>
        <v>18134.326235666667</v>
      </c>
      <c r="AE102" s="607">
        <v>10000</v>
      </c>
      <c r="AF102" s="602">
        <f t="shared" si="81"/>
        <v>0.79899999999999993</v>
      </c>
      <c r="AG102" s="609">
        <v>9.6440000000000001</v>
      </c>
      <c r="AH102" s="609">
        <v>4.5170000000000003</v>
      </c>
      <c r="AI102" s="609">
        <f t="shared" si="82"/>
        <v>4.3279999999999994</v>
      </c>
      <c r="AJ102" s="609">
        <f t="shared" si="83"/>
        <v>34.248000000000005</v>
      </c>
      <c r="AK102" s="702">
        <f t="shared" si="84"/>
        <v>20721.903091199998</v>
      </c>
      <c r="AL102" s="607">
        <v>10000</v>
      </c>
      <c r="AM102" s="602">
        <f t="shared" si="85"/>
        <v>2.2526666666666668</v>
      </c>
      <c r="AN102" s="609">
        <v>9.6440000000000001</v>
      </c>
      <c r="AO102" s="609">
        <v>4.5170000000000003</v>
      </c>
      <c r="AP102" s="609">
        <f t="shared" si="86"/>
        <v>2.8743333333333325</v>
      </c>
      <c r="AQ102" s="609">
        <f t="shared" si="87"/>
        <v>35.701666666666675</v>
      </c>
      <c r="AR102" s="699">
        <f t="shared" si="88"/>
        <v>14346.064979666664</v>
      </c>
      <c r="AS102" s="607">
        <v>10000</v>
      </c>
      <c r="AT102" s="602">
        <f t="shared" si="89"/>
        <v>1.1363333333333334</v>
      </c>
      <c r="AU102" s="609">
        <v>9.6440000000000001</v>
      </c>
      <c r="AV102" s="609">
        <v>4.5170000000000003</v>
      </c>
      <c r="AW102" s="609">
        <f t="shared" si="90"/>
        <v>3.9906666666666659</v>
      </c>
      <c r="AX102" s="609">
        <f t="shared" si="91"/>
        <v>34.585333333333338</v>
      </c>
      <c r="AY102" s="699">
        <f t="shared" si="92"/>
        <v>19294.991457066662</v>
      </c>
      <c r="AZ102" s="75"/>
      <c r="BA102" s="607">
        <v>10000</v>
      </c>
      <c r="BB102" s="609">
        <v>103.50685607036536</v>
      </c>
      <c r="BC102" s="667">
        <f>(BB105-BB106)/BB87</f>
        <v>1.0643739379457622</v>
      </c>
      <c r="BD102" s="714">
        <f>D102-BB103</f>
        <v>12.589999999999975</v>
      </c>
      <c r="BE102" s="682">
        <f>BB105-BB106</f>
        <v>110.17</v>
      </c>
      <c r="BF102" s="682">
        <f t="shared" si="93"/>
        <v>11.427793410184238</v>
      </c>
      <c r="BG102" s="683">
        <f t="shared" si="94"/>
        <v>12.163445474028428</v>
      </c>
      <c r="BH102" s="607">
        <v>10000</v>
      </c>
      <c r="BI102" s="609">
        <v>103.50685607036536</v>
      </c>
      <c r="BJ102" s="667">
        <f>(BI105-BI106)/BI87</f>
        <v>1.332278896639018</v>
      </c>
      <c r="BK102" s="714">
        <f>I102-BI103</f>
        <v>11.699999999999932</v>
      </c>
      <c r="BL102" s="682">
        <f>BI105-BI106</f>
        <v>137.9</v>
      </c>
      <c r="BM102" s="682">
        <f t="shared" si="95"/>
        <v>8.4844089920231553</v>
      </c>
      <c r="BN102" s="683">
        <f t="shared" si="96"/>
        <v>11.303599050526772</v>
      </c>
      <c r="BO102" s="607">
        <v>10000</v>
      </c>
      <c r="BP102" s="684">
        <v>103.50685607036536</v>
      </c>
      <c r="BQ102" s="667">
        <f>(BP105-BP106)/BP87</f>
        <v>0.89810475874955109</v>
      </c>
      <c r="BR102" s="714">
        <f>N102-BP103</f>
        <v>10.319999999999993</v>
      </c>
      <c r="BS102" s="682">
        <f>BP105-BP106</f>
        <v>92.96</v>
      </c>
      <c r="BT102" s="682">
        <f t="shared" si="97"/>
        <v>11.101549053356276</v>
      </c>
      <c r="BU102" s="711">
        <f t="shared" si="98"/>
        <v>9.9703540343108461</v>
      </c>
      <c r="BV102" s="607">
        <v>10000</v>
      </c>
      <c r="BW102" s="609">
        <v>103.50685607036536</v>
      </c>
      <c r="BX102" s="667">
        <f>(BW105-BW106)/BW87</f>
        <v>1.2185666224298719</v>
      </c>
      <c r="BY102" s="714">
        <f>S102-BW103</f>
        <v>10.560000000000002</v>
      </c>
      <c r="BZ102" s="682">
        <f>BW105-BW106</f>
        <v>126.13</v>
      </c>
      <c r="CA102" s="682">
        <f t="shared" si="99"/>
        <v>8.3723142789185783</v>
      </c>
      <c r="CB102" s="683">
        <f t="shared" si="100"/>
        <v>10.2022227327832</v>
      </c>
      <c r="CC102" s="560"/>
    </row>
    <row r="103" spans="1:81" ht="45">
      <c r="X103" s="560"/>
      <c r="Y103" s="560"/>
      <c r="Z103" s="560"/>
      <c r="AA103" s="560"/>
      <c r="AB103" s="560"/>
      <c r="AC103" s="560"/>
      <c r="AD103" s="560"/>
      <c r="AE103" s="559"/>
      <c r="AF103" s="559"/>
      <c r="AG103" s="559"/>
      <c r="AH103" s="559"/>
      <c r="AI103" s="559"/>
      <c r="AJ103" s="559"/>
      <c r="AK103" s="559"/>
      <c r="AL103" s="560"/>
      <c r="AM103" s="560"/>
      <c r="AN103" s="559"/>
      <c r="AO103" s="559"/>
      <c r="AP103" s="560"/>
      <c r="AQ103" s="560"/>
      <c r="AR103" s="560"/>
      <c r="AS103" s="560"/>
      <c r="AT103" s="560"/>
      <c r="AU103" s="560"/>
      <c r="AV103" s="560"/>
      <c r="AW103" s="560"/>
      <c r="AX103" s="560"/>
      <c r="AY103" s="560"/>
      <c r="AZ103" s="791" t="s">
        <v>144</v>
      </c>
      <c r="BA103" s="709" t="s">
        <v>1047</v>
      </c>
      <c r="BB103" s="569">
        <f>BB105+BB104</f>
        <v>397.05</v>
      </c>
      <c r="BC103" s="559"/>
      <c r="BD103" s="559"/>
      <c r="BE103" s="559"/>
      <c r="BF103" s="559"/>
      <c r="BG103" s="559"/>
      <c r="BH103" s="709" t="s">
        <v>1047</v>
      </c>
      <c r="BI103" s="569">
        <f>BI105+BI104</f>
        <v>425.08000000000004</v>
      </c>
      <c r="BJ103" s="559"/>
      <c r="BK103" s="569"/>
      <c r="BL103" s="569"/>
      <c r="BM103" s="569"/>
      <c r="BN103" s="569"/>
      <c r="BO103" s="709" t="s">
        <v>1047</v>
      </c>
      <c r="BP103" s="559">
        <f>BP104+BP105</f>
        <v>380.1</v>
      </c>
      <c r="BQ103" s="560"/>
      <c r="BR103" s="559"/>
      <c r="BS103" s="559"/>
      <c r="BT103" s="559"/>
      <c r="BU103" s="559"/>
      <c r="BV103" s="709" t="s">
        <v>1047</v>
      </c>
      <c r="BW103" s="560">
        <f>BW104+BW105</f>
        <v>412.81</v>
      </c>
      <c r="BX103" s="560"/>
      <c r="BY103" s="560"/>
      <c r="BZ103" s="560"/>
      <c r="CA103" s="560"/>
      <c r="CB103" s="560"/>
      <c r="CC103" s="560"/>
    </row>
    <row r="104" spans="1:81">
      <c r="X104" s="560"/>
      <c r="Y104" s="560"/>
      <c r="Z104" s="560"/>
      <c r="AA104" s="560"/>
      <c r="AB104" s="560"/>
      <c r="AC104" s="560"/>
      <c r="AD104" s="560"/>
      <c r="AE104" s="559"/>
      <c r="AF104" s="559"/>
      <c r="AG104" s="559"/>
      <c r="AH104" s="559"/>
      <c r="AI104" s="559"/>
      <c r="AJ104" s="559"/>
      <c r="AK104" s="559"/>
      <c r="AL104" s="560"/>
      <c r="AM104" s="560"/>
      <c r="AN104" s="559"/>
      <c r="AO104" s="559"/>
      <c r="AP104" s="560"/>
      <c r="AQ104" s="560"/>
      <c r="AR104" s="560"/>
      <c r="AS104" s="560"/>
      <c r="AT104" s="560"/>
      <c r="AU104" s="560"/>
      <c r="AV104" s="560"/>
      <c r="AW104" s="560"/>
      <c r="AX104" s="560"/>
      <c r="AY104" s="560"/>
      <c r="AZ104" s="791"/>
      <c r="BA104" s="655" t="s">
        <v>1048</v>
      </c>
      <c r="BB104" s="569">
        <v>215.12</v>
      </c>
      <c r="BC104" s="559"/>
      <c r="BD104" s="559"/>
      <c r="BE104" s="559"/>
      <c r="BF104" s="559"/>
      <c r="BG104" s="559"/>
      <c r="BH104" s="655" t="s">
        <v>1048</v>
      </c>
      <c r="BI104" s="569">
        <v>215.03</v>
      </c>
      <c r="BJ104" s="559"/>
      <c r="BK104" s="569"/>
      <c r="BL104" s="569"/>
      <c r="BM104" s="569"/>
      <c r="BN104" s="569"/>
      <c r="BO104" s="655" t="s">
        <v>1048</v>
      </c>
      <c r="BP104" s="559">
        <v>214.88</v>
      </c>
      <c r="BQ104" s="560"/>
      <c r="BR104" s="559"/>
      <c r="BS104" s="559"/>
      <c r="BT104" s="620"/>
      <c r="BU104" s="620"/>
      <c r="BV104" s="655" t="s">
        <v>1048</v>
      </c>
      <c r="BW104" s="560">
        <v>214.58</v>
      </c>
      <c r="BX104" s="560"/>
      <c r="BY104" s="560"/>
      <c r="BZ104" s="560"/>
      <c r="CA104" s="560"/>
      <c r="CB104" s="560"/>
      <c r="CC104" s="560"/>
    </row>
    <row r="105" spans="1:81">
      <c r="X105" s="560"/>
      <c r="Y105" s="560"/>
      <c r="Z105" s="560"/>
      <c r="AA105" s="560"/>
      <c r="AB105" s="560"/>
      <c r="AC105" s="560"/>
      <c r="AD105" s="560"/>
      <c r="AE105" s="559"/>
      <c r="AF105" s="559"/>
      <c r="AG105" s="559"/>
      <c r="AH105" s="559"/>
      <c r="AI105" s="559"/>
      <c r="AJ105" s="559"/>
      <c r="AK105" s="559"/>
      <c r="AL105" s="560"/>
      <c r="AM105" s="560"/>
      <c r="AN105" s="559"/>
      <c r="AO105" s="559"/>
      <c r="AP105" s="560"/>
      <c r="AQ105" s="560"/>
      <c r="AR105" s="560"/>
      <c r="AS105" s="560"/>
      <c r="AT105" s="560"/>
      <c r="AU105" s="560"/>
      <c r="AV105" s="560"/>
      <c r="AW105" s="560"/>
      <c r="AX105" s="560"/>
      <c r="AY105" s="560"/>
      <c r="AZ105" s="791"/>
      <c r="BA105" s="655" t="s">
        <v>1049</v>
      </c>
      <c r="BB105" s="569">
        <v>181.93</v>
      </c>
      <c r="BC105" s="559"/>
      <c r="BD105" s="559"/>
      <c r="BE105" s="559"/>
      <c r="BF105" s="559"/>
      <c r="BG105" s="559"/>
      <c r="BH105" s="655" t="s">
        <v>1049</v>
      </c>
      <c r="BI105" s="569">
        <v>210.05</v>
      </c>
      <c r="BJ105" s="559"/>
      <c r="BK105" s="569"/>
      <c r="BL105" s="569"/>
      <c r="BM105" s="569"/>
      <c r="BN105" s="569"/>
      <c r="BO105" s="655" t="s">
        <v>1049</v>
      </c>
      <c r="BP105" s="559">
        <v>165.22</v>
      </c>
      <c r="BQ105" s="560"/>
      <c r="BR105" s="559"/>
      <c r="BS105" s="559"/>
      <c r="BT105" s="620"/>
      <c r="BU105" s="620"/>
      <c r="BV105" s="655" t="s">
        <v>1049</v>
      </c>
      <c r="BW105" s="559">
        <v>198.23</v>
      </c>
      <c r="BX105" s="560"/>
      <c r="BY105" s="560"/>
      <c r="BZ105" s="560"/>
      <c r="CA105" s="560"/>
      <c r="CB105" s="560"/>
      <c r="CC105" s="560"/>
    </row>
    <row r="106" spans="1:81">
      <c r="X106" s="560"/>
      <c r="Y106" s="560"/>
      <c r="Z106" s="560"/>
      <c r="AA106" s="560"/>
      <c r="AB106" s="560"/>
      <c r="AC106" s="560"/>
      <c r="AD106" s="560"/>
      <c r="AE106" s="559"/>
      <c r="AF106" s="559"/>
      <c r="AG106" s="559"/>
      <c r="AH106" s="559"/>
      <c r="AI106" s="559"/>
      <c r="AJ106" s="559"/>
      <c r="AK106" s="559"/>
      <c r="AL106" s="560"/>
      <c r="AM106" s="560"/>
      <c r="AN106" s="559"/>
      <c r="AO106" s="559"/>
      <c r="AP106" s="560"/>
      <c r="AQ106" s="560"/>
      <c r="AR106" s="560"/>
      <c r="AS106" s="560"/>
      <c r="AT106" s="560"/>
      <c r="AU106" s="560"/>
      <c r="AV106" s="560"/>
      <c r="AW106" s="560"/>
      <c r="AX106" s="560"/>
      <c r="AY106" s="560"/>
      <c r="AZ106" s="791"/>
      <c r="BA106" s="655" t="s">
        <v>1050</v>
      </c>
      <c r="BB106" s="569">
        <v>71.760000000000005</v>
      </c>
      <c r="BC106" s="559"/>
      <c r="BD106" s="560"/>
      <c r="BE106" s="560"/>
      <c r="BF106" s="560"/>
      <c r="BG106" s="560"/>
      <c r="BH106" s="655" t="s">
        <v>1050</v>
      </c>
      <c r="BI106" s="569">
        <v>72.150000000000006</v>
      </c>
      <c r="BJ106" s="559"/>
      <c r="BK106" s="560"/>
      <c r="BL106" s="560"/>
      <c r="BM106" s="560"/>
      <c r="BN106" s="560"/>
      <c r="BO106" s="655" t="s">
        <v>1050</v>
      </c>
      <c r="BP106" s="559">
        <v>72.260000000000005</v>
      </c>
      <c r="BQ106" s="560"/>
      <c r="BR106" s="560"/>
      <c r="BS106" s="560"/>
      <c r="BT106" s="560"/>
      <c r="BU106" s="560"/>
      <c r="BV106" s="655" t="s">
        <v>1050</v>
      </c>
      <c r="BW106" s="560">
        <v>72.099999999999994</v>
      </c>
      <c r="BX106" s="560"/>
      <c r="BY106" s="560"/>
      <c r="BZ106" s="560"/>
      <c r="CA106" s="560"/>
      <c r="CB106" s="560"/>
      <c r="CC106" s="560"/>
    </row>
    <row r="107" spans="1:81">
      <c r="X107" s="560"/>
      <c r="Y107" s="560"/>
      <c r="Z107" s="560"/>
      <c r="AA107" s="560"/>
      <c r="AB107" s="560"/>
      <c r="AC107" s="560"/>
      <c r="AD107" s="560"/>
      <c r="AE107" s="559"/>
      <c r="AF107" s="559"/>
      <c r="AG107" s="559"/>
      <c r="AH107" s="559"/>
      <c r="AI107" s="559"/>
      <c r="AJ107" s="559"/>
      <c r="AK107" s="559"/>
      <c r="AL107" s="560"/>
      <c r="AM107" s="560"/>
      <c r="AN107" s="559"/>
      <c r="AO107" s="559"/>
      <c r="AP107" s="560"/>
      <c r="AQ107" s="560"/>
      <c r="AR107" s="560"/>
      <c r="AS107" s="560"/>
      <c r="AT107" s="560"/>
      <c r="AU107" s="560"/>
      <c r="AV107" s="560"/>
      <c r="AW107" s="560"/>
      <c r="AX107" s="560"/>
      <c r="AY107" s="560"/>
      <c r="BA107" s="560"/>
      <c r="BB107" s="560"/>
      <c r="BC107" s="559"/>
      <c r="BD107" s="560"/>
      <c r="BE107" s="560"/>
      <c r="BF107" s="560"/>
      <c r="BG107" s="560"/>
      <c r="BH107" s="560"/>
      <c r="BI107" s="560"/>
      <c r="BJ107" s="559"/>
      <c r="BK107" s="560"/>
      <c r="BL107" s="560"/>
      <c r="BM107" s="560"/>
      <c r="BN107" s="560"/>
      <c r="BO107" s="560"/>
      <c r="BP107" s="560"/>
      <c r="BQ107" s="560"/>
      <c r="BR107" s="560"/>
      <c r="BS107" s="560"/>
      <c r="BT107" s="560"/>
      <c r="BU107" s="560"/>
      <c r="BV107" s="560"/>
      <c r="BW107" s="560"/>
      <c r="BX107" s="560"/>
      <c r="BY107" s="560"/>
      <c r="BZ107" s="560"/>
      <c r="CA107" s="560"/>
      <c r="CB107" s="560"/>
      <c r="CC107" s="560"/>
    </row>
    <row r="108" spans="1:81">
      <c r="X108" s="560"/>
      <c r="Y108" s="560"/>
      <c r="Z108" s="560"/>
      <c r="AA108" s="560"/>
      <c r="AB108" s="560"/>
      <c r="AC108" s="560"/>
      <c r="AD108" s="560"/>
      <c r="AE108" s="559"/>
      <c r="AF108" s="559"/>
      <c r="AG108" s="559"/>
      <c r="AH108" s="559"/>
      <c r="AI108" s="559"/>
      <c r="AJ108" s="559"/>
      <c r="AK108" s="559"/>
      <c r="AL108" s="560"/>
      <c r="AM108" s="560"/>
      <c r="AN108" s="559"/>
      <c r="AO108" s="559"/>
      <c r="AP108" s="560"/>
      <c r="AQ108" s="560"/>
      <c r="AR108" s="560"/>
      <c r="AS108" s="560"/>
      <c r="AT108" s="560"/>
      <c r="AU108" s="560"/>
      <c r="AV108" s="560"/>
      <c r="AW108" s="560"/>
      <c r="AX108" s="560"/>
      <c r="AY108" s="560"/>
      <c r="BA108" s="560"/>
      <c r="BB108" s="560"/>
      <c r="BC108" s="559"/>
      <c r="BD108" s="560"/>
      <c r="BE108" s="560"/>
      <c r="BF108" s="560"/>
      <c r="BG108" s="560"/>
      <c r="BH108" s="560"/>
      <c r="BI108" s="560"/>
      <c r="BJ108" s="559"/>
      <c r="BK108" s="560"/>
      <c r="BL108" s="560"/>
      <c r="BM108" s="560"/>
      <c r="BN108" s="560"/>
      <c r="BO108" s="560"/>
      <c r="BP108" s="560"/>
      <c r="BQ108" s="560"/>
      <c r="BR108" s="560"/>
      <c r="BS108" s="560"/>
      <c r="BT108" s="560"/>
      <c r="BU108" s="560"/>
      <c r="BV108" s="560"/>
      <c r="BW108" s="560"/>
      <c r="BX108" s="560"/>
      <c r="BY108" s="560"/>
      <c r="BZ108" s="560"/>
      <c r="CA108" s="560"/>
      <c r="CB108" s="560"/>
      <c r="CC108" s="560"/>
    </row>
    <row r="109" spans="1:81">
      <c r="X109" s="560"/>
      <c r="Y109" s="560"/>
      <c r="Z109" s="560"/>
      <c r="AA109" s="560"/>
      <c r="AB109" s="560"/>
      <c r="AC109" s="560"/>
      <c r="AD109" s="560"/>
      <c r="AE109" s="559"/>
      <c r="AF109" s="559"/>
      <c r="AG109" s="559"/>
      <c r="AH109" s="559"/>
      <c r="AI109" s="559"/>
      <c r="AJ109" s="559"/>
      <c r="AK109" s="559"/>
      <c r="AL109" s="560"/>
      <c r="AM109" s="560"/>
      <c r="AN109" s="559"/>
      <c r="AO109" s="559"/>
      <c r="AP109" s="560"/>
      <c r="AQ109" s="560"/>
      <c r="AR109" s="560"/>
      <c r="AS109" s="560"/>
      <c r="AT109" s="560"/>
      <c r="AU109" s="560"/>
      <c r="AV109" s="560"/>
      <c r="AW109" s="560"/>
      <c r="AX109" s="560"/>
      <c r="AY109" s="560"/>
      <c r="BA109" s="560"/>
      <c r="BB109" s="560"/>
      <c r="BC109" s="559"/>
      <c r="BD109" s="560"/>
      <c r="BE109" s="560"/>
      <c r="BF109" s="560"/>
      <c r="BG109" s="560"/>
      <c r="BH109" s="560"/>
      <c r="BI109" s="560"/>
      <c r="BJ109" s="559"/>
      <c r="BK109" s="560"/>
      <c r="BL109" s="560"/>
      <c r="BM109" s="560"/>
      <c r="BN109" s="560"/>
      <c r="BO109" s="560"/>
      <c r="BP109" s="560"/>
      <c r="BQ109" s="560"/>
      <c r="BR109" s="560"/>
      <c r="BS109" s="560"/>
      <c r="BT109" s="560"/>
      <c r="BU109" s="560"/>
      <c r="BV109" s="560"/>
      <c r="BW109" s="560"/>
      <c r="BX109" s="560"/>
      <c r="BY109" s="560"/>
      <c r="BZ109" s="560"/>
      <c r="CA109" s="560"/>
      <c r="CB109" s="560"/>
      <c r="CC109" s="560"/>
    </row>
    <row r="110" spans="1:81" ht="18.75">
      <c r="A110" s="70" t="s">
        <v>156</v>
      </c>
      <c r="B110" s="71"/>
      <c r="X110" s="560"/>
      <c r="Y110" s="560"/>
      <c r="Z110" s="560"/>
      <c r="AA110" s="560"/>
      <c r="AB110" s="560"/>
      <c r="AC110" s="560"/>
      <c r="AD110" s="560"/>
      <c r="AE110" s="559"/>
      <c r="AF110" s="559"/>
      <c r="AG110" s="559"/>
      <c r="AH110" s="559"/>
      <c r="AI110" s="559"/>
      <c r="AJ110" s="559"/>
      <c r="AK110" s="559"/>
      <c r="AL110" s="560"/>
      <c r="AM110" s="560"/>
      <c r="AN110" s="559"/>
      <c r="AO110" s="559"/>
      <c r="AP110" s="560"/>
      <c r="AQ110" s="560"/>
      <c r="AR110" s="560"/>
      <c r="AS110" s="560"/>
      <c r="AT110" s="560"/>
      <c r="AU110" s="560"/>
      <c r="AV110" s="560"/>
      <c r="AW110" s="560"/>
      <c r="AX110" s="560"/>
      <c r="AY110" s="560"/>
      <c r="BA110" s="560"/>
      <c r="BB110" s="560"/>
      <c r="BC110" s="559"/>
      <c r="BD110" s="560"/>
      <c r="BE110" s="560"/>
      <c r="BF110" s="560"/>
      <c r="BG110" s="560"/>
      <c r="BH110" s="560"/>
      <c r="BI110" s="560"/>
      <c r="BJ110" s="559"/>
      <c r="BK110" s="560"/>
      <c r="BL110" s="560"/>
      <c r="BM110" s="560"/>
      <c r="BN110" s="560"/>
      <c r="BO110" s="560"/>
      <c r="BP110" s="560"/>
      <c r="BQ110" s="560"/>
      <c r="BR110" s="560"/>
      <c r="BS110" s="560"/>
      <c r="BT110" s="560"/>
      <c r="BU110" s="560"/>
      <c r="BV110" s="560"/>
      <c r="BW110" s="560"/>
      <c r="BX110" s="560"/>
      <c r="BY110" s="560"/>
      <c r="BZ110" s="560"/>
      <c r="CA110" s="560"/>
      <c r="CB110" s="560"/>
      <c r="CC110" s="560"/>
    </row>
    <row r="111" spans="1:81" ht="18.75" customHeight="1">
      <c r="A111" s="804" t="s">
        <v>159</v>
      </c>
      <c r="B111" s="804"/>
      <c r="C111" s="804"/>
      <c r="D111" s="804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89"/>
      <c r="P111" s="89"/>
      <c r="Q111" s="89"/>
      <c r="R111" s="90"/>
      <c r="S111" s="90"/>
      <c r="T111" s="90"/>
      <c r="U111" s="90"/>
      <c r="V111" s="90"/>
      <c r="W111" s="90"/>
      <c r="X111" s="613"/>
      <c r="Y111" s="613"/>
      <c r="Z111" s="613"/>
      <c r="AA111" s="613"/>
      <c r="AB111" s="613"/>
      <c r="AC111" s="613"/>
      <c r="AD111" s="613"/>
      <c r="AE111" s="614"/>
      <c r="AF111" s="614"/>
      <c r="AG111" s="614"/>
      <c r="AH111" s="614"/>
      <c r="AI111" s="614"/>
      <c r="AJ111" s="614"/>
      <c r="AK111" s="614"/>
      <c r="AL111" s="613"/>
      <c r="AM111" s="613"/>
      <c r="AN111" s="614"/>
      <c r="AO111" s="614"/>
      <c r="AP111" s="613"/>
      <c r="AQ111" s="613"/>
      <c r="AR111" s="613"/>
      <c r="AS111" s="613"/>
      <c r="AT111" s="613"/>
      <c r="AU111" s="613"/>
      <c r="AV111" s="613"/>
      <c r="AW111" s="613"/>
      <c r="AX111" s="613"/>
      <c r="AY111" s="613"/>
      <c r="AZ111" s="89"/>
      <c r="BA111" s="613"/>
      <c r="BB111" s="613"/>
      <c r="BC111" s="614"/>
      <c r="BD111" s="613"/>
      <c r="BE111" s="613"/>
      <c r="BF111" s="613"/>
      <c r="BG111" s="613"/>
      <c r="BH111" s="613"/>
      <c r="BI111" s="613"/>
      <c r="BJ111" s="614"/>
      <c r="BK111" s="613"/>
      <c r="BL111" s="613"/>
      <c r="BM111" s="613"/>
      <c r="BN111" s="613"/>
      <c r="BO111" s="613"/>
      <c r="BP111" s="613"/>
      <c r="BQ111" s="613"/>
      <c r="BR111" s="613"/>
      <c r="BS111" s="613"/>
      <c r="BT111" s="613"/>
      <c r="BU111" s="613"/>
      <c r="BV111" s="613"/>
      <c r="BW111" s="613"/>
      <c r="BX111" s="613"/>
      <c r="BY111" s="613"/>
      <c r="BZ111" s="613"/>
      <c r="CA111" s="613"/>
      <c r="CB111" s="613"/>
      <c r="CC111" s="560"/>
    </row>
    <row r="112" spans="1:81">
      <c r="X112" s="560"/>
      <c r="Y112" s="560"/>
      <c r="Z112" s="560"/>
      <c r="AA112" s="560"/>
      <c r="AB112" s="560"/>
      <c r="AC112" s="560"/>
      <c r="AD112" s="560"/>
      <c r="AE112" s="559"/>
      <c r="AF112" s="559"/>
      <c r="AG112" s="559"/>
      <c r="AH112" s="559"/>
      <c r="AI112" s="559"/>
      <c r="AJ112" s="559"/>
      <c r="AK112" s="559"/>
      <c r="AL112" s="560"/>
      <c r="AM112" s="560"/>
      <c r="AN112" s="559"/>
      <c r="AO112" s="559"/>
      <c r="AP112" s="560"/>
      <c r="AQ112" s="560"/>
      <c r="AR112" s="560"/>
      <c r="AS112" s="560"/>
      <c r="AT112" s="560"/>
      <c r="AU112" s="560"/>
      <c r="AV112" s="560"/>
      <c r="AW112" s="560"/>
      <c r="AX112" s="560"/>
      <c r="AY112" s="560"/>
      <c r="BA112" s="560"/>
      <c r="BB112" s="560"/>
      <c r="BC112" s="559"/>
      <c r="BD112" s="560"/>
      <c r="BE112" s="560"/>
      <c r="BF112" s="560"/>
      <c r="BG112" s="560"/>
      <c r="BH112" s="560"/>
      <c r="BI112" s="560"/>
      <c r="BJ112" s="559"/>
      <c r="BK112" s="560"/>
      <c r="BL112" s="560"/>
      <c r="BM112" s="560"/>
      <c r="BN112" s="560"/>
      <c r="BO112" s="560"/>
      <c r="BP112" s="560"/>
      <c r="BQ112" s="560"/>
      <c r="BR112" s="560"/>
      <c r="BS112" s="560"/>
      <c r="BT112" s="560"/>
      <c r="BU112" s="560"/>
      <c r="BV112" s="560"/>
      <c r="BW112" s="560"/>
      <c r="BX112" s="560"/>
      <c r="BY112" s="560"/>
      <c r="BZ112" s="560"/>
      <c r="CA112" s="560"/>
      <c r="CB112" s="560"/>
      <c r="CC112" s="560"/>
    </row>
    <row r="113" spans="1:81">
      <c r="A113" s="447" t="s">
        <v>134</v>
      </c>
      <c r="B113" s="76" t="s">
        <v>124</v>
      </c>
      <c r="C113" s="61" t="s">
        <v>119</v>
      </c>
      <c r="D113" s="77" t="s">
        <v>111</v>
      </c>
      <c r="E113" s="73"/>
      <c r="F113" s="73"/>
      <c r="G113" s="78"/>
      <c r="H113" s="76" t="s">
        <v>124</v>
      </c>
      <c r="I113" s="77" t="s">
        <v>119</v>
      </c>
      <c r="J113" s="77" t="s">
        <v>111</v>
      </c>
      <c r="K113" s="73"/>
      <c r="L113" s="73"/>
      <c r="M113" s="79" t="s">
        <v>124</v>
      </c>
      <c r="N113" s="77" t="s">
        <v>119</v>
      </c>
      <c r="O113" s="61" t="s">
        <v>111</v>
      </c>
      <c r="P113" s="63"/>
      <c r="Q113" s="63"/>
      <c r="R113" s="79" t="s">
        <v>124</v>
      </c>
      <c r="S113" s="77" t="s">
        <v>119</v>
      </c>
      <c r="T113" s="77" t="s">
        <v>111</v>
      </c>
      <c r="U113" s="73"/>
      <c r="V113" s="73"/>
      <c r="W113" s="447" t="s">
        <v>133</v>
      </c>
      <c r="X113" s="571" t="s">
        <v>124</v>
      </c>
      <c r="Y113" s="568" t="s">
        <v>119</v>
      </c>
      <c r="Z113" s="568" t="s">
        <v>111</v>
      </c>
      <c r="AA113" s="569"/>
      <c r="AB113" s="569"/>
      <c r="AC113" s="665"/>
      <c r="AD113" s="570"/>
      <c r="AE113" s="566" t="s">
        <v>124</v>
      </c>
      <c r="AF113" s="568" t="s">
        <v>119</v>
      </c>
      <c r="AG113" s="568" t="s">
        <v>111</v>
      </c>
      <c r="AH113" s="665"/>
      <c r="AI113" s="665"/>
      <c r="AJ113" s="665"/>
      <c r="AK113" s="570"/>
      <c r="AL113" s="571" t="s">
        <v>124</v>
      </c>
      <c r="AM113" s="568" t="s">
        <v>119</v>
      </c>
      <c r="AN113" s="568" t="s">
        <v>111</v>
      </c>
      <c r="AO113" s="665"/>
      <c r="AP113" s="569"/>
      <c r="AQ113" s="569"/>
      <c r="AR113" s="700"/>
      <c r="AS113" s="571" t="s">
        <v>124</v>
      </c>
      <c r="AT113" s="568" t="s">
        <v>119</v>
      </c>
      <c r="AU113" s="568" t="s">
        <v>111</v>
      </c>
      <c r="AV113" s="569"/>
      <c r="AW113" s="569"/>
      <c r="AX113" s="569"/>
      <c r="AY113" s="700"/>
      <c r="AZ113" s="447" t="s">
        <v>141</v>
      </c>
      <c r="BA113" s="566" t="s">
        <v>124</v>
      </c>
      <c r="BB113" s="568" t="s">
        <v>119</v>
      </c>
      <c r="BC113" s="568" t="s">
        <v>111</v>
      </c>
      <c r="BD113" s="569"/>
      <c r="BE113" s="569"/>
      <c r="BF113" s="569"/>
      <c r="BG113" s="665"/>
      <c r="BH113" s="566" t="s">
        <v>124</v>
      </c>
      <c r="BI113" s="567" t="s">
        <v>119</v>
      </c>
      <c r="BJ113" s="567" t="s">
        <v>111</v>
      </c>
      <c r="BK113" s="665"/>
      <c r="BL113" s="665"/>
      <c r="BM113" s="665"/>
      <c r="BN113" s="665"/>
      <c r="BO113" s="571" t="s">
        <v>124</v>
      </c>
      <c r="BP113" s="568" t="s">
        <v>119</v>
      </c>
      <c r="BQ113" s="568" t="s">
        <v>111</v>
      </c>
      <c r="BR113" s="560"/>
      <c r="BS113" s="665"/>
      <c r="BT113" s="569"/>
      <c r="BU113" s="569"/>
      <c r="BV113" s="672" t="s">
        <v>124</v>
      </c>
      <c r="BW113" s="567" t="s">
        <v>119</v>
      </c>
      <c r="BX113" s="567" t="s">
        <v>111</v>
      </c>
      <c r="BY113" s="559"/>
      <c r="BZ113" s="559"/>
      <c r="CA113" s="559"/>
      <c r="CB113" s="570"/>
      <c r="CC113" s="560"/>
    </row>
    <row r="114" spans="1:81">
      <c r="A114" s="80"/>
      <c r="B114" s="81" t="s">
        <v>63</v>
      </c>
      <c r="C114" s="86" t="s">
        <v>158</v>
      </c>
      <c r="D114" s="82" t="s">
        <v>112</v>
      </c>
      <c r="E114" s="73"/>
      <c r="F114" s="73"/>
      <c r="G114" s="78"/>
      <c r="H114" s="76" t="s">
        <v>63</v>
      </c>
      <c r="I114" s="86" t="s">
        <v>158</v>
      </c>
      <c r="J114" s="83" t="s">
        <v>114</v>
      </c>
      <c r="K114" s="73"/>
      <c r="L114" s="73"/>
      <c r="M114" s="79" t="s">
        <v>63</v>
      </c>
      <c r="N114" s="83" t="s">
        <v>11</v>
      </c>
      <c r="O114" s="64" t="s">
        <v>4</v>
      </c>
      <c r="P114" s="63"/>
      <c r="Q114" s="63"/>
      <c r="R114" s="79" t="s">
        <v>63</v>
      </c>
      <c r="S114" s="83" t="s">
        <v>11</v>
      </c>
      <c r="T114" s="83" t="s">
        <v>114</v>
      </c>
      <c r="U114" s="805"/>
      <c r="V114" s="805"/>
      <c r="W114" s="80"/>
      <c r="X114" s="578" t="s">
        <v>63</v>
      </c>
      <c r="Y114" s="573" t="s">
        <v>158</v>
      </c>
      <c r="Z114" s="574" t="s">
        <v>112</v>
      </c>
      <c r="AA114" s="569"/>
      <c r="AB114" s="569"/>
      <c r="AC114" s="665"/>
      <c r="AD114" s="570"/>
      <c r="AE114" s="566" t="s">
        <v>63</v>
      </c>
      <c r="AF114" s="573" t="s">
        <v>158</v>
      </c>
      <c r="AG114" s="575" t="s">
        <v>114</v>
      </c>
      <c r="AH114" s="665"/>
      <c r="AI114" s="677"/>
      <c r="AJ114" s="665"/>
      <c r="AK114" s="570"/>
      <c r="AL114" s="571" t="s">
        <v>63</v>
      </c>
      <c r="AM114" s="575" t="s">
        <v>11</v>
      </c>
      <c r="AN114" s="575" t="s">
        <v>112</v>
      </c>
      <c r="AO114" s="665"/>
      <c r="AP114" s="677"/>
      <c r="AQ114" s="569"/>
      <c r="AR114" s="700"/>
      <c r="AS114" s="571" t="s">
        <v>63</v>
      </c>
      <c r="AT114" s="575" t="s">
        <v>11</v>
      </c>
      <c r="AU114" s="705" t="s">
        <v>12</v>
      </c>
      <c r="AV114" s="802"/>
      <c r="AW114" s="802"/>
      <c r="AX114" s="569"/>
      <c r="AY114" s="700"/>
      <c r="AZ114" s="80"/>
      <c r="BA114" s="566" t="s">
        <v>63</v>
      </c>
      <c r="BB114" s="573" t="s">
        <v>158</v>
      </c>
      <c r="BC114" s="575" t="s">
        <v>112</v>
      </c>
      <c r="BD114" s="665"/>
      <c r="BE114" s="569"/>
      <c r="BF114" s="673"/>
      <c r="BG114" s="676"/>
      <c r="BH114" s="566" t="s">
        <v>63</v>
      </c>
      <c r="BI114" s="573" t="s">
        <v>158</v>
      </c>
      <c r="BJ114" s="615" t="s">
        <v>114</v>
      </c>
      <c r="BK114" s="665" t="s">
        <v>143</v>
      </c>
      <c r="BL114" s="665"/>
      <c r="BM114" s="665"/>
      <c r="BN114" s="665"/>
      <c r="BO114" s="571" t="s">
        <v>63</v>
      </c>
      <c r="BP114" s="575" t="s">
        <v>11</v>
      </c>
      <c r="BQ114" s="615" t="s">
        <v>4</v>
      </c>
      <c r="BR114" s="560"/>
      <c r="BS114" s="665"/>
      <c r="BT114" s="677"/>
      <c r="BU114" s="569"/>
      <c r="BV114" s="672" t="s">
        <v>63</v>
      </c>
      <c r="BW114" s="575" t="s">
        <v>11</v>
      </c>
      <c r="BX114" s="615" t="s">
        <v>114</v>
      </c>
      <c r="BY114" s="806"/>
      <c r="BZ114" s="806"/>
      <c r="CA114" s="559"/>
      <c r="CB114" s="570"/>
      <c r="CC114" s="560"/>
    </row>
    <row r="115" spans="1:81" ht="63">
      <c r="A115" s="5"/>
      <c r="B115" s="448" t="s">
        <v>122</v>
      </c>
      <c r="C115" s="449" t="s">
        <v>121</v>
      </c>
      <c r="D115" s="450" t="s">
        <v>125</v>
      </c>
      <c r="E115" s="796" t="s">
        <v>1017</v>
      </c>
      <c r="F115" s="796"/>
      <c r="G115" s="797"/>
      <c r="H115" s="451" t="s">
        <v>121</v>
      </c>
      <c r="I115" s="450" t="s">
        <v>125</v>
      </c>
      <c r="J115" s="796" t="s">
        <v>1017</v>
      </c>
      <c r="K115" s="796"/>
      <c r="L115" s="797"/>
      <c r="M115" s="451" t="s">
        <v>121</v>
      </c>
      <c r="N115" s="450" t="s">
        <v>125</v>
      </c>
      <c r="O115" s="796" t="s">
        <v>1017</v>
      </c>
      <c r="P115" s="796"/>
      <c r="Q115" s="797"/>
      <c r="R115" s="451" t="s">
        <v>121</v>
      </c>
      <c r="S115" s="450" t="s">
        <v>125</v>
      </c>
      <c r="T115" s="796" t="s">
        <v>1017</v>
      </c>
      <c r="U115" s="796"/>
      <c r="V115" s="797"/>
      <c r="W115" s="5"/>
      <c r="X115" s="582" t="s">
        <v>121</v>
      </c>
      <c r="Y115" s="584" t="s">
        <v>126</v>
      </c>
      <c r="Z115" s="583" t="s">
        <v>127</v>
      </c>
      <c r="AA115" s="583" t="s">
        <v>128</v>
      </c>
      <c r="AB115" s="694" t="s">
        <v>129</v>
      </c>
      <c r="AC115" s="583" t="s">
        <v>130</v>
      </c>
      <c r="AD115" s="701" t="s">
        <v>131</v>
      </c>
      <c r="AE115" s="582" t="s">
        <v>121</v>
      </c>
      <c r="AF115" s="694" t="s">
        <v>126</v>
      </c>
      <c r="AG115" s="583" t="s">
        <v>127</v>
      </c>
      <c r="AH115" s="583" t="s">
        <v>128</v>
      </c>
      <c r="AI115" s="694" t="s">
        <v>129</v>
      </c>
      <c r="AJ115" s="583" t="s">
        <v>130</v>
      </c>
      <c r="AK115" s="701" t="s">
        <v>131</v>
      </c>
      <c r="AL115" s="582" t="s">
        <v>121</v>
      </c>
      <c r="AM115" s="694" t="s">
        <v>126</v>
      </c>
      <c r="AN115" s="583" t="s">
        <v>127</v>
      </c>
      <c r="AO115" s="583" t="s">
        <v>128</v>
      </c>
      <c r="AP115" s="694" t="s">
        <v>129</v>
      </c>
      <c r="AQ115" s="583" t="s">
        <v>130</v>
      </c>
      <c r="AR115" s="696" t="s">
        <v>131</v>
      </c>
      <c r="AS115" s="582" t="s">
        <v>121</v>
      </c>
      <c r="AT115" s="694" t="s">
        <v>126</v>
      </c>
      <c r="AU115" s="695" t="s">
        <v>127</v>
      </c>
      <c r="AV115" s="695" t="s">
        <v>128</v>
      </c>
      <c r="AW115" s="694" t="s">
        <v>129</v>
      </c>
      <c r="AX115" s="583" t="s">
        <v>130</v>
      </c>
      <c r="AY115" s="696" t="s">
        <v>131</v>
      </c>
      <c r="AZ115" s="75"/>
      <c r="BA115" s="648" t="s">
        <v>121</v>
      </c>
      <c r="BB115" s="583" t="s">
        <v>143</v>
      </c>
      <c r="BC115" s="583" t="s">
        <v>888</v>
      </c>
      <c r="BD115" s="583" t="s">
        <v>1045</v>
      </c>
      <c r="BE115" s="583" t="s">
        <v>1044</v>
      </c>
      <c r="BF115" s="666" t="s">
        <v>1051</v>
      </c>
      <c r="BG115" s="666" t="s">
        <v>1052</v>
      </c>
      <c r="BH115" s="648" t="s">
        <v>121</v>
      </c>
      <c r="BI115" s="583" t="s">
        <v>143</v>
      </c>
      <c r="BJ115" s="583" t="s">
        <v>888</v>
      </c>
      <c r="BK115" s="583" t="s">
        <v>1045</v>
      </c>
      <c r="BL115" s="583" t="s">
        <v>1044</v>
      </c>
      <c r="BM115" s="666" t="s">
        <v>1051</v>
      </c>
      <c r="BN115" s="666" t="s">
        <v>1052</v>
      </c>
      <c r="BO115" s="648" t="s">
        <v>121</v>
      </c>
      <c r="BP115" s="583" t="s">
        <v>143</v>
      </c>
      <c r="BQ115" s="583" t="s">
        <v>888</v>
      </c>
      <c r="BR115" s="583" t="s">
        <v>1045</v>
      </c>
      <c r="BS115" s="583" t="s">
        <v>1044</v>
      </c>
      <c r="BT115" s="666" t="s">
        <v>1051</v>
      </c>
      <c r="BU115" s="666" t="s">
        <v>1052</v>
      </c>
      <c r="BV115" s="648" t="s">
        <v>121</v>
      </c>
      <c r="BW115" s="583" t="s">
        <v>143</v>
      </c>
      <c r="BX115" s="583" t="s">
        <v>888</v>
      </c>
      <c r="BY115" s="583" t="s">
        <v>1045</v>
      </c>
      <c r="BZ115" s="583" t="s">
        <v>1044</v>
      </c>
      <c r="CA115" s="666" t="s">
        <v>1051</v>
      </c>
      <c r="CB115" s="666" t="s">
        <v>1052</v>
      </c>
      <c r="CC115" s="560"/>
    </row>
    <row r="116" spans="1:81" ht="15.75">
      <c r="A116" s="5"/>
      <c r="B116" s="452" t="s">
        <v>120</v>
      </c>
      <c r="C116" s="454">
        <v>0</v>
      </c>
      <c r="D116" s="311">
        <v>407.85</v>
      </c>
      <c r="E116" s="27">
        <v>0</v>
      </c>
      <c r="F116" s="27">
        <v>0</v>
      </c>
      <c r="G116" s="27">
        <v>0</v>
      </c>
      <c r="H116" s="453">
        <v>0</v>
      </c>
      <c r="I116" s="311">
        <v>449.63</v>
      </c>
      <c r="J116" s="108">
        <v>0</v>
      </c>
      <c r="K116" s="87">
        <v>0</v>
      </c>
      <c r="L116" s="108">
        <v>0</v>
      </c>
      <c r="M116" s="453">
        <v>0</v>
      </c>
      <c r="N116" s="315">
        <v>423.46</v>
      </c>
      <c r="O116" s="107">
        <v>0</v>
      </c>
      <c r="P116" s="107">
        <v>0</v>
      </c>
      <c r="Q116" s="107">
        <v>0</v>
      </c>
      <c r="R116" s="453">
        <v>0</v>
      </c>
      <c r="S116" s="315">
        <v>456.39</v>
      </c>
      <c r="T116" s="108">
        <v>0</v>
      </c>
      <c r="U116" s="108">
        <v>0</v>
      </c>
      <c r="V116" s="108">
        <v>0</v>
      </c>
      <c r="W116" s="5"/>
      <c r="X116" s="591">
        <v>0</v>
      </c>
      <c r="Y116" s="592">
        <f t="shared" ref="Y116:Y131" si="101">AVERAGE(E116:G116)/10</f>
        <v>0</v>
      </c>
      <c r="Z116" s="593">
        <v>9.6440000000000001</v>
      </c>
      <c r="AA116" s="593">
        <v>4.5170000000000003</v>
      </c>
      <c r="AB116" s="593">
        <f t="shared" ref="AB116:AB131" si="102">Z116-(AA116+Y116)</f>
        <v>5.1269999999999998</v>
      </c>
      <c r="AC116" s="593">
        <f t="shared" ref="AC116:AC131" si="103">3*Z116+AA116+Y116</f>
        <v>33.449000000000005</v>
      </c>
      <c r="AD116" s="653">
        <f t="shared" ref="AD116:AD131" si="104">1.398*(10^-6)*(X116^2)*AB116*AC116</f>
        <v>0</v>
      </c>
      <c r="AE116" s="591">
        <v>0</v>
      </c>
      <c r="AF116" s="595">
        <f t="shared" ref="AF116:AF131" si="105">AVERAGE(J116:L116)/10</f>
        <v>0</v>
      </c>
      <c r="AG116" s="593">
        <v>9.6440000000000001</v>
      </c>
      <c r="AH116" s="593">
        <v>4.5170000000000003</v>
      </c>
      <c r="AI116" s="593">
        <f t="shared" ref="AI116:AI131" si="106">AG116-(AH116+AF116)</f>
        <v>5.1269999999999998</v>
      </c>
      <c r="AJ116" s="593">
        <f t="shared" ref="AJ116:AJ131" si="107">3*AG116+AH116+AF116</f>
        <v>33.449000000000005</v>
      </c>
      <c r="AK116" s="653">
        <f t="shared" ref="AK116:AK131" si="108">1.398*(10^-6)*(AE116^2)*AI116*AJ116</f>
        <v>0</v>
      </c>
      <c r="AL116" s="591">
        <v>0</v>
      </c>
      <c r="AM116" s="595">
        <f t="shared" ref="AM116:AM131" si="109">AVERAGE(O116:Q116)/10</f>
        <v>0</v>
      </c>
      <c r="AN116" s="593">
        <v>9.6440000000000001</v>
      </c>
      <c r="AO116" s="593">
        <v>4.5170000000000003</v>
      </c>
      <c r="AP116" s="593">
        <f t="shared" ref="AP116:AP131" si="110">AN116-(AO116+AM116)</f>
        <v>5.1269999999999998</v>
      </c>
      <c r="AQ116" s="593">
        <f t="shared" ref="AQ116:AQ131" si="111">3*AN116+AO116+AM116</f>
        <v>33.449000000000005</v>
      </c>
      <c r="AR116" s="698">
        <f t="shared" ref="AR116:AR131" si="112">1.398*(10^-6)*(AL116^2)*AP116*AQ116</f>
        <v>0</v>
      </c>
      <c r="AS116" s="591">
        <v>0</v>
      </c>
      <c r="AT116" s="595">
        <f t="shared" ref="AT116:AT131" si="113">AVERAGE(T116:V116)/10</f>
        <v>0</v>
      </c>
      <c r="AU116" s="593">
        <v>9.6440000000000001</v>
      </c>
      <c r="AV116" s="593">
        <v>4.5170000000000003</v>
      </c>
      <c r="AW116" s="593">
        <f t="shared" ref="AW116:AW131" si="114">AU116-(AV116+AT116)</f>
        <v>5.1269999999999998</v>
      </c>
      <c r="AX116" s="593">
        <f t="shared" ref="AX116:AX131" si="115">3*AU116+AV116+AT116</f>
        <v>33.449000000000005</v>
      </c>
      <c r="AY116" s="698">
        <f t="shared" ref="AY116:AY131" si="116">1.398*(10^-6)*(AS116^2)*AW116*AX116</f>
        <v>0</v>
      </c>
      <c r="AZ116" s="75"/>
      <c r="BA116" s="591">
        <v>0</v>
      </c>
      <c r="BB116" s="593">
        <v>103.50685607036536</v>
      </c>
      <c r="BC116" s="667">
        <f>(BB134-BB135)/BB116</f>
        <v>0.6183165292595878</v>
      </c>
      <c r="BD116" s="714">
        <f>D116-BB132</f>
        <v>56.660000000000025</v>
      </c>
      <c r="BE116" s="667">
        <f>BB134-BB135</f>
        <v>64</v>
      </c>
      <c r="BF116" s="667">
        <f t="shared" ref="BF116:BF131" si="117">BD116/BE116*100</f>
        <v>88.531250000000043</v>
      </c>
      <c r="BG116" s="668">
        <f t="shared" ref="BG116:BG131" si="118">BF116*BC116</f>
        <v>54.740335231012907</v>
      </c>
      <c r="BH116" s="591">
        <v>0</v>
      </c>
      <c r="BI116" s="593">
        <v>103.50685607036536</v>
      </c>
      <c r="BJ116" s="667">
        <f>(BI134-BI135)/BI116</f>
        <v>1.1501653563805301</v>
      </c>
      <c r="BK116" s="714">
        <f>I116-BI132</f>
        <v>43.019999999999982</v>
      </c>
      <c r="BL116" s="667">
        <f>BI134-BI135</f>
        <v>119.05000000000001</v>
      </c>
      <c r="BM116" s="667">
        <f t="shared" ref="BM116:BM131" si="119">BK116/BL116*100</f>
        <v>36.136077278454415</v>
      </c>
      <c r="BN116" s="668">
        <f t="shared" ref="BN116:BN131" si="120">BM116*BJ116</f>
        <v>41.562464201167899</v>
      </c>
      <c r="BO116" s="591">
        <v>0</v>
      </c>
      <c r="BP116" s="679">
        <v>103.50685607036536</v>
      </c>
      <c r="BQ116" s="667">
        <f>(BP134-BP135)/BP116</f>
        <v>0.8161778186226557</v>
      </c>
      <c r="BR116" s="714">
        <f>N116-BP132</f>
        <v>52.069999999999993</v>
      </c>
      <c r="BS116" s="667">
        <f>BP134-BP135</f>
        <v>84.47999999999999</v>
      </c>
      <c r="BT116" s="667">
        <f t="shared" ref="BT116:BT131" si="121">BR116/BS116*100</f>
        <v>61.635890151515149</v>
      </c>
      <c r="BU116" s="710">
        <f t="shared" ref="BU116:BU131" si="122">BT116*BQ116</f>
        <v>50.305846372729263</v>
      </c>
      <c r="BV116" s="591">
        <v>0</v>
      </c>
      <c r="BW116" s="593">
        <v>103.50685607036536</v>
      </c>
      <c r="BX116" s="667">
        <f>(BW134-BW135)/BW116</f>
        <v>1.2636844066742825</v>
      </c>
      <c r="BY116" s="714">
        <f>S116-BW132</f>
        <v>39.490000000000009</v>
      </c>
      <c r="BZ116" s="667">
        <f>BW134-BW135</f>
        <v>130.80000000000001</v>
      </c>
      <c r="CA116" s="667">
        <f t="shared" ref="CA116:CA131" si="123">BY116/BZ116*100</f>
        <v>30.191131498470952</v>
      </c>
      <c r="CB116" s="668">
        <f t="shared" ref="CB116:CB131" si="124">CA116*BX116</f>
        <v>38.152062094470509</v>
      </c>
      <c r="CC116" s="560"/>
    </row>
    <row r="117" spans="1:81" ht="15.75">
      <c r="A117" s="5"/>
      <c r="B117" s="59" t="s">
        <v>116</v>
      </c>
      <c r="C117" s="97">
        <v>300</v>
      </c>
      <c r="D117" s="315">
        <v>392.32</v>
      </c>
      <c r="E117" s="91">
        <v>3.78</v>
      </c>
      <c r="F117" s="91">
        <v>3.98</v>
      </c>
      <c r="G117" s="91">
        <v>4.45</v>
      </c>
      <c r="H117" s="103">
        <v>300</v>
      </c>
      <c r="I117" s="315">
        <v>448</v>
      </c>
      <c r="J117" s="108">
        <v>0</v>
      </c>
      <c r="K117" s="87">
        <v>0</v>
      </c>
      <c r="L117" s="108">
        <v>0</v>
      </c>
      <c r="M117" s="103">
        <v>300</v>
      </c>
      <c r="N117" s="315">
        <v>411.49</v>
      </c>
      <c r="O117" s="107">
        <v>5.42</v>
      </c>
      <c r="P117" s="107">
        <v>5.63</v>
      </c>
      <c r="Q117" s="107">
        <v>4.5599999999999996</v>
      </c>
      <c r="R117" s="103">
        <v>300</v>
      </c>
      <c r="S117" s="315">
        <v>454.43</v>
      </c>
      <c r="T117" s="108">
        <v>0</v>
      </c>
      <c r="U117" s="108">
        <v>0</v>
      </c>
      <c r="V117" s="108">
        <v>0</v>
      </c>
      <c r="W117" s="5"/>
      <c r="X117" s="591">
        <v>300</v>
      </c>
      <c r="Y117" s="592">
        <f t="shared" si="101"/>
        <v>0.40700000000000003</v>
      </c>
      <c r="Z117" s="593">
        <v>9.6440000000000001</v>
      </c>
      <c r="AA117" s="593">
        <v>4.5170000000000003</v>
      </c>
      <c r="AB117" s="593">
        <f t="shared" si="102"/>
        <v>4.72</v>
      </c>
      <c r="AC117" s="593">
        <f t="shared" si="103"/>
        <v>33.856000000000009</v>
      </c>
      <c r="AD117" s="653">
        <f t="shared" si="104"/>
        <v>20.106076262400002</v>
      </c>
      <c r="AE117" s="591">
        <v>300</v>
      </c>
      <c r="AF117" s="595">
        <f t="shared" si="105"/>
        <v>0</v>
      </c>
      <c r="AG117" s="593">
        <v>9.6440000000000001</v>
      </c>
      <c r="AH117" s="593">
        <v>4.5170000000000003</v>
      </c>
      <c r="AI117" s="593">
        <f t="shared" si="106"/>
        <v>5.1269999999999998</v>
      </c>
      <c r="AJ117" s="593">
        <f t="shared" si="107"/>
        <v>33.449000000000005</v>
      </c>
      <c r="AK117" s="653">
        <f t="shared" si="108"/>
        <v>21.577252153859998</v>
      </c>
      <c r="AL117" s="591">
        <v>300</v>
      </c>
      <c r="AM117" s="595">
        <f t="shared" si="109"/>
        <v>0.52033333333333331</v>
      </c>
      <c r="AN117" s="593">
        <v>9.6440000000000001</v>
      </c>
      <c r="AO117" s="593">
        <v>4.5170000000000003</v>
      </c>
      <c r="AP117" s="593">
        <f t="shared" si="110"/>
        <v>4.6066666666666665</v>
      </c>
      <c r="AQ117" s="593">
        <f t="shared" si="111"/>
        <v>33.969333333333338</v>
      </c>
      <c r="AR117" s="698">
        <f t="shared" si="112"/>
        <v>19.688992468799999</v>
      </c>
      <c r="AS117" s="591">
        <v>300</v>
      </c>
      <c r="AT117" s="595">
        <f t="shared" si="113"/>
        <v>0</v>
      </c>
      <c r="AU117" s="593">
        <v>9.6440000000000001</v>
      </c>
      <c r="AV117" s="593">
        <v>4.5170000000000003</v>
      </c>
      <c r="AW117" s="593">
        <f t="shared" si="114"/>
        <v>5.1269999999999998</v>
      </c>
      <c r="AX117" s="593">
        <f t="shared" si="115"/>
        <v>33.449000000000005</v>
      </c>
      <c r="AY117" s="698">
        <f t="shared" si="116"/>
        <v>21.577252153859998</v>
      </c>
      <c r="AZ117" s="75"/>
      <c r="BA117" s="591">
        <v>300</v>
      </c>
      <c r="BB117" s="593">
        <v>103.50685607036536</v>
      </c>
      <c r="BC117" s="667">
        <f>(BB134-BB135)/BB116</f>
        <v>0.6183165292595878</v>
      </c>
      <c r="BD117" s="714">
        <f>D117-BB132</f>
        <v>41.129999999999995</v>
      </c>
      <c r="BE117" s="667">
        <f>BB134-BB135</f>
        <v>64</v>
      </c>
      <c r="BF117" s="667">
        <f t="shared" si="117"/>
        <v>64.265625</v>
      </c>
      <c r="BG117" s="668">
        <f t="shared" si="118"/>
        <v>39.7364982006982</v>
      </c>
      <c r="BH117" s="591">
        <v>300</v>
      </c>
      <c r="BI117" s="593">
        <v>103.50685607036536</v>
      </c>
      <c r="BJ117" s="667">
        <f>(BI134-BI135)/BI116</f>
        <v>1.1501653563805301</v>
      </c>
      <c r="BK117" s="714">
        <f>I117-BI132</f>
        <v>41.389999999999986</v>
      </c>
      <c r="BL117" s="667">
        <f>BI134-BI135</f>
        <v>119.05000000000001</v>
      </c>
      <c r="BM117" s="667">
        <f t="shared" si="119"/>
        <v>34.766904661906743</v>
      </c>
      <c r="BN117" s="668">
        <f t="shared" si="120"/>
        <v>39.987689290709881</v>
      </c>
      <c r="BO117" s="591">
        <v>300</v>
      </c>
      <c r="BP117" s="679">
        <v>103.50685607036536</v>
      </c>
      <c r="BQ117" s="667">
        <f>(BP134-BP135)/BP116</f>
        <v>0.8161778186226557</v>
      </c>
      <c r="BR117" s="714">
        <f>N117-BP132</f>
        <v>40.100000000000023</v>
      </c>
      <c r="BS117" s="667">
        <f>BP134-BP135</f>
        <v>84.47999999999999</v>
      </c>
      <c r="BT117" s="667">
        <f t="shared" si="121"/>
        <v>47.466856060606091</v>
      </c>
      <c r="BU117" s="710">
        <f t="shared" si="122"/>
        <v>38.741395036421061</v>
      </c>
      <c r="BV117" s="591">
        <v>300</v>
      </c>
      <c r="BW117" s="593">
        <v>103.50685607036536</v>
      </c>
      <c r="BX117" s="667">
        <f>(BW134-BW135)/BW116</f>
        <v>1.2636844066742825</v>
      </c>
      <c r="BY117" s="714">
        <f>S117-BW132</f>
        <v>37.53000000000003</v>
      </c>
      <c r="BZ117" s="667">
        <f>BW134-BW135</f>
        <v>130.80000000000001</v>
      </c>
      <c r="CA117" s="667">
        <f t="shared" si="123"/>
        <v>28.692660550458736</v>
      </c>
      <c r="CB117" s="668">
        <f t="shared" si="124"/>
        <v>36.258467723613037</v>
      </c>
      <c r="CC117" s="560"/>
    </row>
    <row r="118" spans="1:81" ht="15.75">
      <c r="A118" s="5"/>
      <c r="B118" s="59" t="s">
        <v>116</v>
      </c>
      <c r="C118" s="97">
        <v>350</v>
      </c>
      <c r="D118" s="315">
        <v>388.61</v>
      </c>
      <c r="E118" s="91">
        <v>4.26</v>
      </c>
      <c r="F118" s="91">
        <v>4.9400000000000004</v>
      </c>
      <c r="G118" s="91">
        <v>4.82</v>
      </c>
      <c r="H118" s="103">
        <v>350</v>
      </c>
      <c r="I118" s="311">
        <v>446.73</v>
      </c>
      <c r="J118" s="108">
        <v>0</v>
      </c>
      <c r="K118" s="87">
        <v>0</v>
      </c>
      <c r="L118" s="108">
        <v>0</v>
      </c>
      <c r="M118" s="103">
        <v>350</v>
      </c>
      <c r="N118" s="315">
        <v>408.62</v>
      </c>
      <c r="O118" s="107">
        <v>5.81</v>
      </c>
      <c r="P118" s="107">
        <v>6.17</v>
      </c>
      <c r="Q118" s="107">
        <v>5.31</v>
      </c>
      <c r="R118" s="103">
        <v>350</v>
      </c>
      <c r="S118" s="315">
        <v>453.36</v>
      </c>
      <c r="T118" s="108">
        <v>0</v>
      </c>
      <c r="U118" s="108">
        <v>0</v>
      </c>
      <c r="V118" s="108">
        <v>0</v>
      </c>
      <c r="W118" s="5"/>
      <c r="X118" s="591">
        <v>350</v>
      </c>
      <c r="Y118" s="592">
        <f t="shared" si="101"/>
        <v>0.46733333333333327</v>
      </c>
      <c r="Z118" s="593">
        <v>9.6440000000000001</v>
      </c>
      <c r="AA118" s="593">
        <v>4.5170000000000003</v>
      </c>
      <c r="AB118" s="593">
        <f t="shared" si="102"/>
        <v>4.6596666666666664</v>
      </c>
      <c r="AC118" s="593">
        <f t="shared" si="103"/>
        <v>33.916333333333341</v>
      </c>
      <c r="AD118" s="653">
        <f t="shared" si="104"/>
        <v>27.064936045011667</v>
      </c>
      <c r="AE118" s="591">
        <v>350</v>
      </c>
      <c r="AF118" s="595">
        <f t="shared" si="105"/>
        <v>0</v>
      </c>
      <c r="AG118" s="593">
        <v>9.6440000000000001</v>
      </c>
      <c r="AH118" s="593">
        <v>4.5170000000000003</v>
      </c>
      <c r="AI118" s="593">
        <f t="shared" si="106"/>
        <v>5.1269999999999998</v>
      </c>
      <c r="AJ118" s="593">
        <f t="shared" si="107"/>
        <v>33.449000000000005</v>
      </c>
      <c r="AK118" s="653">
        <f t="shared" si="108"/>
        <v>29.369037653864996</v>
      </c>
      <c r="AL118" s="591">
        <v>350</v>
      </c>
      <c r="AM118" s="595">
        <f t="shared" si="109"/>
        <v>0.57633333333333325</v>
      </c>
      <c r="AN118" s="593">
        <v>9.6440000000000001</v>
      </c>
      <c r="AO118" s="593">
        <v>4.5170000000000003</v>
      </c>
      <c r="AP118" s="593">
        <f t="shared" si="110"/>
        <v>4.5506666666666664</v>
      </c>
      <c r="AQ118" s="593">
        <f t="shared" si="111"/>
        <v>34.025333333333336</v>
      </c>
      <c r="AR118" s="698">
        <f t="shared" si="112"/>
        <v>26.516773165306663</v>
      </c>
      <c r="AS118" s="591">
        <v>350</v>
      </c>
      <c r="AT118" s="595">
        <f t="shared" si="113"/>
        <v>0</v>
      </c>
      <c r="AU118" s="593">
        <v>9.6440000000000001</v>
      </c>
      <c r="AV118" s="593">
        <v>4.5170000000000003</v>
      </c>
      <c r="AW118" s="593">
        <f t="shared" si="114"/>
        <v>5.1269999999999998</v>
      </c>
      <c r="AX118" s="593">
        <f t="shared" si="115"/>
        <v>33.449000000000005</v>
      </c>
      <c r="AY118" s="698">
        <f t="shared" si="116"/>
        <v>29.369037653864996</v>
      </c>
      <c r="AZ118" s="75"/>
      <c r="BA118" s="591">
        <v>350</v>
      </c>
      <c r="BB118" s="593">
        <v>103.50685607036536</v>
      </c>
      <c r="BC118" s="667">
        <f>(BB134-BB135)/BB116</f>
        <v>0.6183165292595878</v>
      </c>
      <c r="BD118" s="714">
        <f>D118-BB132</f>
        <v>37.420000000000016</v>
      </c>
      <c r="BE118" s="667">
        <f>BB134-BB135</f>
        <v>64</v>
      </c>
      <c r="BF118" s="667">
        <f t="shared" si="117"/>
        <v>58.468750000000028</v>
      </c>
      <c r="BG118" s="668">
        <f t="shared" si="118"/>
        <v>36.152194570146541</v>
      </c>
      <c r="BH118" s="591">
        <v>350</v>
      </c>
      <c r="BI118" s="593">
        <v>103.50685607036536</v>
      </c>
      <c r="BJ118" s="667">
        <f>(BI134-BI135)/BI116</f>
        <v>1.1501653563805301</v>
      </c>
      <c r="BK118" s="714">
        <f>I118-BI132</f>
        <v>40.120000000000005</v>
      </c>
      <c r="BL118" s="667">
        <f>BI134-BI135</f>
        <v>119.05000000000001</v>
      </c>
      <c r="BM118" s="667">
        <f t="shared" si="119"/>
        <v>33.70012599748005</v>
      </c>
      <c r="BN118" s="668">
        <f t="shared" si="120"/>
        <v>38.760717427960408</v>
      </c>
      <c r="BO118" s="591">
        <v>350</v>
      </c>
      <c r="BP118" s="679">
        <v>103.50685607036536</v>
      </c>
      <c r="BQ118" s="667">
        <f>(BP134-BP135)/BP116</f>
        <v>0.8161778186226557</v>
      </c>
      <c r="BR118" s="714">
        <f>N118-BP132</f>
        <v>37.230000000000018</v>
      </c>
      <c r="BS118" s="667">
        <f>BP134-BP135</f>
        <v>84.47999999999999</v>
      </c>
      <c r="BT118" s="667">
        <f t="shared" si="121"/>
        <v>44.069602272727302</v>
      </c>
      <c r="BU118" s="710">
        <f t="shared" si="122"/>
        <v>35.968631850522598</v>
      </c>
      <c r="BV118" s="591">
        <v>350</v>
      </c>
      <c r="BW118" s="593">
        <v>103.50685607036536</v>
      </c>
      <c r="BX118" s="667">
        <f>(BW134-BW135)/BW116</f>
        <v>1.2636844066742825</v>
      </c>
      <c r="BY118" s="714">
        <f>S118-BW132</f>
        <v>36.460000000000036</v>
      </c>
      <c r="BZ118" s="667">
        <f>BW134-BW135</f>
        <v>130.80000000000001</v>
      </c>
      <c r="CA118" s="667">
        <f t="shared" si="123"/>
        <v>27.874617737003081</v>
      </c>
      <c r="CB118" s="668">
        <f t="shared" si="124"/>
        <v>35.224719776257167</v>
      </c>
      <c r="CC118" s="560"/>
    </row>
    <row r="119" spans="1:81" ht="15.75">
      <c r="A119" s="5"/>
      <c r="B119" s="59" t="s">
        <v>116</v>
      </c>
      <c r="C119" s="98">
        <v>450</v>
      </c>
      <c r="D119" s="72">
        <v>385.37</v>
      </c>
      <c r="E119" s="91">
        <v>4.82</v>
      </c>
      <c r="F119" s="91">
        <v>5.1100000000000003</v>
      </c>
      <c r="G119" s="91">
        <v>5.29</v>
      </c>
      <c r="H119" s="104">
        <v>450</v>
      </c>
      <c r="I119" s="315">
        <v>444.05</v>
      </c>
      <c r="J119" s="108">
        <v>0</v>
      </c>
      <c r="K119" s="87">
        <v>0</v>
      </c>
      <c r="L119" s="108">
        <v>0</v>
      </c>
      <c r="M119" s="104">
        <v>450</v>
      </c>
      <c r="N119" s="315">
        <v>405.31</v>
      </c>
      <c r="O119" s="107">
        <v>6.87</v>
      </c>
      <c r="P119" s="107">
        <v>6.85</v>
      </c>
      <c r="Q119" s="107">
        <v>6.49</v>
      </c>
      <c r="R119" s="104">
        <v>450</v>
      </c>
      <c r="S119" s="315">
        <v>450.44</v>
      </c>
      <c r="T119" s="108">
        <v>0</v>
      </c>
      <c r="U119" s="108">
        <v>0</v>
      </c>
      <c r="V119" s="108">
        <v>0</v>
      </c>
      <c r="W119" s="5"/>
      <c r="X119" s="598">
        <v>450</v>
      </c>
      <c r="Y119" s="592">
        <f t="shared" si="101"/>
        <v>0.5073333333333333</v>
      </c>
      <c r="Z119" s="593">
        <v>9.6440000000000001</v>
      </c>
      <c r="AA119" s="593">
        <v>4.5170000000000003</v>
      </c>
      <c r="AB119" s="593">
        <f t="shared" si="102"/>
        <v>4.6196666666666664</v>
      </c>
      <c r="AC119" s="593">
        <f t="shared" si="103"/>
        <v>33.95633333333334</v>
      </c>
      <c r="AD119" s="653">
        <f t="shared" si="104"/>
        <v>44.408246725304998</v>
      </c>
      <c r="AE119" s="598">
        <v>450</v>
      </c>
      <c r="AF119" s="595">
        <f t="shared" si="105"/>
        <v>0</v>
      </c>
      <c r="AG119" s="593">
        <v>9.6440000000000001</v>
      </c>
      <c r="AH119" s="593">
        <v>4.5170000000000003</v>
      </c>
      <c r="AI119" s="593">
        <f t="shared" si="106"/>
        <v>5.1269999999999998</v>
      </c>
      <c r="AJ119" s="593">
        <f t="shared" si="107"/>
        <v>33.449000000000005</v>
      </c>
      <c r="AK119" s="653">
        <f t="shared" si="108"/>
        <v>48.54881734618499</v>
      </c>
      <c r="AL119" s="598">
        <v>450</v>
      </c>
      <c r="AM119" s="595">
        <f t="shared" si="109"/>
        <v>0.67366666666666675</v>
      </c>
      <c r="AN119" s="593">
        <v>9.6440000000000001</v>
      </c>
      <c r="AO119" s="593">
        <v>4.5170000000000003</v>
      </c>
      <c r="AP119" s="593">
        <f t="shared" si="110"/>
        <v>4.4533333333333331</v>
      </c>
      <c r="AQ119" s="593">
        <f t="shared" si="111"/>
        <v>34.122666666666674</v>
      </c>
      <c r="AR119" s="698">
        <f t="shared" si="112"/>
        <v>43.019005478400004</v>
      </c>
      <c r="AS119" s="598">
        <v>450</v>
      </c>
      <c r="AT119" s="595">
        <f t="shared" si="113"/>
        <v>0</v>
      </c>
      <c r="AU119" s="593">
        <v>9.6440000000000001</v>
      </c>
      <c r="AV119" s="593">
        <v>4.5170000000000003</v>
      </c>
      <c r="AW119" s="593">
        <f t="shared" si="114"/>
        <v>5.1269999999999998</v>
      </c>
      <c r="AX119" s="593">
        <f t="shared" si="115"/>
        <v>33.449000000000005</v>
      </c>
      <c r="AY119" s="698">
        <f t="shared" si="116"/>
        <v>48.54881734618499</v>
      </c>
      <c r="AZ119" s="75"/>
      <c r="BA119" s="598">
        <v>450</v>
      </c>
      <c r="BB119" s="593">
        <v>103.50685607036536</v>
      </c>
      <c r="BC119" s="667">
        <f>(BB134-BB135)/BB116</f>
        <v>0.6183165292595878</v>
      </c>
      <c r="BD119" s="714">
        <f>D119-BB132</f>
        <v>34.180000000000007</v>
      </c>
      <c r="BE119" s="667">
        <f>BB134-BB135</f>
        <v>64</v>
      </c>
      <c r="BF119" s="667">
        <f t="shared" si="117"/>
        <v>53.406250000000014</v>
      </c>
      <c r="BG119" s="668">
        <f t="shared" si="118"/>
        <v>33.021967140769867</v>
      </c>
      <c r="BH119" s="598">
        <v>450</v>
      </c>
      <c r="BI119" s="593">
        <v>103.50685607036536</v>
      </c>
      <c r="BJ119" s="667">
        <f>(BI134-BI135)/BI116</f>
        <v>1.1501653563805301</v>
      </c>
      <c r="BK119" s="714">
        <f>I119-BI132</f>
        <v>37.44</v>
      </c>
      <c r="BL119" s="667">
        <f>BI134-BI135</f>
        <v>119.05000000000001</v>
      </c>
      <c r="BM119" s="667">
        <f t="shared" si="119"/>
        <v>31.448971020579584</v>
      </c>
      <c r="BN119" s="668">
        <f t="shared" si="120"/>
        <v>36.171516961685882</v>
      </c>
      <c r="BO119" s="598">
        <v>450</v>
      </c>
      <c r="BP119" s="679">
        <v>103.50685607036536</v>
      </c>
      <c r="BQ119" s="667">
        <f>(BP134-BP135)/BP116</f>
        <v>0.8161778186226557</v>
      </c>
      <c r="BR119" s="714">
        <f>N119-BP132</f>
        <v>33.920000000000016</v>
      </c>
      <c r="BS119" s="667">
        <f>BP134-BP135</f>
        <v>84.47999999999999</v>
      </c>
      <c r="BT119" s="667">
        <f t="shared" si="121"/>
        <v>40.151515151515177</v>
      </c>
      <c r="BU119" s="710">
        <f t="shared" si="122"/>
        <v>32.770776050758165</v>
      </c>
      <c r="BV119" s="598">
        <v>450</v>
      </c>
      <c r="BW119" s="593">
        <v>103.50685607036536</v>
      </c>
      <c r="BX119" s="667">
        <f>(BW134-BW135)/BW116</f>
        <v>1.2636844066742825</v>
      </c>
      <c r="BY119" s="714">
        <f>S119-BW132</f>
        <v>33.54000000000002</v>
      </c>
      <c r="BZ119" s="667">
        <f>BW134-BW135</f>
        <v>130.80000000000001</v>
      </c>
      <c r="CA119" s="667">
        <f t="shared" si="123"/>
        <v>25.642201834862398</v>
      </c>
      <c r="CB119" s="668">
        <f t="shared" si="124"/>
        <v>32.403650611510287</v>
      </c>
      <c r="CC119" s="560"/>
    </row>
    <row r="120" spans="1:81" ht="15.75">
      <c r="A120" s="5"/>
      <c r="B120" s="59" t="s">
        <v>116</v>
      </c>
      <c r="C120" s="98">
        <v>550</v>
      </c>
      <c r="D120" s="72">
        <v>382.99</v>
      </c>
      <c r="E120" s="91">
        <v>5.78</v>
      </c>
      <c r="F120" s="91">
        <v>5.7</v>
      </c>
      <c r="G120" s="91">
        <v>6.27</v>
      </c>
      <c r="H120" s="104">
        <v>550</v>
      </c>
      <c r="I120" s="315">
        <v>442.21</v>
      </c>
      <c r="J120" s="108">
        <v>0</v>
      </c>
      <c r="K120" s="87">
        <v>0</v>
      </c>
      <c r="L120" s="108">
        <v>0</v>
      </c>
      <c r="M120" s="104">
        <v>550</v>
      </c>
      <c r="N120" s="315">
        <v>402.83</v>
      </c>
      <c r="O120" s="107">
        <v>7.11</v>
      </c>
      <c r="P120" s="107">
        <v>7.16</v>
      </c>
      <c r="Q120" s="107">
        <v>6.15</v>
      </c>
      <c r="R120" s="104">
        <v>550</v>
      </c>
      <c r="S120" s="315">
        <v>447.14</v>
      </c>
      <c r="T120" s="108">
        <v>0.57999999999999996</v>
      </c>
      <c r="U120" s="108">
        <v>0.87</v>
      </c>
      <c r="V120" s="108">
        <v>0.85</v>
      </c>
      <c r="W120" s="5"/>
      <c r="X120" s="598">
        <v>550</v>
      </c>
      <c r="Y120" s="592">
        <f t="shared" si="101"/>
        <v>0.59166666666666667</v>
      </c>
      <c r="Z120" s="593">
        <v>9.6440000000000001</v>
      </c>
      <c r="AA120" s="593">
        <v>4.5170000000000003</v>
      </c>
      <c r="AB120" s="593">
        <f t="shared" si="102"/>
        <v>4.535333333333333</v>
      </c>
      <c r="AC120" s="593">
        <f t="shared" si="103"/>
        <v>34.040666666666674</v>
      </c>
      <c r="AD120" s="653">
        <f t="shared" si="104"/>
        <v>65.288970298126657</v>
      </c>
      <c r="AE120" s="598">
        <v>550</v>
      </c>
      <c r="AF120" s="595">
        <f t="shared" si="105"/>
        <v>0</v>
      </c>
      <c r="AG120" s="593">
        <v>9.6440000000000001</v>
      </c>
      <c r="AH120" s="593">
        <v>4.5170000000000003</v>
      </c>
      <c r="AI120" s="593">
        <f t="shared" si="106"/>
        <v>5.1269999999999998</v>
      </c>
      <c r="AJ120" s="593">
        <f t="shared" si="107"/>
        <v>33.449000000000005</v>
      </c>
      <c r="AK120" s="653">
        <f t="shared" si="108"/>
        <v>72.523541961584996</v>
      </c>
      <c r="AL120" s="598">
        <v>550</v>
      </c>
      <c r="AM120" s="595">
        <f t="shared" si="109"/>
        <v>0.68066666666666675</v>
      </c>
      <c r="AN120" s="593">
        <v>9.6440000000000001</v>
      </c>
      <c r="AO120" s="593">
        <v>4.5170000000000003</v>
      </c>
      <c r="AP120" s="593">
        <f t="shared" si="110"/>
        <v>4.4463333333333335</v>
      </c>
      <c r="AQ120" s="593">
        <f t="shared" si="111"/>
        <v>34.129666666666672</v>
      </c>
      <c r="AR120" s="698">
        <f t="shared" si="112"/>
        <v>64.175108990171665</v>
      </c>
      <c r="AS120" s="598">
        <v>550</v>
      </c>
      <c r="AT120" s="595">
        <f t="shared" si="113"/>
        <v>7.6666666666666661E-2</v>
      </c>
      <c r="AU120" s="593">
        <v>9.6440000000000001</v>
      </c>
      <c r="AV120" s="593">
        <v>4.5170000000000003</v>
      </c>
      <c r="AW120" s="593">
        <f t="shared" si="114"/>
        <v>5.0503333333333327</v>
      </c>
      <c r="AX120" s="593">
        <f t="shared" si="115"/>
        <v>33.525666666666673</v>
      </c>
      <c r="AY120" s="698">
        <f t="shared" si="116"/>
        <v>71.602801810851645</v>
      </c>
      <c r="AZ120" s="75"/>
      <c r="BA120" s="598">
        <v>550</v>
      </c>
      <c r="BB120" s="593">
        <v>103.50685607036536</v>
      </c>
      <c r="BC120" s="667">
        <f>(BB134-BB135)/BB116</f>
        <v>0.6183165292595878</v>
      </c>
      <c r="BD120" s="714">
        <f>D120-BB132</f>
        <v>31.800000000000011</v>
      </c>
      <c r="BE120" s="667">
        <f>BB134-BB135</f>
        <v>64</v>
      </c>
      <c r="BF120" s="667">
        <f t="shared" si="117"/>
        <v>49.687500000000014</v>
      </c>
      <c r="BG120" s="668">
        <f t="shared" si="118"/>
        <v>30.722602547585776</v>
      </c>
      <c r="BH120" s="598">
        <v>550</v>
      </c>
      <c r="BI120" s="593">
        <v>103.50685607036536</v>
      </c>
      <c r="BJ120" s="667">
        <f>(BI134-BI135)/BI116</f>
        <v>1.1501653563805301</v>
      </c>
      <c r="BK120" s="714">
        <f>I120-BI132</f>
        <v>35.599999999999966</v>
      </c>
      <c r="BL120" s="667">
        <f>BI134-BI135</f>
        <v>119.05000000000001</v>
      </c>
      <c r="BM120" s="667">
        <f t="shared" si="119"/>
        <v>29.903401931961334</v>
      </c>
      <c r="BN120" s="668">
        <f t="shared" si="120"/>
        <v>34.393856940064538</v>
      </c>
      <c r="BO120" s="598">
        <v>550</v>
      </c>
      <c r="BP120" s="679">
        <v>103.50685607036536</v>
      </c>
      <c r="BQ120" s="667">
        <f>(BP134-BP135)/BP116</f>
        <v>0.8161778186226557</v>
      </c>
      <c r="BR120" s="714">
        <f>N120-BP132</f>
        <v>31.439999999999998</v>
      </c>
      <c r="BS120" s="667">
        <f>BP134-BP135</f>
        <v>84.47999999999999</v>
      </c>
      <c r="BT120" s="667">
        <f t="shared" si="121"/>
        <v>37.215909090909093</v>
      </c>
      <c r="BU120" s="710">
        <f t="shared" si="122"/>
        <v>30.374799499877245</v>
      </c>
      <c r="BV120" s="598">
        <v>550</v>
      </c>
      <c r="BW120" s="593">
        <v>103.50685607036536</v>
      </c>
      <c r="BX120" s="667">
        <f>(BW134-BW135)/BW116</f>
        <v>1.2636844066742825</v>
      </c>
      <c r="BY120" s="714">
        <f>S120-BW132</f>
        <v>30.240000000000009</v>
      </c>
      <c r="BZ120" s="667">
        <f>BW134-BW135</f>
        <v>130.80000000000001</v>
      </c>
      <c r="CA120" s="667">
        <f t="shared" si="123"/>
        <v>23.119266055045877</v>
      </c>
      <c r="CB120" s="668">
        <f t="shared" si="124"/>
        <v>29.215456007515527</v>
      </c>
      <c r="CC120" s="560"/>
    </row>
    <row r="121" spans="1:81" ht="15.75">
      <c r="A121" s="5"/>
      <c r="B121" s="59" t="s">
        <v>116</v>
      </c>
      <c r="C121" s="98">
        <v>650</v>
      </c>
      <c r="D121" s="72">
        <v>381.17</v>
      </c>
      <c r="E121" s="91">
        <v>5.41</v>
      </c>
      <c r="F121" s="91">
        <v>6.22</v>
      </c>
      <c r="G121" s="91">
        <v>6.86</v>
      </c>
      <c r="H121" s="104">
        <v>650</v>
      </c>
      <c r="I121" s="315">
        <v>440.68</v>
      </c>
      <c r="J121" s="108">
        <v>0</v>
      </c>
      <c r="K121" s="87">
        <v>0</v>
      </c>
      <c r="L121" s="108">
        <v>0</v>
      </c>
      <c r="M121" s="104">
        <v>650</v>
      </c>
      <c r="N121" s="315">
        <v>400.93</v>
      </c>
      <c r="O121" s="107">
        <v>8.14</v>
      </c>
      <c r="P121" s="107">
        <v>7.43</v>
      </c>
      <c r="Q121" s="107">
        <v>6.37</v>
      </c>
      <c r="R121" s="104">
        <v>650</v>
      </c>
      <c r="S121" s="315">
        <v>444.67</v>
      </c>
      <c r="T121" s="108">
        <v>0.98</v>
      </c>
      <c r="U121" s="108">
        <v>1.38</v>
      </c>
      <c r="V121" s="108">
        <v>1.66</v>
      </c>
      <c r="W121" s="5"/>
      <c r="X121" s="598">
        <v>650</v>
      </c>
      <c r="Y121" s="592">
        <f t="shared" si="101"/>
        <v>0.61633333333333329</v>
      </c>
      <c r="Z121" s="593">
        <v>9.6440000000000001</v>
      </c>
      <c r="AA121" s="593">
        <v>4.5170000000000003</v>
      </c>
      <c r="AB121" s="593">
        <f t="shared" si="102"/>
        <v>4.5106666666666664</v>
      </c>
      <c r="AC121" s="593">
        <f t="shared" si="103"/>
        <v>34.065333333333335</v>
      </c>
      <c r="AD121" s="653">
        <f t="shared" si="104"/>
        <v>90.75849007090666</v>
      </c>
      <c r="AE121" s="598">
        <v>650</v>
      </c>
      <c r="AF121" s="595">
        <f t="shared" si="105"/>
        <v>0</v>
      </c>
      <c r="AG121" s="593">
        <v>9.6440000000000001</v>
      </c>
      <c r="AH121" s="593">
        <v>4.5170000000000003</v>
      </c>
      <c r="AI121" s="593">
        <f t="shared" si="106"/>
        <v>5.1269999999999998</v>
      </c>
      <c r="AJ121" s="593">
        <f t="shared" si="107"/>
        <v>33.449000000000005</v>
      </c>
      <c r="AK121" s="653">
        <f t="shared" si="108"/>
        <v>101.293211500065</v>
      </c>
      <c r="AL121" s="598">
        <v>650</v>
      </c>
      <c r="AM121" s="595">
        <f t="shared" si="109"/>
        <v>0.73133333333333339</v>
      </c>
      <c r="AN121" s="593">
        <v>9.6440000000000001</v>
      </c>
      <c r="AO121" s="593">
        <v>4.5170000000000003</v>
      </c>
      <c r="AP121" s="593">
        <f t="shared" si="110"/>
        <v>4.3956666666666662</v>
      </c>
      <c r="AQ121" s="593">
        <f t="shared" si="111"/>
        <v>34.180333333333337</v>
      </c>
      <c r="AR121" s="698">
        <f t="shared" si="112"/>
        <v>88.743168319931655</v>
      </c>
      <c r="AS121" s="598">
        <v>650</v>
      </c>
      <c r="AT121" s="595">
        <f t="shared" si="113"/>
        <v>0.13399999999999998</v>
      </c>
      <c r="AU121" s="593">
        <v>9.6440000000000001</v>
      </c>
      <c r="AV121" s="593">
        <v>4.5170000000000003</v>
      </c>
      <c r="AW121" s="593">
        <f t="shared" si="114"/>
        <v>4.9929999999999994</v>
      </c>
      <c r="AX121" s="593">
        <f t="shared" si="115"/>
        <v>33.583000000000006</v>
      </c>
      <c r="AY121" s="698">
        <f t="shared" si="116"/>
        <v>99.040982556944982</v>
      </c>
      <c r="AZ121" s="75"/>
      <c r="BA121" s="598">
        <v>650</v>
      </c>
      <c r="BB121" s="593">
        <v>103.50685607036536</v>
      </c>
      <c r="BC121" s="667">
        <f>(BB134-BB135)/BB116</f>
        <v>0.6183165292595878</v>
      </c>
      <c r="BD121" s="714">
        <f>D121-BB132</f>
        <v>29.980000000000018</v>
      </c>
      <c r="BE121" s="667">
        <f>BB134-BB135</f>
        <v>64</v>
      </c>
      <c r="BF121" s="667">
        <f t="shared" si="117"/>
        <v>46.843750000000028</v>
      </c>
      <c r="BG121" s="668">
        <f t="shared" si="118"/>
        <v>28.964264917503833</v>
      </c>
      <c r="BH121" s="598">
        <v>650</v>
      </c>
      <c r="BI121" s="593">
        <v>103.50685607036536</v>
      </c>
      <c r="BJ121" s="667">
        <f>(BI134-BI135)/BI116</f>
        <v>1.1501653563805301</v>
      </c>
      <c r="BK121" s="714">
        <f>I121-BI132</f>
        <v>34.069999999999993</v>
      </c>
      <c r="BL121" s="667">
        <f>BI134-BI135</f>
        <v>119.05000000000001</v>
      </c>
      <c r="BM121" s="667">
        <f t="shared" si="119"/>
        <v>28.618227635447287</v>
      </c>
      <c r="BN121" s="668">
        <f t="shared" si="120"/>
        <v>32.915693987303364</v>
      </c>
      <c r="BO121" s="598">
        <v>650</v>
      </c>
      <c r="BP121" s="679">
        <v>103.50685607036536</v>
      </c>
      <c r="BQ121" s="667">
        <f>(BP134-BP135)/BP116</f>
        <v>0.8161778186226557</v>
      </c>
      <c r="BR121" s="714">
        <f>N121-BP132</f>
        <v>29.54000000000002</v>
      </c>
      <c r="BS121" s="667">
        <f>BP134-BP135</f>
        <v>84.47999999999999</v>
      </c>
      <c r="BT121" s="667">
        <f t="shared" si="121"/>
        <v>34.966856060606091</v>
      </c>
      <c r="BU121" s="710">
        <f t="shared" si="122"/>
        <v>28.539172303637866</v>
      </c>
      <c r="BV121" s="598">
        <v>650</v>
      </c>
      <c r="BW121" s="593">
        <v>103.50685607036536</v>
      </c>
      <c r="BX121" s="667">
        <f>(BW134-BW135)/BW116</f>
        <v>1.2636844066742825</v>
      </c>
      <c r="BY121" s="714">
        <f>S121-BW132</f>
        <v>27.770000000000039</v>
      </c>
      <c r="BZ121" s="667">
        <f>BW134-BW135</f>
        <v>130.80000000000001</v>
      </c>
      <c r="CA121" s="667">
        <f t="shared" si="123"/>
        <v>21.230886850152935</v>
      </c>
      <c r="CB121" s="668">
        <f t="shared" si="124"/>
        <v>26.829140652404337</v>
      </c>
      <c r="CC121" s="560"/>
    </row>
    <row r="122" spans="1:81" ht="15.75">
      <c r="A122" s="5"/>
      <c r="B122" s="59" t="s">
        <v>116</v>
      </c>
      <c r="C122" s="98">
        <v>750</v>
      </c>
      <c r="D122" s="72">
        <v>380.04</v>
      </c>
      <c r="E122" s="91">
        <v>6.41</v>
      </c>
      <c r="F122" s="91">
        <v>6.05</v>
      </c>
      <c r="G122" s="91">
        <v>7.3</v>
      </c>
      <c r="H122" s="104">
        <v>750</v>
      </c>
      <c r="I122" s="315">
        <v>439.35</v>
      </c>
      <c r="J122" s="108">
        <v>0.8</v>
      </c>
      <c r="K122" s="108">
        <v>0.77</v>
      </c>
      <c r="L122" s="108">
        <v>1.1000000000000001</v>
      </c>
      <c r="M122" s="104">
        <v>750</v>
      </c>
      <c r="N122" s="315">
        <v>399.55</v>
      </c>
      <c r="O122" s="107">
        <v>8.77</v>
      </c>
      <c r="P122" s="107">
        <v>7.85</v>
      </c>
      <c r="Q122" s="107">
        <v>6.69</v>
      </c>
      <c r="R122" s="104">
        <v>750</v>
      </c>
      <c r="S122" s="315">
        <v>442.7</v>
      </c>
      <c r="T122" s="108">
        <v>1.18</v>
      </c>
      <c r="U122" s="108">
        <v>1.55</v>
      </c>
      <c r="V122" s="108">
        <v>2.36</v>
      </c>
      <c r="W122" s="5"/>
      <c r="X122" s="598">
        <v>750</v>
      </c>
      <c r="Y122" s="592">
        <f t="shared" si="101"/>
        <v>0.65866666666666673</v>
      </c>
      <c r="Z122" s="593">
        <v>9.6440000000000001</v>
      </c>
      <c r="AA122" s="593">
        <v>4.5170000000000003</v>
      </c>
      <c r="AB122" s="593">
        <f t="shared" si="102"/>
        <v>4.4683333333333328</v>
      </c>
      <c r="AC122" s="593">
        <f t="shared" si="103"/>
        <v>34.107666666666674</v>
      </c>
      <c r="AD122" s="653">
        <f t="shared" si="104"/>
        <v>119.847028835625</v>
      </c>
      <c r="AE122" s="598">
        <v>750</v>
      </c>
      <c r="AF122" s="595">
        <f t="shared" si="105"/>
        <v>8.8999999999999996E-2</v>
      </c>
      <c r="AG122" s="593">
        <v>9.6440000000000001</v>
      </c>
      <c r="AH122" s="593">
        <v>4.5170000000000003</v>
      </c>
      <c r="AI122" s="593">
        <f t="shared" si="106"/>
        <v>5.0379999999999994</v>
      </c>
      <c r="AJ122" s="593">
        <f t="shared" si="107"/>
        <v>33.538000000000004</v>
      </c>
      <c r="AK122" s="653">
        <f t="shared" si="108"/>
        <v>132.8694146505</v>
      </c>
      <c r="AL122" s="598">
        <v>750</v>
      </c>
      <c r="AM122" s="595">
        <f t="shared" si="109"/>
        <v>0.77699999999999991</v>
      </c>
      <c r="AN122" s="593">
        <v>9.6440000000000001</v>
      </c>
      <c r="AO122" s="593">
        <v>4.5170000000000003</v>
      </c>
      <c r="AP122" s="593">
        <f t="shared" si="110"/>
        <v>4.3499999999999996</v>
      </c>
      <c r="AQ122" s="593">
        <f t="shared" si="111"/>
        <v>34.226000000000006</v>
      </c>
      <c r="AR122" s="698">
        <f t="shared" si="112"/>
        <v>117.0779477625</v>
      </c>
      <c r="AS122" s="598">
        <v>750</v>
      </c>
      <c r="AT122" s="595">
        <f t="shared" si="113"/>
        <v>0.16966666666666666</v>
      </c>
      <c r="AU122" s="593">
        <v>9.6440000000000001</v>
      </c>
      <c r="AV122" s="593">
        <v>4.5170000000000003</v>
      </c>
      <c r="AW122" s="593">
        <f t="shared" si="114"/>
        <v>4.9573333333333327</v>
      </c>
      <c r="AX122" s="593">
        <f t="shared" si="115"/>
        <v>33.61866666666667</v>
      </c>
      <c r="AY122" s="698">
        <f t="shared" si="116"/>
        <v>131.05642149599998</v>
      </c>
      <c r="AZ122" s="75"/>
      <c r="BA122" s="598">
        <v>750</v>
      </c>
      <c r="BB122" s="593">
        <v>103.50685607036536</v>
      </c>
      <c r="BC122" s="667">
        <f>(BB134-BB135)/BB116</f>
        <v>0.6183165292595878</v>
      </c>
      <c r="BD122" s="714">
        <f>D122-BB132</f>
        <v>28.850000000000023</v>
      </c>
      <c r="BE122" s="667">
        <f>BB134-BB135</f>
        <v>64</v>
      </c>
      <c r="BF122" s="667">
        <f t="shared" si="117"/>
        <v>45.078125000000036</v>
      </c>
      <c r="BG122" s="668">
        <f t="shared" si="118"/>
        <v>27.872549795529878</v>
      </c>
      <c r="BH122" s="598">
        <v>750</v>
      </c>
      <c r="BI122" s="593">
        <v>103.50685607036536</v>
      </c>
      <c r="BJ122" s="667">
        <f>(BI134-BI135)/BI116</f>
        <v>1.1501653563805301</v>
      </c>
      <c r="BK122" s="714">
        <f>I122-BI132</f>
        <v>32.740000000000009</v>
      </c>
      <c r="BL122" s="667">
        <f>BI134-BI135</f>
        <v>119.05000000000001</v>
      </c>
      <c r="BM122" s="667">
        <f t="shared" si="119"/>
        <v>27.501049979000424</v>
      </c>
      <c r="BN122" s="668">
        <f t="shared" si="120"/>
        <v>31.630754949935792</v>
      </c>
      <c r="BO122" s="598">
        <v>750</v>
      </c>
      <c r="BP122" s="679">
        <v>103.50685607036536</v>
      </c>
      <c r="BQ122" s="667">
        <f>(BP134-BP135)/BP116</f>
        <v>0.8161778186226557</v>
      </c>
      <c r="BR122" s="714">
        <f>N122-BP132</f>
        <v>28.160000000000025</v>
      </c>
      <c r="BS122" s="667">
        <f>BP134-BP135</f>
        <v>84.47999999999999</v>
      </c>
      <c r="BT122" s="667">
        <f t="shared" si="121"/>
        <v>33.333333333333364</v>
      </c>
      <c r="BU122" s="710">
        <f t="shared" si="122"/>
        <v>27.205927287421883</v>
      </c>
      <c r="BV122" s="598">
        <v>750</v>
      </c>
      <c r="BW122" s="593">
        <v>103.50685607036536</v>
      </c>
      <c r="BX122" s="667">
        <f>(BW134-BW135)/BW116</f>
        <v>1.2636844066742825</v>
      </c>
      <c r="BY122" s="714">
        <f>S122-BW132</f>
        <v>25.800000000000011</v>
      </c>
      <c r="BZ122" s="667">
        <f>BW134-BW135</f>
        <v>130.80000000000001</v>
      </c>
      <c r="CA122" s="667">
        <f t="shared" si="123"/>
        <v>19.724770642201843</v>
      </c>
      <c r="CB122" s="668">
        <f t="shared" si="124"/>
        <v>24.925885085777143</v>
      </c>
      <c r="CC122" s="560"/>
    </row>
    <row r="123" spans="1:81" ht="15.75">
      <c r="A123" s="5"/>
      <c r="B123" s="59" t="s">
        <v>116</v>
      </c>
      <c r="C123" s="98">
        <v>850</v>
      </c>
      <c r="D123" s="72">
        <v>378.38</v>
      </c>
      <c r="E123" s="91">
        <v>7.09</v>
      </c>
      <c r="F123" s="91">
        <v>6.64</v>
      </c>
      <c r="G123" s="91">
        <v>7.89</v>
      </c>
      <c r="H123" s="104">
        <v>850</v>
      </c>
      <c r="I123" s="315">
        <v>438.1</v>
      </c>
      <c r="J123" s="108">
        <v>1.76</v>
      </c>
      <c r="K123" s="108">
        <v>1.1499999999999999</v>
      </c>
      <c r="L123" s="108">
        <v>1.23</v>
      </c>
      <c r="M123" s="104">
        <v>850</v>
      </c>
      <c r="N123" s="315">
        <v>398.12</v>
      </c>
      <c r="O123" s="107">
        <v>8.52</v>
      </c>
      <c r="P123" s="107">
        <v>8.2899999999999991</v>
      </c>
      <c r="Q123" s="107">
        <v>8.5399999999999991</v>
      </c>
      <c r="R123" s="104">
        <v>850</v>
      </c>
      <c r="S123" s="315">
        <v>440.96</v>
      </c>
      <c r="T123" s="108">
        <v>1.57</v>
      </c>
      <c r="U123" s="108">
        <v>2.0099999999999998</v>
      </c>
      <c r="V123" s="108">
        <v>2.86</v>
      </c>
      <c r="W123" s="5"/>
      <c r="X123" s="598">
        <v>850</v>
      </c>
      <c r="Y123" s="592">
        <f t="shared" si="101"/>
        <v>0.72066666666666668</v>
      </c>
      <c r="Z123" s="593">
        <v>9.6440000000000001</v>
      </c>
      <c r="AA123" s="593">
        <v>4.5170000000000003</v>
      </c>
      <c r="AB123" s="593">
        <f t="shared" si="102"/>
        <v>4.4063333333333334</v>
      </c>
      <c r="AC123" s="593">
        <f t="shared" si="103"/>
        <v>34.169666666666672</v>
      </c>
      <c r="AD123" s="653">
        <f t="shared" si="104"/>
        <v>152.0768515962117</v>
      </c>
      <c r="AE123" s="598">
        <v>850</v>
      </c>
      <c r="AF123" s="595">
        <f t="shared" si="105"/>
        <v>0.13800000000000001</v>
      </c>
      <c r="AG123" s="593">
        <v>9.6440000000000001</v>
      </c>
      <c r="AH123" s="593">
        <v>4.5170000000000003</v>
      </c>
      <c r="AI123" s="593">
        <f t="shared" si="106"/>
        <v>4.9889999999999999</v>
      </c>
      <c r="AJ123" s="593">
        <f t="shared" si="107"/>
        <v>33.587000000000003</v>
      </c>
      <c r="AK123" s="653">
        <f t="shared" si="108"/>
        <v>169.250414534865</v>
      </c>
      <c r="AL123" s="598">
        <v>850</v>
      </c>
      <c r="AM123" s="595">
        <f t="shared" si="109"/>
        <v>0.84499999999999997</v>
      </c>
      <c r="AN123" s="593">
        <v>9.6440000000000001</v>
      </c>
      <c r="AO123" s="593">
        <v>4.5170000000000003</v>
      </c>
      <c r="AP123" s="593">
        <f t="shared" si="110"/>
        <v>4.282</v>
      </c>
      <c r="AQ123" s="593">
        <f t="shared" si="111"/>
        <v>34.294000000000004</v>
      </c>
      <c r="AR123" s="698">
        <f t="shared" si="112"/>
        <v>148.32345365993999</v>
      </c>
      <c r="AS123" s="598">
        <v>850</v>
      </c>
      <c r="AT123" s="595">
        <f t="shared" si="113"/>
        <v>0.21466666666666664</v>
      </c>
      <c r="AU123" s="593">
        <v>9.6440000000000001</v>
      </c>
      <c r="AV123" s="593">
        <v>4.5170000000000003</v>
      </c>
      <c r="AW123" s="593">
        <f t="shared" si="114"/>
        <v>4.9123333333333328</v>
      </c>
      <c r="AX123" s="593">
        <f t="shared" si="115"/>
        <v>33.663666666666671</v>
      </c>
      <c r="AY123" s="698">
        <f t="shared" si="116"/>
        <v>167.02991860113167</v>
      </c>
      <c r="AZ123" s="75"/>
      <c r="BA123" s="598">
        <v>850</v>
      </c>
      <c r="BB123" s="593">
        <v>103.50685607036536</v>
      </c>
      <c r="BC123" s="667">
        <f>(BB134-BB135)/BB116</f>
        <v>0.6183165292595878</v>
      </c>
      <c r="BD123" s="714">
        <f>D123-BB132</f>
        <v>27.189999999999998</v>
      </c>
      <c r="BE123" s="667">
        <f>BB134-BB135</f>
        <v>64</v>
      </c>
      <c r="BF123" s="667">
        <f t="shared" si="117"/>
        <v>42.484375</v>
      </c>
      <c r="BG123" s="668">
        <f t="shared" si="118"/>
        <v>26.2687912977628</v>
      </c>
      <c r="BH123" s="598">
        <v>850</v>
      </c>
      <c r="BI123" s="593">
        <v>103.50685607036536</v>
      </c>
      <c r="BJ123" s="667">
        <f>(BI134-BI135)/BI116</f>
        <v>1.1501653563805301</v>
      </c>
      <c r="BK123" s="714">
        <f>I123-BI132</f>
        <v>31.490000000000009</v>
      </c>
      <c r="BL123" s="667">
        <f>BI134-BI135</f>
        <v>119.05000000000001</v>
      </c>
      <c r="BM123" s="667">
        <f t="shared" si="119"/>
        <v>26.451070978580432</v>
      </c>
      <c r="BN123" s="668">
        <f t="shared" si="120"/>
        <v>30.42310547872566</v>
      </c>
      <c r="BO123" s="598">
        <v>850</v>
      </c>
      <c r="BP123" s="679">
        <v>103.50685607036536</v>
      </c>
      <c r="BQ123" s="667">
        <f>(BP134-BP135)/BP116</f>
        <v>0.8161778186226557</v>
      </c>
      <c r="BR123" s="714">
        <f>N123-BP132</f>
        <v>26.730000000000018</v>
      </c>
      <c r="BS123" s="667">
        <f>BP134-BP135</f>
        <v>84.47999999999999</v>
      </c>
      <c r="BT123" s="667">
        <f t="shared" si="121"/>
        <v>31.640625000000028</v>
      </c>
      <c r="BU123" s="710">
        <f t="shared" si="122"/>
        <v>25.824376292357488</v>
      </c>
      <c r="BV123" s="598">
        <v>850</v>
      </c>
      <c r="BW123" s="593">
        <v>103.50685607036536</v>
      </c>
      <c r="BX123" s="667">
        <f>(BW134-BW135)/BW116</f>
        <v>1.2636844066742825</v>
      </c>
      <c r="BY123" s="714">
        <f>S123-BW132</f>
        <v>24.060000000000002</v>
      </c>
      <c r="BZ123" s="667">
        <f>BW134-BW135</f>
        <v>130.80000000000001</v>
      </c>
      <c r="CA123" s="667">
        <f t="shared" si="123"/>
        <v>18.394495412844037</v>
      </c>
      <c r="CB123" s="668">
        <f t="shared" si="124"/>
        <v>23.244837021852629</v>
      </c>
      <c r="CC123" s="560"/>
    </row>
    <row r="124" spans="1:81" ht="15.75">
      <c r="A124" s="5"/>
      <c r="B124" s="59" t="s">
        <v>116</v>
      </c>
      <c r="C124" s="98">
        <v>950</v>
      </c>
      <c r="D124" s="72">
        <v>377.82</v>
      </c>
      <c r="E124" s="91">
        <v>7.74</v>
      </c>
      <c r="F124" s="91">
        <v>7.24</v>
      </c>
      <c r="G124" s="91">
        <v>8.65</v>
      </c>
      <c r="H124" s="104">
        <v>950</v>
      </c>
      <c r="I124" s="315">
        <v>436.92</v>
      </c>
      <c r="J124" s="108">
        <v>2.2599999999999998</v>
      </c>
      <c r="K124" s="108">
        <v>2.2799999999999998</v>
      </c>
      <c r="L124" s="108">
        <v>1.77</v>
      </c>
      <c r="M124" s="104">
        <v>950</v>
      </c>
      <c r="N124" s="315">
        <v>396.97</v>
      </c>
      <c r="O124" s="107">
        <v>8.89</v>
      </c>
      <c r="P124" s="107">
        <v>8.32</v>
      </c>
      <c r="Q124" s="107">
        <v>7.05</v>
      </c>
      <c r="R124" s="104">
        <v>950</v>
      </c>
      <c r="S124" s="315">
        <v>439.72</v>
      </c>
      <c r="T124" s="108">
        <v>1.88</v>
      </c>
      <c r="U124" s="108">
        <v>2.0299999999999998</v>
      </c>
      <c r="V124" s="108">
        <v>4.08</v>
      </c>
      <c r="W124" s="5"/>
      <c r="X124" s="598">
        <v>950</v>
      </c>
      <c r="Y124" s="592">
        <f t="shared" si="101"/>
        <v>0.78766666666666674</v>
      </c>
      <c r="Z124" s="593">
        <v>9.6440000000000001</v>
      </c>
      <c r="AA124" s="593">
        <v>4.5170000000000003</v>
      </c>
      <c r="AB124" s="593">
        <f t="shared" si="102"/>
        <v>4.3393333333333333</v>
      </c>
      <c r="AC124" s="593">
        <f t="shared" si="103"/>
        <v>34.236666666666672</v>
      </c>
      <c r="AD124" s="653">
        <f t="shared" si="104"/>
        <v>187.44284570356666</v>
      </c>
      <c r="AE124" s="598">
        <v>950</v>
      </c>
      <c r="AF124" s="595">
        <f t="shared" si="105"/>
        <v>0.21033333333333332</v>
      </c>
      <c r="AG124" s="593">
        <v>9.6440000000000001</v>
      </c>
      <c r="AH124" s="593">
        <v>4.5170000000000003</v>
      </c>
      <c r="AI124" s="593">
        <f t="shared" si="106"/>
        <v>4.9166666666666661</v>
      </c>
      <c r="AJ124" s="593">
        <f t="shared" si="107"/>
        <v>33.659333333333336</v>
      </c>
      <c r="AK124" s="653">
        <f t="shared" si="108"/>
        <v>208.80007846916661</v>
      </c>
      <c r="AL124" s="598">
        <v>950</v>
      </c>
      <c r="AM124" s="595">
        <f t="shared" si="109"/>
        <v>0.80866666666666676</v>
      </c>
      <c r="AN124" s="593">
        <v>9.6440000000000001</v>
      </c>
      <c r="AO124" s="593">
        <v>4.5170000000000003</v>
      </c>
      <c r="AP124" s="593">
        <f t="shared" si="110"/>
        <v>4.3183333333333334</v>
      </c>
      <c r="AQ124" s="593">
        <f t="shared" si="111"/>
        <v>34.257666666666672</v>
      </c>
      <c r="AR124" s="698">
        <f t="shared" si="112"/>
        <v>186.65014166049167</v>
      </c>
      <c r="AS124" s="598">
        <v>950</v>
      </c>
      <c r="AT124" s="595">
        <f t="shared" si="113"/>
        <v>0.26633333333333337</v>
      </c>
      <c r="AU124" s="593">
        <v>9.6440000000000001</v>
      </c>
      <c r="AV124" s="593">
        <v>4.5170000000000003</v>
      </c>
      <c r="AW124" s="593">
        <f t="shared" si="114"/>
        <v>4.860666666666666</v>
      </c>
      <c r="AX124" s="593">
        <f t="shared" si="115"/>
        <v>33.715333333333341</v>
      </c>
      <c r="AY124" s="698">
        <f t="shared" si="116"/>
        <v>206.76531097972665</v>
      </c>
      <c r="AZ124" s="75"/>
      <c r="BA124" s="598">
        <v>950</v>
      </c>
      <c r="BB124" s="593">
        <v>103.50685607036536</v>
      </c>
      <c r="BC124" s="667">
        <f>(BB134-BB135)/BB116</f>
        <v>0.6183165292595878</v>
      </c>
      <c r="BD124" s="714">
        <f>D124-BB132</f>
        <v>26.629999999999995</v>
      </c>
      <c r="BE124" s="667">
        <f>BB134-BB135</f>
        <v>64</v>
      </c>
      <c r="BF124" s="667">
        <f t="shared" si="117"/>
        <v>41.609374999999993</v>
      </c>
      <c r="BG124" s="668">
        <f t="shared" si="118"/>
        <v>25.727764334660655</v>
      </c>
      <c r="BH124" s="598">
        <v>950</v>
      </c>
      <c r="BI124" s="593">
        <v>103.50685607036536</v>
      </c>
      <c r="BJ124" s="667">
        <f>(BI134-BI135)/BI116</f>
        <v>1.1501653563805301</v>
      </c>
      <c r="BK124" s="714">
        <f>I124-BI132</f>
        <v>30.310000000000002</v>
      </c>
      <c r="BL124" s="667">
        <f>BI134-BI135</f>
        <v>119.05000000000001</v>
      </c>
      <c r="BM124" s="667">
        <f t="shared" si="119"/>
        <v>25.459890802183953</v>
      </c>
      <c r="BN124" s="668">
        <f t="shared" si="120"/>
        <v>29.283084377903286</v>
      </c>
      <c r="BO124" s="598">
        <v>950</v>
      </c>
      <c r="BP124" s="679">
        <v>103.50685607036536</v>
      </c>
      <c r="BQ124" s="667">
        <f>(BP134-BP135)/BP116</f>
        <v>0.8161778186226557</v>
      </c>
      <c r="BR124" s="714">
        <f>N124-BP132</f>
        <v>25.580000000000041</v>
      </c>
      <c r="BS124" s="667">
        <f>BP134-BP135</f>
        <v>84.47999999999999</v>
      </c>
      <c r="BT124" s="667">
        <f t="shared" si="121"/>
        <v>30.279356060606112</v>
      </c>
      <c r="BU124" s="710">
        <f t="shared" si="122"/>
        <v>24.713338778844186</v>
      </c>
      <c r="BV124" s="598">
        <v>950</v>
      </c>
      <c r="BW124" s="593">
        <v>103.50685607036536</v>
      </c>
      <c r="BX124" s="667">
        <f>(BW134-BW135)/BW116</f>
        <v>1.2636844066742825</v>
      </c>
      <c r="BY124" s="714">
        <f>S124-BW132</f>
        <v>22.82000000000005</v>
      </c>
      <c r="BZ124" s="667">
        <f>BW134-BW135</f>
        <v>130.80000000000001</v>
      </c>
      <c r="CA124" s="667">
        <f t="shared" si="123"/>
        <v>17.446483180428171</v>
      </c>
      <c r="CB124" s="668">
        <f t="shared" si="124"/>
        <v>22.046848746412223</v>
      </c>
      <c r="CC124" s="560"/>
    </row>
    <row r="125" spans="1:81" ht="15.75">
      <c r="A125" s="5"/>
      <c r="B125" s="59" t="s">
        <v>116</v>
      </c>
      <c r="C125" s="98">
        <v>1000</v>
      </c>
      <c r="D125" s="72">
        <v>377.19</v>
      </c>
      <c r="E125" s="91">
        <v>8.25</v>
      </c>
      <c r="F125" s="91">
        <v>7.93</v>
      </c>
      <c r="G125" s="91">
        <v>8.9499999999999993</v>
      </c>
      <c r="H125" s="104">
        <v>1000</v>
      </c>
      <c r="I125" s="315">
        <v>436.27</v>
      </c>
      <c r="J125" s="108">
        <v>2.48</v>
      </c>
      <c r="K125" s="108">
        <v>1.78</v>
      </c>
      <c r="L125" s="108">
        <v>1.86</v>
      </c>
      <c r="M125" s="104">
        <v>1000</v>
      </c>
      <c r="N125" s="315">
        <v>396.39</v>
      </c>
      <c r="O125" s="107">
        <v>9.6300000000000008</v>
      </c>
      <c r="P125" s="107">
        <v>9.6</v>
      </c>
      <c r="Q125" s="107">
        <v>9.3800000000000008</v>
      </c>
      <c r="R125" s="104">
        <v>1000</v>
      </c>
      <c r="S125" s="315">
        <v>439.11</v>
      </c>
      <c r="T125" s="108">
        <v>1.96</v>
      </c>
      <c r="U125" s="108">
        <v>1.93</v>
      </c>
      <c r="V125" s="108">
        <v>3.72</v>
      </c>
      <c r="W125" s="5"/>
      <c r="X125" s="598">
        <v>1000</v>
      </c>
      <c r="Y125" s="592">
        <f t="shared" si="101"/>
        <v>0.83766666666666667</v>
      </c>
      <c r="Z125" s="593">
        <v>9.6440000000000001</v>
      </c>
      <c r="AA125" s="593">
        <v>4.5170000000000003</v>
      </c>
      <c r="AB125" s="593">
        <f t="shared" si="102"/>
        <v>4.2893333333333334</v>
      </c>
      <c r="AC125" s="593">
        <f t="shared" si="103"/>
        <v>34.286666666666669</v>
      </c>
      <c r="AD125" s="653">
        <f t="shared" si="104"/>
        <v>205.59958522666662</v>
      </c>
      <c r="AE125" s="598">
        <v>1000</v>
      </c>
      <c r="AF125" s="595">
        <f t="shared" si="105"/>
        <v>0.20400000000000001</v>
      </c>
      <c r="AG125" s="593">
        <v>9.6440000000000001</v>
      </c>
      <c r="AH125" s="593">
        <v>4.5170000000000003</v>
      </c>
      <c r="AI125" s="593">
        <f t="shared" si="106"/>
        <v>4.923</v>
      </c>
      <c r="AJ125" s="593">
        <f t="shared" si="107"/>
        <v>33.653000000000006</v>
      </c>
      <c r="AK125" s="653">
        <f t="shared" si="108"/>
        <v>231.611859162</v>
      </c>
      <c r="AL125" s="598">
        <v>1000</v>
      </c>
      <c r="AM125" s="595">
        <f t="shared" si="109"/>
        <v>0.95366666666666666</v>
      </c>
      <c r="AN125" s="593">
        <v>9.6440000000000001</v>
      </c>
      <c r="AO125" s="593">
        <v>4.5170000000000003</v>
      </c>
      <c r="AP125" s="593">
        <f t="shared" si="110"/>
        <v>4.1733333333333329</v>
      </c>
      <c r="AQ125" s="593">
        <f t="shared" si="111"/>
        <v>34.402666666666669</v>
      </c>
      <c r="AR125" s="698">
        <f t="shared" si="112"/>
        <v>200.71616618666661</v>
      </c>
      <c r="AS125" s="598">
        <v>1000</v>
      </c>
      <c r="AT125" s="595">
        <f t="shared" si="113"/>
        <v>0.25366666666666665</v>
      </c>
      <c r="AU125" s="593">
        <v>9.6440000000000001</v>
      </c>
      <c r="AV125" s="593">
        <v>4.5170000000000003</v>
      </c>
      <c r="AW125" s="593">
        <f t="shared" si="114"/>
        <v>4.8733333333333331</v>
      </c>
      <c r="AX125" s="593">
        <f t="shared" si="115"/>
        <v>33.702666666666673</v>
      </c>
      <c r="AY125" s="698">
        <f t="shared" si="116"/>
        <v>229.61357178666665</v>
      </c>
      <c r="AZ125" s="75"/>
      <c r="BA125" s="598">
        <v>1000</v>
      </c>
      <c r="BB125" s="593">
        <v>103.50685607036536</v>
      </c>
      <c r="BC125" s="667">
        <f>(BB134-BB135)/BB116</f>
        <v>0.6183165292595878</v>
      </c>
      <c r="BD125" s="714">
        <f>D125-BB132</f>
        <v>26</v>
      </c>
      <c r="BE125" s="667">
        <f>BB134-BB135</f>
        <v>64</v>
      </c>
      <c r="BF125" s="667">
        <f t="shared" si="117"/>
        <v>40.625</v>
      </c>
      <c r="BG125" s="668">
        <f t="shared" si="118"/>
        <v>25.119109001170756</v>
      </c>
      <c r="BH125" s="598">
        <v>1000</v>
      </c>
      <c r="BI125" s="593">
        <v>103.50685607036536</v>
      </c>
      <c r="BJ125" s="667">
        <f>(BI134-BI135)/BI116</f>
        <v>1.1501653563805301</v>
      </c>
      <c r="BK125" s="714">
        <f>I125-BI132</f>
        <v>29.659999999999968</v>
      </c>
      <c r="BL125" s="667">
        <f>BI134-BI135</f>
        <v>119.05000000000001</v>
      </c>
      <c r="BM125" s="667">
        <f t="shared" si="119"/>
        <v>24.91390172196553</v>
      </c>
      <c r="BN125" s="668">
        <f t="shared" si="120"/>
        <v>28.655106652873986</v>
      </c>
      <c r="BO125" s="598">
        <v>1000</v>
      </c>
      <c r="BP125" s="679">
        <v>103.50685607036536</v>
      </c>
      <c r="BQ125" s="667">
        <f>(BP134-BP135)/BP116</f>
        <v>0.8161778186226557</v>
      </c>
      <c r="BR125" s="714">
        <f>N125-BP132</f>
        <v>25</v>
      </c>
      <c r="BS125" s="667">
        <f>BP134-BP135</f>
        <v>84.47999999999999</v>
      </c>
      <c r="BT125" s="667">
        <f t="shared" si="121"/>
        <v>29.592803030303035</v>
      </c>
      <c r="BU125" s="710">
        <f t="shared" si="122"/>
        <v>24.152989424202648</v>
      </c>
      <c r="BV125" s="598">
        <v>1000</v>
      </c>
      <c r="BW125" s="593">
        <v>103.50685607036536</v>
      </c>
      <c r="BX125" s="667">
        <f>(BW134-BW135)/BW116</f>
        <v>1.2636844066742825</v>
      </c>
      <c r="BY125" s="714">
        <f>S125-BW132</f>
        <v>22.210000000000036</v>
      </c>
      <c r="BZ125" s="667">
        <f>BW134-BW135</f>
        <v>130.80000000000001</v>
      </c>
      <c r="CA125" s="667">
        <f t="shared" si="123"/>
        <v>16.980122324159048</v>
      </c>
      <c r="CB125" s="668">
        <f t="shared" si="124"/>
        <v>21.457515804461664</v>
      </c>
      <c r="CC125" s="560"/>
    </row>
    <row r="126" spans="1:81" ht="15.75">
      <c r="A126" s="5"/>
      <c r="B126" s="59" t="s">
        <v>116</v>
      </c>
      <c r="C126" s="98">
        <v>1350</v>
      </c>
      <c r="D126" s="72">
        <v>375.41</v>
      </c>
      <c r="E126" s="91">
        <v>8.57</v>
      </c>
      <c r="F126" s="91">
        <v>9.01</v>
      </c>
      <c r="G126" s="91">
        <v>10.16</v>
      </c>
      <c r="H126" s="104">
        <v>1350</v>
      </c>
      <c r="I126" s="315">
        <v>434.01</v>
      </c>
      <c r="J126" s="108">
        <v>2.74</v>
      </c>
      <c r="K126" s="108">
        <v>2.14</v>
      </c>
      <c r="L126" s="108">
        <v>2.6</v>
      </c>
      <c r="M126" s="104">
        <v>1350</v>
      </c>
      <c r="N126" s="315">
        <v>394.58</v>
      </c>
      <c r="O126" s="107">
        <v>9.1</v>
      </c>
      <c r="P126" s="107">
        <v>8.41</v>
      </c>
      <c r="Q126" s="107">
        <v>9.44</v>
      </c>
      <c r="R126" s="104">
        <v>1350</v>
      </c>
      <c r="S126" s="315">
        <v>436.82</v>
      </c>
      <c r="T126" s="108">
        <v>2.41</v>
      </c>
      <c r="U126" s="108">
        <v>2.79</v>
      </c>
      <c r="V126" s="108">
        <v>3.85</v>
      </c>
      <c r="W126" s="5"/>
      <c r="X126" s="598">
        <v>1350</v>
      </c>
      <c r="Y126" s="592">
        <f t="shared" si="101"/>
        <v>0.92466666666666664</v>
      </c>
      <c r="Z126" s="593">
        <v>9.6440000000000001</v>
      </c>
      <c r="AA126" s="593">
        <v>4.5170000000000003</v>
      </c>
      <c r="AB126" s="593">
        <f t="shared" si="102"/>
        <v>4.2023333333333328</v>
      </c>
      <c r="AC126" s="593">
        <f t="shared" si="103"/>
        <v>34.373666666666672</v>
      </c>
      <c r="AD126" s="653">
        <f t="shared" si="104"/>
        <v>368.036648913465</v>
      </c>
      <c r="AE126" s="598">
        <v>1350</v>
      </c>
      <c r="AF126" s="595">
        <f t="shared" si="105"/>
        <v>0.24933333333333335</v>
      </c>
      <c r="AG126" s="593">
        <v>9.6440000000000001</v>
      </c>
      <c r="AH126" s="593">
        <v>4.5170000000000003</v>
      </c>
      <c r="AI126" s="593">
        <f t="shared" si="106"/>
        <v>4.8776666666666664</v>
      </c>
      <c r="AJ126" s="593">
        <f t="shared" si="107"/>
        <v>33.698333333333338</v>
      </c>
      <c r="AK126" s="653">
        <f t="shared" si="108"/>
        <v>418.78898290282501</v>
      </c>
      <c r="AL126" s="598">
        <v>1350</v>
      </c>
      <c r="AM126" s="595">
        <f t="shared" si="109"/>
        <v>0.89833333333333321</v>
      </c>
      <c r="AN126" s="593">
        <v>9.6440000000000001</v>
      </c>
      <c r="AO126" s="593">
        <v>4.5170000000000003</v>
      </c>
      <c r="AP126" s="593">
        <f t="shared" si="110"/>
        <v>4.2286666666666664</v>
      </c>
      <c r="AQ126" s="593">
        <f t="shared" si="111"/>
        <v>34.347333333333339</v>
      </c>
      <c r="AR126" s="698">
        <f t="shared" si="112"/>
        <v>370.05918292313999</v>
      </c>
      <c r="AS126" s="598">
        <v>1350</v>
      </c>
      <c r="AT126" s="595">
        <f t="shared" si="113"/>
        <v>0.30166666666666669</v>
      </c>
      <c r="AU126" s="593">
        <v>9.6440000000000001</v>
      </c>
      <c r="AV126" s="593">
        <v>4.5170000000000003</v>
      </c>
      <c r="AW126" s="593">
        <f t="shared" si="114"/>
        <v>4.825333333333333</v>
      </c>
      <c r="AX126" s="593">
        <f t="shared" si="115"/>
        <v>33.750666666666675</v>
      </c>
      <c r="AY126" s="698">
        <f t="shared" si="116"/>
        <v>414.93912219144005</v>
      </c>
      <c r="AZ126" s="75"/>
      <c r="BA126" s="598">
        <v>1350</v>
      </c>
      <c r="BB126" s="593">
        <v>103.50685607036536</v>
      </c>
      <c r="BC126" s="667">
        <f>(BB134-BB135)/BB116</f>
        <v>0.6183165292595878</v>
      </c>
      <c r="BD126" s="714">
        <f>D126-BB132</f>
        <v>24.220000000000027</v>
      </c>
      <c r="BE126" s="667">
        <f>BB134-BB135</f>
        <v>64</v>
      </c>
      <c r="BF126" s="667">
        <f t="shared" si="117"/>
        <v>37.843750000000043</v>
      </c>
      <c r="BG126" s="668">
        <f t="shared" si="118"/>
        <v>23.399416154167554</v>
      </c>
      <c r="BH126" s="598">
        <v>1350</v>
      </c>
      <c r="BI126" s="593">
        <v>103.50685607036536</v>
      </c>
      <c r="BJ126" s="667">
        <f>(BI134-BI135)/BI116</f>
        <v>1.1501653563805301</v>
      </c>
      <c r="BK126" s="714">
        <f>I126-BI132</f>
        <v>27.399999999999977</v>
      </c>
      <c r="BL126" s="667">
        <f>BI134-BI135</f>
        <v>119.05000000000001</v>
      </c>
      <c r="BM126" s="667">
        <f t="shared" si="119"/>
        <v>23.015539689206193</v>
      </c>
      <c r="BN126" s="668">
        <f t="shared" si="120"/>
        <v>26.471676408926076</v>
      </c>
      <c r="BO126" s="598">
        <v>1350</v>
      </c>
      <c r="BP126" s="679">
        <v>103.50685607036536</v>
      </c>
      <c r="BQ126" s="667">
        <f>(BP134-BP135)/BP116</f>
        <v>0.8161778186226557</v>
      </c>
      <c r="BR126" s="714">
        <f>N126-BP132</f>
        <v>23.189999999999998</v>
      </c>
      <c r="BS126" s="667">
        <f>BP134-BP135</f>
        <v>84.47999999999999</v>
      </c>
      <c r="BT126" s="667">
        <f t="shared" si="121"/>
        <v>27.450284090909093</v>
      </c>
      <c r="BU126" s="710">
        <f t="shared" si="122"/>
        <v>22.404312989890375</v>
      </c>
      <c r="BV126" s="598">
        <v>1350</v>
      </c>
      <c r="BW126" s="593">
        <v>103.50685607036536</v>
      </c>
      <c r="BX126" s="667">
        <f>(BW134-BW135)/BW116</f>
        <v>1.2636844066742825</v>
      </c>
      <c r="BY126" s="714">
        <f>S126-BW132</f>
        <v>19.920000000000016</v>
      </c>
      <c r="BZ126" s="667">
        <f>BW134-BW135</f>
        <v>130.80000000000001</v>
      </c>
      <c r="CA126" s="667">
        <f t="shared" si="123"/>
        <v>15.22935779816515</v>
      </c>
      <c r="CB126" s="668">
        <f t="shared" si="124"/>
        <v>19.245101973204687</v>
      </c>
      <c r="CC126" s="560"/>
    </row>
    <row r="127" spans="1:81" ht="15.75">
      <c r="A127" s="5"/>
      <c r="B127" s="59" t="s">
        <v>116</v>
      </c>
      <c r="C127" s="98">
        <v>2500</v>
      </c>
      <c r="D127" s="72">
        <v>371.62</v>
      </c>
      <c r="E127" s="91">
        <v>12.56</v>
      </c>
      <c r="F127" s="91">
        <v>12.97</v>
      </c>
      <c r="G127" s="91">
        <v>13.47</v>
      </c>
      <c r="H127" s="104">
        <v>2500</v>
      </c>
      <c r="I127" s="315">
        <v>429.59</v>
      </c>
      <c r="J127" s="108">
        <v>4.9800000000000004</v>
      </c>
      <c r="K127" s="108">
        <v>4.78</v>
      </c>
      <c r="L127" s="108">
        <v>4.51</v>
      </c>
      <c r="M127" s="104">
        <v>2500</v>
      </c>
      <c r="N127" s="315">
        <v>390.75</v>
      </c>
      <c r="O127" s="107">
        <v>15.54</v>
      </c>
      <c r="P127" s="107">
        <v>7.03</v>
      </c>
      <c r="Q127" s="107">
        <v>11.31</v>
      </c>
      <c r="R127" s="104">
        <v>2500</v>
      </c>
      <c r="S127" s="315">
        <v>432.72</v>
      </c>
      <c r="T127" s="108">
        <v>4.22</v>
      </c>
      <c r="U127" s="108">
        <v>4.51</v>
      </c>
      <c r="V127" s="108">
        <v>5.67</v>
      </c>
      <c r="W127" s="5"/>
      <c r="X127" s="598">
        <v>2500</v>
      </c>
      <c r="Y127" s="592">
        <f t="shared" si="101"/>
        <v>1.3</v>
      </c>
      <c r="Z127" s="593">
        <v>9.6440000000000001</v>
      </c>
      <c r="AA127" s="593">
        <v>4.5170000000000003</v>
      </c>
      <c r="AB127" s="593">
        <f t="shared" si="102"/>
        <v>3.827</v>
      </c>
      <c r="AC127" s="593">
        <f t="shared" si="103"/>
        <v>34.749000000000002</v>
      </c>
      <c r="AD127" s="653">
        <f t="shared" si="104"/>
        <v>1161.9513959625001</v>
      </c>
      <c r="AE127" s="598">
        <v>2500</v>
      </c>
      <c r="AF127" s="595">
        <f t="shared" si="105"/>
        <v>0.47566666666666668</v>
      </c>
      <c r="AG127" s="593">
        <v>9.6440000000000001</v>
      </c>
      <c r="AH127" s="593">
        <v>4.5170000000000003</v>
      </c>
      <c r="AI127" s="593">
        <f t="shared" si="106"/>
        <v>4.6513333333333335</v>
      </c>
      <c r="AJ127" s="593">
        <f t="shared" si="107"/>
        <v>33.924666666666674</v>
      </c>
      <c r="AK127" s="653">
        <f t="shared" si="108"/>
        <v>1378.7332261166669</v>
      </c>
      <c r="AL127" s="598">
        <v>2500</v>
      </c>
      <c r="AM127" s="595">
        <f t="shared" si="109"/>
        <v>1.1293333333333335</v>
      </c>
      <c r="AN127" s="593">
        <v>9.6440000000000001</v>
      </c>
      <c r="AO127" s="593">
        <v>4.5170000000000003</v>
      </c>
      <c r="AP127" s="593">
        <f t="shared" si="110"/>
        <v>3.9976666666666665</v>
      </c>
      <c r="AQ127" s="593">
        <f t="shared" si="111"/>
        <v>34.57833333333334</v>
      </c>
      <c r="AR127" s="698">
        <f t="shared" si="112"/>
        <v>1207.8077842291668</v>
      </c>
      <c r="AS127" s="598">
        <v>2500</v>
      </c>
      <c r="AT127" s="595">
        <f t="shared" si="113"/>
        <v>0.48</v>
      </c>
      <c r="AU127" s="593">
        <v>9.6440000000000001</v>
      </c>
      <c r="AV127" s="593">
        <v>4.5170000000000003</v>
      </c>
      <c r="AW127" s="593">
        <f t="shared" si="114"/>
        <v>4.6470000000000002</v>
      </c>
      <c r="AX127" s="593">
        <f t="shared" si="115"/>
        <v>33.929000000000002</v>
      </c>
      <c r="AY127" s="698">
        <f t="shared" si="116"/>
        <v>1377.6247004625</v>
      </c>
      <c r="AZ127" s="75"/>
      <c r="BA127" s="598">
        <v>2500</v>
      </c>
      <c r="BB127" s="593">
        <v>103.50685607036536</v>
      </c>
      <c r="BC127" s="667">
        <f>(BB134-BB135)/BB116</f>
        <v>0.6183165292595878</v>
      </c>
      <c r="BD127" s="714">
        <f>D127-BB132</f>
        <v>20.430000000000007</v>
      </c>
      <c r="BE127" s="667">
        <f>BB134-BB135</f>
        <v>64</v>
      </c>
      <c r="BF127" s="667">
        <f t="shared" si="117"/>
        <v>31.921875000000011</v>
      </c>
      <c r="BG127" s="668">
        <f t="shared" si="118"/>
        <v>19.737822957458413</v>
      </c>
      <c r="BH127" s="598">
        <v>2500</v>
      </c>
      <c r="BI127" s="593">
        <v>103.50685607036536</v>
      </c>
      <c r="BJ127" s="667">
        <f>(BI134-BI135)/BI116</f>
        <v>1.1501653563805301</v>
      </c>
      <c r="BK127" s="714">
        <f>I127-BI132</f>
        <v>22.979999999999961</v>
      </c>
      <c r="BL127" s="667">
        <f>BI134-BI135</f>
        <v>119.05000000000001</v>
      </c>
      <c r="BM127" s="667">
        <f t="shared" si="119"/>
        <v>19.302813943721091</v>
      </c>
      <c r="BN127" s="668">
        <f t="shared" si="120"/>
        <v>22.201427878727035</v>
      </c>
      <c r="BO127" s="598">
        <v>2500</v>
      </c>
      <c r="BP127" s="679">
        <v>103.50685607036536</v>
      </c>
      <c r="BQ127" s="667">
        <f>(BP134-BP135)/BP116</f>
        <v>0.8161778186226557</v>
      </c>
      <c r="BR127" s="714">
        <f>N127-BP132</f>
        <v>19.360000000000014</v>
      </c>
      <c r="BS127" s="667">
        <f>BP134-BP135</f>
        <v>84.47999999999999</v>
      </c>
      <c r="BT127" s="667">
        <f t="shared" si="121"/>
        <v>22.916666666666686</v>
      </c>
      <c r="BU127" s="710">
        <f t="shared" si="122"/>
        <v>18.704075010102542</v>
      </c>
      <c r="BV127" s="598">
        <v>2500</v>
      </c>
      <c r="BW127" s="593">
        <v>103.50685607036536</v>
      </c>
      <c r="BX127" s="667">
        <f>(BW134-BW135)/BW116</f>
        <v>1.2636844066742825</v>
      </c>
      <c r="BY127" s="714">
        <f>S127-BW132</f>
        <v>15.82000000000005</v>
      </c>
      <c r="BZ127" s="667">
        <f>BW134-BW135</f>
        <v>130.80000000000001</v>
      </c>
      <c r="CA127" s="667">
        <f t="shared" si="123"/>
        <v>12.094801223241628</v>
      </c>
      <c r="CB127" s="668">
        <f t="shared" si="124"/>
        <v>15.284011707635484</v>
      </c>
      <c r="CC127" s="560"/>
    </row>
    <row r="128" spans="1:81" ht="15.75">
      <c r="A128" s="5"/>
      <c r="B128" s="59" t="s">
        <v>116</v>
      </c>
      <c r="C128" s="98">
        <v>5000</v>
      </c>
      <c r="D128" s="72">
        <v>367.85</v>
      </c>
      <c r="E128" s="91">
        <v>19.059999999999999</v>
      </c>
      <c r="F128" s="91">
        <v>19.68</v>
      </c>
      <c r="G128" s="91">
        <v>21.33</v>
      </c>
      <c r="H128" s="104">
        <v>5000</v>
      </c>
      <c r="I128" s="315">
        <v>425.45</v>
      </c>
      <c r="J128" s="108">
        <v>7.8</v>
      </c>
      <c r="K128" s="108">
        <v>7.94</v>
      </c>
      <c r="L128" s="108">
        <v>7.7</v>
      </c>
      <c r="M128" s="104">
        <v>5000</v>
      </c>
      <c r="N128" s="315">
        <v>386.75</v>
      </c>
      <c r="O128" s="107">
        <v>19.440000000000001</v>
      </c>
      <c r="P128" s="107">
        <v>13.55</v>
      </c>
      <c r="Q128" s="107">
        <v>16.14</v>
      </c>
      <c r="R128" s="104">
        <v>5000</v>
      </c>
      <c r="S128" s="315">
        <v>429.3</v>
      </c>
      <c r="T128" s="108">
        <v>6.62</v>
      </c>
      <c r="U128" s="108">
        <v>7.12</v>
      </c>
      <c r="V128" s="108">
        <v>8.85</v>
      </c>
      <c r="W128" s="5"/>
      <c r="X128" s="598">
        <v>5000</v>
      </c>
      <c r="Y128" s="592">
        <f t="shared" si="101"/>
        <v>2.0023333333333331</v>
      </c>
      <c r="Z128" s="593">
        <v>9.6440000000000001</v>
      </c>
      <c r="AA128" s="593">
        <v>4.5170000000000003</v>
      </c>
      <c r="AB128" s="593">
        <f t="shared" si="102"/>
        <v>3.1246666666666663</v>
      </c>
      <c r="AC128" s="593">
        <f t="shared" si="103"/>
        <v>35.451333333333338</v>
      </c>
      <c r="AD128" s="653">
        <f t="shared" si="104"/>
        <v>3871.5373044666662</v>
      </c>
      <c r="AE128" s="598">
        <v>5000</v>
      </c>
      <c r="AF128" s="595">
        <f t="shared" si="105"/>
        <v>0.78133333333333332</v>
      </c>
      <c r="AG128" s="593">
        <v>9.6440000000000001</v>
      </c>
      <c r="AH128" s="593">
        <v>4.5170000000000003</v>
      </c>
      <c r="AI128" s="593">
        <f t="shared" si="106"/>
        <v>4.3456666666666663</v>
      </c>
      <c r="AJ128" s="593">
        <f t="shared" si="107"/>
        <v>34.230333333333341</v>
      </c>
      <c r="AK128" s="653">
        <f t="shared" si="108"/>
        <v>5198.9389685166661</v>
      </c>
      <c r="AL128" s="598">
        <v>5000</v>
      </c>
      <c r="AM128" s="595">
        <f t="shared" si="109"/>
        <v>1.6376666666666668</v>
      </c>
      <c r="AN128" s="593">
        <v>9.6440000000000001</v>
      </c>
      <c r="AO128" s="593">
        <v>4.5170000000000003</v>
      </c>
      <c r="AP128" s="593">
        <f t="shared" si="110"/>
        <v>3.4893333333333327</v>
      </c>
      <c r="AQ128" s="593">
        <f t="shared" si="111"/>
        <v>35.086666666666673</v>
      </c>
      <c r="AR128" s="698">
        <f t="shared" si="112"/>
        <v>4278.8961906666664</v>
      </c>
      <c r="AS128" s="598">
        <v>5000</v>
      </c>
      <c r="AT128" s="595">
        <f t="shared" si="113"/>
        <v>0.753</v>
      </c>
      <c r="AU128" s="593">
        <v>9.6440000000000001</v>
      </c>
      <c r="AV128" s="593">
        <v>4.5170000000000003</v>
      </c>
      <c r="AW128" s="593">
        <f t="shared" si="114"/>
        <v>4.3739999999999997</v>
      </c>
      <c r="AX128" s="593">
        <f t="shared" si="115"/>
        <v>34.202000000000005</v>
      </c>
      <c r="AY128" s="698">
        <f t="shared" si="116"/>
        <v>5228.5042025999992</v>
      </c>
      <c r="AZ128" s="75"/>
      <c r="BA128" s="598">
        <v>5000</v>
      </c>
      <c r="BB128" s="593">
        <v>103.50685607036536</v>
      </c>
      <c r="BC128" s="667">
        <f>(BB134-BB135)/BB116</f>
        <v>0.6183165292595878</v>
      </c>
      <c r="BD128" s="714">
        <f>D128-BB132</f>
        <v>16.660000000000025</v>
      </c>
      <c r="BE128" s="667">
        <f>BB134-BB135</f>
        <v>64</v>
      </c>
      <c r="BF128" s="667">
        <f t="shared" si="117"/>
        <v>26.031250000000039</v>
      </c>
      <c r="BG128" s="668">
        <f t="shared" si="118"/>
        <v>16.095552152288668</v>
      </c>
      <c r="BH128" s="598">
        <v>5000</v>
      </c>
      <c r="BI128" s="593">
        <v>103.50685607036536</v>
      </c>
      <c r="BJ128" s="667">
        <f>(BI134-BI135)/BI116</f>
        <v>1.1501653563805301</v>
      </c>
      <c r="BK128" s="714">
        <f>I128-BI132</f>
        <v>18.839999999999975</v>
      </c>
      <c r="BL128" s="667">
        <f>BI134-BI135</f>
        <v>119.05000000000001</v>
      </c>
      <c r="BM128" s="667">
        <f t="shared" si="119"/>
        <v>15.825283494330092</v>
      </c>
      <c r="BN128" s="668">
        <f t="shared" si="120"/>
        <v>18.201692830079089</v>
      </c>
      <c r="BO128" s="598">
        <v>5000</v>
      </c>
      <c r="BP128" s="679">
        <v>103.50685607036536</v>
      </c>
      <c r="BQ128" s="667">
        <f>(BP134-BP135)/BP116</f>
        <v>0.8161778186226557</v>
      </c>
      <c r="BR128" s="714">
        <f>N128-BP132</f>
        <v>15.360000000000014</v>
      </c>
      <c r="BS128" s="667">
        <f>BP134-BP135</f>
        <v>84.47999999999999</v>
      </c>
      <c r="BT128" s="667">
        <f t="shared" si="121"/>
        <v>18.181818181818198</v>
      </c>
      <c r="BU128" s="710">
        <f t="shared" si="122"/>
        <v>14.839596702230116</v>
      </c>
      <c r="BV128" s="598">
        <v>5000</v>
      </c>
      <c r="BW128" s="593">
        <v>103.50685607036536</v>
      </c>
      <c r="BX128" s="667">
        <f>(BW134-BW135)/BW116</f>
        <v>1.2636844066742825</v>
      </c>
      <c r="BY128" s="714">
        <f>S128-BW132</f>
        <v>12.400000000000034</v>
      </c>
      <c r="BZ128" s="667">
        <f>BW134-BW135</f>
        <v>130.80000000000001</v>
      </c>
      <c r="CA128" s="667">
        <f t="shared" si="123"/>
        <v>9.480122324159046</v>
      </c>
      <c r="CB128" s="668">
        <f t="shared" si="124"/>
        <v>11.979882754404544</v>
      </c>
      <c r="CC128" s="560"/>
    </row>
    <row r="129" spans="1:81" ht="15.75">
      <c r="A129" s="5"/>
      <c r="B129" s="59" t="s">
        <v>116</v>
      </c>
      <c r="C129" s="98">
        <v>7000</v>
      </c>
      <c r="D129" s="72">
        <v>366.11</v>
      </c>
      <c r="E129" s="91">
        <v>21.53</v>
      </c>
      <c r="F129" s="91">
        <v>22.14</v>
      </c>
      <c r="G129" s="91">
        <v>23.88</v>
      </c>
      <c r="H129" s="104">
        <v>7000</v>
      </c>
      <c r="I129" s="315">
        <v>423.34</v>
      </c>
      <c r="J129" s="108">
        <v>9.82</v>
      </c>
      <c r="K129" s="108">
        <v>9.15</v>
      </c>
      <c r="L129" s="108">
        <v>10.02</v>
      </c>
      <c r="M129" s="104">
        <v>7000</v>
      </c>
      <c r="N129" s="315">
        <v>384.85</v>
      </c>
      <c r="O129" s="107">
        <v>22.02</v>
      </c>
      <c r="P129" s="107">
        <v>16.68</v>
      </c>
      <c r="Q129" s="107">
        <v>19.87</v>
      </c>
      <c r="R129" s="104">
        <v>7000</v>
      </c>
      <c r="S129" s="315">
        <v>427.81</v>
      </c>
      <c r="T129" s="108">
        <v>8.15</v>
      </c>
      <c r="U129" s="108">
        <v>8.27</v>
      </c>
      <c r="V129" s="108">
        <v>9.8000000000000007</v>
      </c>
      <c r="W129" s="5"/>
      <c r="X129" s="598">
        <v>7000</v>
      </c>
      <c r="Y129" s="592">
        <f t="shared" si="101"/>
        <v>2.2516666666666665</v>
      </c>
      <c r="Z129" s="593">
        <v>9.6440000000000001</v>
      </c>
      <c r="AA129" s="593">
        <v>4.5170000000000003</v>
      </c>
      <c r="AB129" s="593">
        <f t="shared" si="102"/>
        <v>2.8753333333333337</v>
      </c>
      <c r="AC129" s="593">
        <f t="shared" si="103"/>
        <v>35.70066666666667</v>
      </c>
      <c r="AD129" s="653">
        <f t="shared" si="104"/>
        <v>7031.8205095226685</v>
      </c>
      <c r="AE129" s="598">
        <v>7000</v>
      </c>
      <c r="AF129" s="595">
        <f t="shared" si="105"/>
        <v>0.96633333333333327</v>
      </c>
      <c r="AG129" s="593">
        <v>9.6440000000000001</v>
      </c>
      <c r="AH129" s="593">
        <v>4.5170000000000003</v>
      </c>
      <c r="AI129" s="593">
        <f t="shared" si="106"/>
        <v>4.1606666666666667</v>
      </c>
      <c r="AJ129" s="593">
        <f t="shared" si="107"/>
        <v>34.415333333333336</v>
      </c>
      <c r="AK129" s="653">
        <f t="shared" si="108"/>
        <v>9808.8514016826666</v>
      </c>
      <c r="AL129" s="598">
        <v>7000</v>
      </c>
      <c r="AM129" s="595">
        <f t="shared" si="109"/>
        <v>1.9523333333333337</v>
      </c>
      <c r="AN129" s="593">
        <v>9.6440000000000001</v>
      </c>
      <c r="AO129" s="593">
        <v>4.5170000000000003</v>
      </c>
      <c r="AP129" s="593">
        <f t="shared" si="110"/>
        <v>3.1746666666666661</v>
      </c>
      <c r="AQ129" s="593">
        <f t="shared" si="111"/>
        <v>35.401333333333341</v>
      </c>
      <c r="AR129" s="698">
        <f t="shared" si="112"/>
        <v>7698.7639277546659</v>
      </c>
      <c r="AS129" s="598">
        <v>7000</v>
      </c>
      <c r="AT129" s="595">
        <f t="shared" si="113"/>
        <v>0.874</v>
      </c>
      <c r="AU129" s="593">
        <v>9.6440000000000001</v>
      </c>
      <c r="AV129" s="593">
        <v>4.5170000000000003</v>
      </c>
      <c r="AW129" s="593">
        <f t="shared" si="114"/>
        <v>4.2530000000000001</v>
      </c>
      <c r="AX129" s="593">
        <f t="shared" si="115"/>
        <v>34.323000000000008</v>
      </c>
      <c r="AY129" s="698">
        <f t="shared" si="116"/>
        <v>9999.6287029380019</v>
      </c>
      <c r="AZ129" s="75"/>
      <c r="BA129" s="598">
        <v>7000</v>
      </c>
      <c r="BB129" s="593">
        <v>103.50685607036536</v>
      </c>
      <c r="BC129" s="667">
        <f>(BB134-BB135)/BB116</f>
        <v>0.6183165292595878</v>
      </c>
      <c r="BD129" s="714">
        <f>D129-BB132</f>
        <v>14.920000000000016</v>
      </c>
      <c r="BE129" s="667">
        <f>BB134-BB135</f>
        <v>64</v>
      </c>
      <c r="BF129" s="667">
        <f t="shared" si="117"/>
        <v>23.312500000000025</v>
      </c>
      <c r="BG129" s="668">
        <f t="shared" si="118"/>
        <v>14.414504088364156</v>
      </c>
      <c r="BH129" s="598">
        <v>7000</v>
      </c>
      <c r="BI129" s="593">
        <v>103.50685607036536</v>
      </c>
      <c r="BJ129" s="667">
        <f>(BI134-BI135)/BI116</f>
        <v>1.1501653563805301</v>
      </c>
      <c r="BK129" s="714">
        <f>I129-BI132</f>
        <v>16.729999999999961</v>
      </c>
      <c r="BL129" s="667">
        <f>BI134-BI135</f>
        <v>119.05000000000001</v>
      </c>
      <c r="BM129" s="667">
        <f t="shared" si="119"/>
        <v>14.052918941621135</v>
      </c>
      <c r="BN129" s="668">
        <f t="shared" si="120"/>
        <v>16.163180522676374</v>
      </c>
      <c r="BO129" s="598">
        <v>7000</v>
      </c>
      <c r="BP129" s="679">
        <v>103.50685607036536</v>
      </c>
      <c r="BQ129" s="667">
        <f>(BP134-BP135)/BP116</f>
        <v>0.8161778186226557</v>
      </c>
      <c r="BR129" s="714">
        <f>N129-BP132</f>
        <v>13.460000000000036</v>
      </c>
      <c r="BS129" s="667">
        <f>BP134-BP135</f>
        <v>84.47999999999999</v>
      </c>
      <c r="BT129" s="667">
        <f t="shared" si="121"/>
        <v>15.932765151515197</v>
      </c>
      <c r="BU129" s="710">
        <f t="shared" si="122"/>
        <v>13.003969505990741</v>
      </c>
      <c r="BV129" s="598">
        <v>7000</v>
      </c>
      <c r="BW129" s="593">
        <v>103.50685607036536</v>
      </c>
      <c r="BX129" s="667">
        <f>(BW134-BW135)/BW116</f>
        <v>1.2636844066742825</v>
      </c>
      <c r="BY129" s="714">
        <f>S129-BW132</f>
        <v>10.910000000000025</v>
      </c>
      <c r="BZ129" s="667">
        <f>BW134-BW135</f>
        <v>130.80000000000001</v>
      </c>
      <c r="CA129" s="667">
        <f t="shared" si="123"/>
        <v>8.3409785932721903</v>
      </c>
      <c r="CB129" s="668">
        <f t="shared" si="124"/>
        <v>10.54036458472206</v>
      </c>
      <c r="CC129" s="560"/>
    </row>
    <row r="130" spans="1:81" ht="15.75">
      <c r="A130" s="5"/>
      <c r="B130" s="59" t="s">
        <v>116</v>
      </c>
      <c r="C130" s="98">
        <v>9000</v>
      </c>
      <c r="D130" s="72">
        <v>364.75</v>
      </c>
      <c r="E130" s="27">
        <v>24.16</v>
      </c>
      <c r="F130" s="27">
        <v>22.82</v>
      </c>
      <c r="G130" s="27">
        <v>25.24</v>
      </c>
      <c r="H130" s="104">
        <v>9000</v>
      </c>
      <c r="I130" s="315">
        <v>421.79</v>
      </c>
      <c r="J130" s="108">
        <v>10.73</v>
      </c>
      <c r="K130" s="108">
        <v>10.65</v>
      </c>
      <c r="L130" s="108">
        <v>11.31</v>
      </c>
      <c r="M130" s="104">
        <v>9000</v>
      </c>
      <c r="N130" s="315">
        <v>383.46</v>
      </c>
      <c r="O130" s="107">
        <v>22.02</v>
      </c>
      <c r="P130" s="107">
        <v>16.68</v>
      </c>
      <c r="Q130" s="107">
        <v>19.87</v>
      </c>
      <c r="R130" s="104">
        <v>9000</v>
      </c>
      <c r="S130" s="315">
        <v>426.66</v>
      </c>
      <c r="T130" s="108">
        <v>9.26</v>
      </c>
      <c r="U130" s="108">
        <v>8.8800000000000008</v>
      </c>
      <c r="V130" s="108">
        <v>10.97</v>
      </c>
      <c r="W130" s="5"/>
      <c r="X130" s="598">
        <v>9000</v>
      </c>
      <c r="Y130" s="592">
        <f t="shared" si="101"/>
        <v>2.4073333333333333</v>
      </c>
      <c r="Z130" s="593">
        <v>9.6440000000000001</v>
      </c>
      <c r="AA130" s="593">
        <v>4.5170000000000003</v>
      </c>
      <c r="AB130" s="593">
        <f t="shared" si="102"/>
        <v>2.7196666666666669</v>
      </c>
      <c r="AC130" s="593">
        <f t="shared" si="103"/>
        <v>35.856333333333339</v>
      </c>
      <c r="AD130" s="653">
        <f t="shared" si="104"/>
        <v>11042.661136122</v>
      </c>
      <c r="AE130" s="598">
        <v>9000</v>
      </c>
      <c r="AF130" s="595">
        <f t="shared" si="105"/>
        <v>1.0896666666666668</v>
      </c>
      <c r="AG130" s="593">
        <v>9.6440000000000001</v>
      </c>
      <c r="AH130" s="593">
        <v>4.5170000000000003</v>
      </c>
      <c r="AI130" s="593">
        <f t="shared" si="106"/>
        <v>4.0373333333333328</v>
      </c>
      <c r="AJ130" s="593">
        <f t="shared" si="107"/>
        <v>34.538666666666671</v>
      </c>
      <c r="AK130" s="653">
        <f t="shared" si="108"/>
        <v>15790.372153343998</v>
      </c>
      <c r="AL130" s="598">
        <v>9000</v>
      </c>
      <c r="AM130" s="595">
        <f t="shared" si="109"/>
        <v>1.9523333333333337</v>
      </c>
      <c r="AN130" s="593">
        <v>9.6440000000000001</v>
      </c>
      <c r="AO130" s="593">
        <v>4.5170000000000003</v>
      </c>
      <c r="AP130" s="593">
        <f t="shared" si="110"/>
        <v>3.1746666666666661</v>
      </c>
      <c r="AQ130" s="593">
        <f t="shared" si="111"/>
        <v>35.401333333333341</v>
      </c>
      <c r="AR130" s="698">
        <f t="shared" si="112"/>
        <v>12726.528125471999</v>
      </c>
      <c r="AS130" s="598">
        <v>9000</v>
      </c>
      <c r="AT130" s="595">
        <f t="shared" si="113"/>
        <v>0.97033333333333327</v>
      </c>
      <c r="AU130" s="593">
        <v>9.6440000000000001</v>
      </c>
      <c r="AV130" s="593">
        <v>4.5170000000000003</v>
      </c>
      <c r="AW130" s="593">
        <f t="shared" si="114"/>
        <v>4.1566666666666663</v>
      </c>
      <c r="AX130" s="593">
        <f t="shared" si="115"/>
        <v>34.419333333333341</v>
      </c>
      <c r="AY130" s="698">
        <f t="shared" si="116"/>
        <v>16200.926185320001</v>
      </c>
      <c r="AZ130" s="75"/>
      <c r="BA130" s="598">
        <v>9000</v>
      </c>
      <c r="BB130" s="593">
        <v>103.50685607036536</v>
      </c>
      <c r="BC130" s="667">
        <f>(BB134-BB135)/BB116</f>
        <v>0.6183165292595878</v>
      </c>
      <c r="BD130" s="714">
        <f>D130-BB132</f>
        <v>13.560000000000002</v>
      </c>
      <c r="BE130" s="667">
        <f>BB134-BB135</f>
        <v>64</v>
      </c>
      <c r="BF130" s="667">
        <f t="shared" si="117"/>
        <v>21.187500000000004</v>
      </c>
      <c r="BG130" s="668">
        <f t="shared" si="118"/>
        <v>13.100581463687519</v>
      </c>
      <c r="BH130" s="598">
        <v>9000</v>
      </c>
      <c r="BI130" s="593">
        <v>103.50685607036536</v>
      </c>
      <c r="BJ130" s="667">
        <f>(BI134-BI135)/BI116</f>
        <v>1.1501653563805301</v>
      </c>
      <c r="BK130" s="714">
        <f>I130-BI132</f>
        <v>15.180000000000007</v>
      </c>
      <c r="BL130" s="667">
        <f>BI134-BI135</f>
        <v>119.05000000000001</v>
      </c>
      <c r="BM130" s="667">
        <f t="shared" si="119"/>
        <v>12.750944981100382</v>
      </c>
      <c r="BN130" s="668">
        <f t="shared" si="120"/>
        <v>14.665695178375852</v>
      </c>
      <c r="BO130" s="598">
        <v>9000</v>
      </c>
      <c r="BP130" s="679">
        <v>103.50685607036536</v>
      </c>
      <c r="BQ130" s="667">
        <f>(BP134-BP135)/BP116</f>
        <v>0.8161778186226557</v>
      </c>
      <c r="BR130" s="714">
        <f>N130-BP132</f>
        <v>12.069999999999993</v>
      </c>
      <c r="BS130" s="667">
        <f>BP134-BP135</f>
        <v>84.47999999999999</v>
      </c>
      <c r="BT130" s="667">
        <f t="shared" si="121"/>
        <v>14.287405303030296</v>
      </c>
      <c r="BU130" s="710">
        <f t="shared" si="122"/>
        <v>11.66106329400503</v>
      </c>
      <c r="BV130" s="598">
        <v>9000</v>
      </c>
      <c r="BW130" s="593">
        <v>103.50685607036536</v>
      </c>
      <c r="BX130" s="667">
        <f>(BW134-BW135)/BW116</f>
        <v>1.2636844066742825</v>
      </c>
      <c r="BY130" s="714">
        <f>S130-BW132</f>
        <v>9.7600000000000477</v>
      </c>
      <c r="BZ130" s="667">
        <f>BW134-BW135</f>
        <v>130.80000000000001</v>
      </c>
      <c r="CA130" s="667">
        <f t="shared" si="123"/>
        <v>7.4617737003058462</v>
      </c>
      <c r="CB130" s="668">
        <f t="shared" si="124"/>
        <v>9.4293270712087587</v>
      </c>
      <c r="CC130" s="560"/>
    </row>
    <row r="131" spans="1:81" ht="15.75">
      <c r="A131" s="5"/>
      <c r="B131" s="60" t="s">
        <v>116</v>
      </c>
      <c r="C131" s="99">
        <v>10000</v>
      </c>
      <c r="D131" s="72">
        <v>363.97</v>
      </c>
      <c r="E131" s="97">
        <v>25.18</v>
      </c>
      <c r="F131" s="97">
        <v>24.44</v>
      </c>
      <c r="G131" s="97">
        <v>25.47</v>
      </c>
      <c r="H131" s="105">
        <v>10000</v>
      </c>
      <c r="I131" s="315">
        <v>420.81</v>
      </c>
      <c r="J131" s="108">
        <v>11.25</v>
      </c>
      <c r="K131" s="108">
        <v>10.88</v>
      </c>
      <c r="L131" s="108">
        <v>12.58</v>
      </c>
      <c r="M131" s="105">
        <v>10000</v>
      </c>
      <c r="N131" s="315">
        <v>382.68</v>
      </c>
      <c r="O131">
        <v>23.76</v>
      </c>
      <c r="P131">
        <v>19.170000000000002</v>
      </c>
      <c r="Q131">
        <v>21.67</v>
      </c>
      <c r="R131" s="105">
        <v>10000</v>
      </c>
      <c r="S131" s="315">
        <v>426.01</v>
      </c>
      <c r="T131" s="315">
        <v>9.9700000000000006</v>
      </c>
      <c r="U131" s="315">
        <v>10.130000000000001</v>
      </c>
      <c r="V131" s="315">
        <v>11.86</v>
      </c>
      <c r="W131" s="5"/>
      <c r="X131" s="607">
        <v>10000</v>
      </c>
      <c r="Y131" s="608">
        <f t="shared" si="101"/>
        <v>2.5030000000000001</v>
      </c>
      <c r="Z131" s="609">
        <v>9.6440000000000001</v>
      </c>
      <c r="AA131" s="609">
        <v>4.5170000000000003</v>
      </c>
      <c r="AB131" s="609">
        <f t="shared" si="102"/>
        <v>2.6239999999999997</v>
      </c>
      <c r="AC131" s="609">
        <f t="shared" si="103"/>
        <v>35.952000000000005</v>
      </c>
      <c r="AD131" s="702">
        <f t="shared" si="104"/>
        <v>13188.459110399999</v>
      </c>
      <c r="AE131" s="607">
        <v>10000</v>
      </c>
      <c r="AF131" s="602">
        <f t="shared" si="105"/>
        <v>1.157</v>
      </c>
      <c r="AG131" s="609">
        <v>9.6440000000000001</v>
      </c>
      <c r="AH131" s="609">
        <v>4.5170000000000003</v>
      </c>
      <c r="AI131" s="609">
        <f t="shared" si="106"/>
        <v>3.9699999999999998</v>
      </c>
      <c r="AJ131" s="609">
        <f t="shared" si="107"/>
        <v>34.606000000000009</v>
      </c>
      <c r="AK131" s="702">
        <f t="shared" si="108"/>
        <v>19206.537636000001</v>
      </c>
      <c r="AL131" s="607">
        <v>10000</v>
      </c>
      <c r="AM131" s="602">
        <f t="shared" si="109"/>
        <v>2.1533333333333333</v>
      </c>
      <c r="AN131" s="609">
        <v>9.6440000000000001</v>
      </c>
      <c r="AO131" s="609">
        <v>4.5170000000000003</v>
      </c>
      <c r="AP131" s="609">
        <f t="shared" si="110"/>
        <v>2.9736666666666665</v>
      </c>
      <c r="AQ131" s="609">
        <f t="shared" si="111"/>
        <v>35.602333333333341</v>
      </c>
      <c r="AR131" s="699">
        <f t="shared" si="112"/>
        <v>14800.552170066667</v>
      </c>
      <c r="AS131" s="607">
        <v>10000</v>
      </c>
      <c r="AT131" s="602">
        <f t="shared" si="113"/>
        <v>1.0653333333333335</v>
      </c>
      <c r="AU131" s="609">
        <v>9.6440000000000001</v>
      </c>
      <c r="AV131" s="609">
        <v>4.5170000000000003</v>
      </c>
      <c r="AW131" s="609">
        <f t="shared" si="114"/>
        <v>4.0616666666666665</v>
      </c>
      <c r="AX131" s="609">
        <f t="shared" si="115"/>
        <v>34.51433333333334</v>
      </c>
      <c r="AY131" s="699">
        <f t="shared" si="116"/>
        <v>19597.963267666666</v>
      </c>
      <c r="AZ131" s="75"/>
      <c r="BA131" s="607">
        <v>10000</v>
      </c>
      <c r="BB131" s="609">
        <v>103.50685607036536</v>
      </c>
      <c r="BC131" s="667">
        <f>(BB134-BB135)/BB116</f>
        <v>0.6183165292595878</v>
      </c>
      <c r="BD131" s="714">
        <f>D131-BB132</f>
        <v>12.78000000000003</v>
      </c>
      <c r="BE131" s="682">
        <f>BB134-BB135</f>
        <v>64</v>
      </c>
      <c r="BF131" s="682">
        <f t="shared" si="117"/>
        <v>19.968750000000046</v>
      </c>
      <c r="BG131" s="683">
        <f t="shared" si="118"/>
        <v>12.347008193652423</v>
      </c>
      <c r="BH131" s="607">
        <v>10000</v>
      </c>
      <c r="BI131" s="609">
        <v>103.50685607036536</v>
      </c>
      <c r="BJ131" s="667">
        <f>(BI134-BI135)/BI116</f>
        <v>1.1501653563805301</v>
      </c>
      <c r="BK131" s="714">
        <f>I131-BI132</f>
        <v>14.199999999999989</v>
      </c>
      <c r="BL131" s="682">
        <f>BI134-BI135</f>
        <v>119.05000000000001</v>
      </c>
      <c r="BM131" s="682">
        <f t="shared" si="119"/>
        <v>11.927761444771095</v>
      </c>
      <c r="BN131" s="683">
        <f t="shared" si="120"/>
        <v>13.718897992947094</v>
      </c>
      <c r="BO131" s="607">
        <v>10000</v>
      </c>
      <c r="BP131" s="684">
        <v>103.50685607036536</v>
      </c>
      <c r="BQ131" s="667">
        <f>(BP134-BP135)/BP116</f>
        <v>0.8161778186226557</v>
      </c>
      <c r="BR131" s="714">
        <f>N131-BP132</f>
        <v>11.29000000000002</v>
      </c>
      <c r="BS131" s="682">
        <f>BP134-BP135</f>
        <v>84.47999999999999</v>
      </c>
      <c r="BT131" s="682">
        <f t="shared" si="121"/>
        <v>13.364109848484873</v>
      </c>
      <c r="BU131" s="711">
        <f t="shared" si="122"/>
        <v>10.907490023969933</v>
      </c>
      <c r="BV131" s="607">
        <v>10000</v>
      </c>
      <c r="BW131" s="609">
        <v>103.50685607036536</v>
      </c>
      <c r="BX131" s="667">
        <f>(BW134-BW135)/BW116</f>
        <v>1.2636844066742825</v>
      </c>
      <c r="BY131" s="714">
        <f>S131-BW132</f>
        <v>9.1100000000000136</v>
      </c>
      <c r="BZ131" s="682">
        <f>BW134-BW135</f>
        <v>130.80000000000001</v>
      </c>
      <c r="CA131" s="682">
        <f t="shared" si="123"/>
        <v>6.9648318042813555</v>
      </c>
      <c r="CB131" s="683">
        <f t="shared" si="124"/>
        <v>8.8013493461794567</v>
      </c>
      <c r="CC131" s="560"/>
    </row>
    <row r="132" spans="1:81" ht="45">
      <c r="X132" s="560"/>
      <c r="Y132" s="560"/>
      <c r="Z132" s="560"/>
      <c r="AA132" s="560"/>
      <c r="AB132" s="560"/>
      <c r="AC132" s="560"/>
      <c r="AD132" s="560"/>
      <c r="AE132" s="559"/>
      <c r="AF132" s="559"/>
      <c r="AG132" s="559"/>
      <c r="AH132" s="559"/>
      <c r="AI132" s="559"/>
      <c r="AJ132" s="559"/>
      <c r="AK132" s="559"/>
      <c r="AL132" s="560"/>
      <c r="AM132" s="560"/>
      <c r="AN132" s="559"/>
      <c r="AO132" s="559"/>
      <c r="AP132" s="560"/>
      <c r="AQ132" s="560"/>
      <c r="AR132" s="560"/>
      <c r="AS132" s="560"/>
      <c r="AT132" s="560"/>
      <c r="AU132" s="560"/>
      <c r="AV132" s="560"/>
      <c r="AW132" s="560"/>
      <c r="AX132" s="560"/>
      <c r="AY132" s="560"/>
      <c r="AZ132" s="791" t="s">
        <v>144</v>
      </c>
      <c r="BA132" s="709" t="s">
        <v>1047</v>
      </c>
      <c r="BB132" s="565">
        <f>BB134+BB133</f>
        <v>351.19</v>
      </c>
      <c r="BC132" s="559"/>
      <c r="BD132" s="559"/>
      <c r="BE132" s="559"/>
      <c r="BF132" s="559"/>
      <c r="BG132" s="559"/>
      <c r="BH132" s="709" t="s">
        <v>1047</v>
      </c>
      <c r="BI132" s="565">
        <f>BI134+BI133</f>
        <v>406.61</v>
      </c>
      <c r="BJ132" s="559"/>
      <c r="BK132" s="569"/>
      <c r="BL132" s="569"/>
      <c r="BM132" s="569"/>
      <c r="BN132" s="569"/>
      <c r="BO132" s="709" t="s">
        <v>1047</v>
      </c>
      <c r="BP132" s="697">
        <f>BP133+BP134</f>
        <v>371.39</v>
      </c>
      <c r="BQ132" s="560"/>
      <c r="BR132" s="559"/>
      <c r="BS132" s="559"/>
      <c r="BT132" s="559"/>
      <c r="BU132" s="559"/>
      <c r="BV132" s="709" t="s">
        <v>1047</v>
      </c>
      <c r="BW132" s="565">
        <f>BW133+BW134</f>
        <v>416.9</v>
      </c>
      <c r="BX132" s="560"/>
      <c r="BY132" s="560"/>
      <c r="BZ132" s="560"/>
      <c r="CA132" s="560"/>
      <c r="CB132" s="560"/>
      <c r="CC132" s="560"/>
    </row>
    <row r="133" spans="1:81">
      <c r="X133" s="560"/>
      <c r="Y133" s="560"/>
      <c r="Z133" s="560"/>
      <c r="AA133" s="560"/>
      <c r="AB133" s="560"/>
      <c r="AC133" s="560"/>
      <c r="AD133" s="560"/>
      <c r="AE133" s="559"/>
      <c r="AF133" s="559"/>
      <c r="AG133" s="559"/>
      <c r="AH133" s="559"/>
      <c r="AI133" s="559"/>
      <c r="AJ133" s="559"/>
      <c r="AK133" s="559"/>
      <c r="AL133" s="560"/>
      <c r="AM133" s="560"/>
      <c r="AN133" s="559"/>
      <c r="AO133" s="559"/>
      <c r="AP133" s="560"/>
      <c r="AQ133" s="560"/>
      <c r="AR133" s="560"/>
      <c r="AS133" s="560"/>
      <c r="AT133" s="560"/>
      <c r="AU133" s="560"/>
      <c r="AV133" s="560"/>
      <c r="AW133" s="560"/>
      <c r="AX133" s="560"/>
      <c r="AY133" s="560"/>
      <c r="AZ133" s="791"/>
      <c r="BA133" s="655" t="s">
        <v>1048</v>
      </c>
      <c r="BB133" s="569">
        <v>215.12</v>
      </c>
      <c r="BC133" s="559"/>
      <c r="BD133" s="559"/>
      <c r="BE133" s="559"/>
      <c r="BF133" s="559"/>
      <c r="BG133" s="559"/>
      <c r="BH133" s="655" t="s">
        <v>1048</v>
      </c>
      <c r="BI133" s="569">
        <v>215.03</v>
      </c>
      <c r="BJ133" s="559"/>
      <c r="BK133" s="569"/>
      <c r="BL133" s="569"/>
      <c r="BM133" s="569"/>
      <c r="BN133" s="569"/>
      <c r="BO133" s="655" t="s">
        <v>1048</v>
      </c>
      <c r="BP133" s="559">
        <v>214.88</v>
      </c>
      <c r="BQ133" s="560"/>
      <c r="BR133" s="559"/>
      <c r="BS133" s="559"/>
      <c r="BT133" s="620"/>
      <c r="BU133" s="620"/>
      <c r="BV133" s="655" t="s">
        <v>1048</v>
      </c>
      <c r="BW133" s="569">
        <v>214.58</v>
      </c>
      <c r="BX133" s="560"/>
      <c r="BY133" s="560"/>
      <c r="BZ133" s="560"/>
      <c r="CA133" s="560"/>
      <c r="CB133" s="560"/>
      <c r="CC133" s="560"/>
    </row>
    <row r="134" spans="1:81">
      <c r="X134" s="560"/>
      <c r="Y134" s="560"/>
      <c r="Z134" s="560"/>
      <c r="AA134" s="560"/>
      <c r="AB134" s="560"/>
      <c r="AC134" s="560"/>
      <c r="AD134" s="560"/>
      <c r="AE134" s="559"/>
      <c r="AF134" s="559"/>
      <c r="AG134" s="559"/>
      <c r="AH134" s="559"/>
      <c r="AI134" s="559"/>
      <c r="AJ134" s="559"/>
      <c r="AK134" s="559"/>
      <c r="AL134" s="560"/>
      <c r="AM134" s="560"/>
      <c r="AN134" s="559"/>
      <c r="AO134" s="559"/>
      <c r="AP134" s="560"/>
      <c r="AQ134" s="560"/>
      <c r="AR134" s="560"/>
      <c r="AS134" s="560"/>
      <c r="AT134" s="560"/>
      <c r="AU134" s="560"/>
      <c r="AV134" s="560"/>
      <c r="AW134" s="560"/>
      <c r="AX134" s="560"/>
      <c r="AY134" s="560"/>
      <c r="AZ134" s="791"/>
      <c r="BA134" s="655" t="s">
        <v>1049</v>
      </c>
      <c r="BB134" s="713">
        <v>136.07</v>
      </c>
      <c r="BC134" s="559"/>
      <c r="BD134" s="559"/>
      <c r="BE134" s="559"/>
      <c r="BF134" s="559"/>
      <c r="BG134" s="559"/>
      <c r="BH134" s="655" t="s">
        <v>1049</v>
      </c>
      <c r="BI134" s="565">
        <v>191.58</v>
      </c>
      <c r="BJ134" s="559"/>
      <c r="BK134" s="569"/>
      <c r="BL134" s="569"/>
      <c r="BM134" s="569"/>
      <c r="BN134" s="569"/>
      <c r="BO134" s="655" t="s">
        <v>1049</v>
      </c>
      <c r="BP134" s="697">
        <v>156.51</v>
      </c>
      <c r="BQ134" s="560"/>
      <c r="BR134" s="559"/>
      <c r="BS134" s="559"/>
      <c r="BT134" s="620"/>
      <c r="BU134" s="620"/>
      <c r="BV134" s="655" t="s">
        <v>1049</v>
      </c>
      <c r="BW134" s="565">
        <v>202.32</v>
      </c>
      <c r="BX134" s="560"/>
      <c r="BY134" s="560"/>
      <c r="BZ134" s="560"/>
      <c r="CA134" s="560"/>
      <c r="CB134" s="560"/>
      <c r="CC134" s="560"/>
    </row>
    <row r="135" spans="1:81">
      <c r="X135" s="560"/>
      <c r="Y135" s="560"/>
      <c r="Z135" s="560"/>
      <c r="AA135" s="560"/>
      <c r="AB135" s="560"/>
      <c r="AC135" s="560"/>
      <c r="AD135" s="560"/>
      <c r="AE135" s="559"/>
      <c r="AF135" s="559"/>
      <c r="AG135" s="559"/>
      <c r="AH135" s="559"/>
      <c r="AI135" s="559"/>
      <c r="AJ135" s="559"/>
      <c r="AK135" s="559"/>
      <c r="AL135" s="560"/>
      <c r="AM135" s="560"/>
      <c r="AN135" s="559"/>
      <c r="AO135" s="559"/>
      <c r="AP135" s="560"/>
      <c r="AQ135" s="560"/>
      <c r="AR135" s="560"/>
      <c r="AS135" s="560"/>
      <c r="AT135" s="560"/>
      <c r="AU135" s="560"/>
      <c r="AV135" s="560"/>
      <c r="AW135" s="560"/>
      <c r="AX135" s="560"/>
      <c r="AY135" s="560"/>
      <c r="AZ135" s="791"/>
      <c r="BA135" s="655" t="s">
        <v>1050</v>
      </c>
      <c r="BB135" s="569">
        <v>72.069999999999993</v>
      </c>
      <c r="BC135" s="559"/>
      <c r="BD135" s="560"/>
      <c r="BE135" s="560"/>
      <c r="BF135" s="560"/>
      <c r="BG135" s="560"/>
      <c r="BH135" s="655" t="s">
        <v>1050</v>
      </c>
      <c r="BI135" s="569">
        <v>72.53</v>
      </c>
      <c r="BJ135" s="559"/>
      <c r="BK135" s="560"/>
      <c r="BL135" s="560"/>
      <c r="BM135" s="560"/>
      <c r="BN135" s="560"/>
      <c r="BO135" s="655" t="s">
        <v>1050</v>
      </c>
      <c r="BP135" s="559">
        <v>72.03</v>
      </c>
      <c r="BQ135" s="560"/>
      <c r="BR135" s="560"/>
      <c r="BS135" s="560"/>
      <c r="BT135" s="560"/>
      <c r="BU135" s="560"/>
      <c r="BV135" s="655" t="s">
        <v>1050</v>
      </c>
      <c r="BW135" s="569">
        <v>71.52</v>
      </c>
      <c r="BX135" s="560"/>
      <c r="BY135" s="560"/>
      <c r="BZ135" s="560"/>
      <c r="CA135" s="560"/>
      <c r="CB135" s="560"/>
      <c r="CC135" s="560"/>
    </row>
    <row r="136" spans="1:81">
      <c r="X136" s="560"/>
      <c r="Y136" s="560"/>
      <c r="Z136" s="560"/>
      <c r="AA136" s="560"/>
      <c r="AB136" s="560"/>
      <c r="AC136" s="560"/>
      <c r="AD136" s="560"/>
      <c r="AE136" s="559"/>
      <c r="AF136" s="559"/>
      <c r="AG136" s="559"/>
      <c r="AH136" s="559"/>
      <c r="AI136" s="559"/>
      <c r="AJ136" s="559"/>
      <c r="AK136" s="559"/>
      <c r="AL136" s="560"/>
      <c r="AM136" s="560"/>
      <c r="AN136" s="559"/>
      <c r="AO136" s="559"/>
      <c r="AP136" s="560"/>
      <c r="AQ136" s="560"/>
      <c r="AR136" s="560"/>
      <c r="AS136" s="560"/>
      <c r="AT136" s="560"/>
      <c r="AU136" s="560"/>
      <c r="AV136" s="560"/>
      <c r="AW136" s="560"/>
      <c r="AX136" s="560"/>
      <c r="AY136" s="560"/>
      <c r="BA136" s="560"/>
      <c r="BB136" s="560"/>
      <c r="BC136" s="559"/>
      <c r="BD136" s="560"/>
      <c r="BE136" s="560"/>
      <c r="BF136" s="560"/>
      <c r="BG136" s="560"/>
      <c r="BH136" s="560"/>
      <c r="BI136" s="560"/>
      <c r="BJ136" s="559"/>
      <c r="BK136" s="560"/>
      <c r="BL136" s="560"/>
      <c r="BM136" s="560"/>
      <c r="BN136" s="560"/>
      <c r="BO136" s="560"/>
      <c r="BP136" s="560"/>
      <c r="BQ136" s="560"/>
      <c r="BR136" s="560"/>
      <c r="BS136" s="560"/>
      <c r="BT136" s="560"/>
      <c r="BU136" s="560"/>
      <c r="BV136" s="560"/>
      <c r="BW136" s="560"/>
      <c r="BX136" s="560"/>
      <c r="BY136" s="560"/>
      <c r="BZ136" s="560"/>
      <c r="CA136" s="560"/>
      <c r="CB136" s="560"/>
      <c r="CC136" s="560"/>
    </row>
    <row r="137" spans="1:81">
      <c r="X137" s="560"/>
      <c r="Y137" s="560"/>
      <c r="Z137" s="560"/>
      <c r="AA137" s="560"/>
      <c r="AB137" s="560"/>
      <c r="AC137" s="560"/>
      <c r="AD137" s="560"/>
      <c r="AE137" s="559"/>
      <c r="AF137" s="559"/>
      <c r="AG137" s="559"/>
      <c r="AH137" s="559"/>
      <c r="AI137" s="559"/>
      <c r="AJ137" s="559"/>
      <c r="AK137" s="559"/>
      <c r="AL137" s="560"/>
      <c r="AM137" s="560"/>
      <c r="AN137" s="559"/>
      <c r="AO137" s="559"/>
      <c r="AP137" s="560"/>
      <c r="AQ137" s="560"/>
      <c r="AR137" s="560"/>
      <c r="AS137" s="560"/>
      <c r="AT137" s="560"/>
      <c r="AU137" s="560"/>
      <c r="AV137" s="560"/>
      <c r="AW137" s="560"/>
      <c r="AX137" s="560"/>
      <c r="AY137" s="560"/>
      <c r="BA137" s="560"/>
      <c r="BB137" s="560"/>
      <c r="BC137" s="559"/>
      <c r="BD137" s="560"/>
      <c r="BE137" s="560"/>
      <c r="BF137" s="560"/>
      <c r="BG137" s="560"/>
      <c r="BH137" s="560"/>
      <c r="BI137" s="560"/>
      <c r="BJ137" s="559"/>
      <c r="BK137" s="560"/>
      <c r="BL137" s="560"/>
      <c r="BM137" s="560"/>
      <c r="BN137" s="560"/>
      <c r="BO137" s="560"/>
      <c r="BP137" s="560"/>
      <c r="BQ137" s="560"/>
      <c r="BR137" s="560"/>
      <c r="BS137" s="560"/>
      <c r="BT137" s="560"/>
      <c r="BU137" s="560"/>
      <c r="BV137" s="560"/>
      <c r="BW137" s="560"/>
      <c r="BX137" s="560"/>
      <c r="BY137" s="560"/>
      <c r="BZ137" s="560"/>
      <c r="CA137" s="560"/>
      <c r="CB137" s="560"/>
      <c r="CC137" s="560"/>
    </row>
    <row r="138" spans="1:81">
      <c r="X138" s="560"/>
      <c r="Y138" s="560"/>
      <c r="Z138" s="560"/>
      <c r="AA138" s="560"/>
      <c r="AB138" s="560"/>
      <c r="AC138" s="560"/>
      <c r="AD138" s="560"/>
      <c r="AE138" s="559"/>
      <c r="AF138" s="559"/>
      <c r="AG138" s="559"/>
      <c r="AH138" s="559"/>
      <c r="AI138" s="559"/>
      <c r="AJ138" s="559"/>
      <c r="AK138" s="559"/>
      <c r="AL138" s="560"/>
      <c r="AM138" s="560"/>
      <c r="AN138" s="559"/>
      <c r="AO138" s="559"/>
      <c r="AP138" s="560"/>
      <c r="AQ138" s="560"/>
      <c r="AR138" s="560"/>
      <c r="AS138" s="560"/>
      <c r="AT138" s="560"/>
      <c r="AU138" s="560"/>
      <c r="AV138" s="560"/>
      <c r="AW138" s="560"/>
      <c r="AX138" s="560"/>
      <c r="AY138" s="560"/>
      <c r="BA138" s="560"/>
      <c r="BB138" s="560"/>
      <c r="BC138" s="559"/>
      <c r="BD138" s="560"/>
      <c r="BE138" s="560"/>
      <c r="BF138" s="560"/>
      <c r="BG138" s="560"/>
      <c r="BH138" s="560"/>
      <c r="BI138" s="560"/>
      <c r="BJ138" s="559"/>
      <c r="BK138" s="560"/>
      <c r="BL138" s="560"/>
      <c r="BM138" s="560"/>
      <c r="BN138" s="560"/>
      <c r="BO138" s="560"/>
      <c r="BP138" s="560"/>
      <c r="BQ138" s="560"/>
      <c r="BR138" s="560"/>
      <c r="BS138" s="560"/>
      <c r="BT138" s="560"/>
      <c r="BU138" s="560"/>
      <c r="BV138" s="560"/>
      <c r="BW138" s="560"/>
      <c r="BX138" s="560"/>
      <c r="BY138" s="560"/>
      <c r="BZ138" s="560"/>
      <c r="CA138" s="560"/>
      <c r="CB138" s="560"/>
      <c r="CC138" s="560"/>
    </row>
    <row r="139" spans="1:81" ht="18.75">
      <c r="A139" s="70" t="s">
        <v>161</v>
      </c>
      <c r="B139" s="71"/>
      <c r="X139" s="560"/>
      <c r="Y139" s="560"/>
      <c r="Z139" s="560"/>
      <c r="AA139" s="560"/>
      <c r="AB139" s="560"/>
      <c r="AC139" s="560"/>
      <c r="AD139" s="560"/>
      <c r="AE139" s="559"/>
      <c r="AF139" s="559"/>
      <c r="AG139" s="559"/>
      <c r="AH139" s="559"/>
      <c r="AI139" s="559"/>
      <c r="AJ139" s="559"/>
      <c r="AK139" s="559"/>
      <c r="AL139" s="560"/>
      <c r="AM139" s="560"/>
      <c r="AN139" s="559"/>
      <c r="AO139" s="559"/>
      <c r="AP139" s="560"/>
      <c r="AQ139" s="560"/>
      <c r="AR139" s="560"/>
      <c r="AS139" s="560"/>
      <c r="AT139" s="560"/>
      <c r="AU139" s="560"/>
      <c r="AV139" s="560"/>
      <c r="AW139" s="560"/>
      <c r="AX139" s="560"/>
      <c r="AY139" s="560"/>
      <c r="BA139" s="560"/>
      <c r="BB139" s="560"/>
      <c r="BC139" s="559"/>
      <c r="BD139" s="560"/>
      <c r="BE139" s="560"/>
      <c r="BF139" s="560"/>
      <c r="BG139" s="560"/>
      <c r="BH139" s="560"/>
      <c r="BI139" s="560"/>
      <c r="BJ139" s="559"/>
      <c r="BK139" s="560"/>
      <c r="BL139" s="560"/>
      <c r="BM139" s="560"/>
      <c r="BN139" s="560"/>
      <c r="BO139" s="560"/>
      <c r="BP139" s="560"/>
      <c r="BQ139" s="560"/>
      <c r="BR139" s="560"/>
      <c r="BS139" s="560"/>
      <c r="BT139" s="560"/>
      <c r="BU139" s="560"/>
      <c r="BV139" s="560"/>
      <c r="BW139" s="560"/>
      <c r="BX139" s="560"/>
      <c r="BY139" s="560"/>
      <c r="BZ139" s="560"/>
      <c r="CA139" s="560"/>
      <c r="CB139" s="560"/>
      <c r="CC139" s="560"/>
    </row>
    <row r="140" spans="1:81" ht="18.75">
      <c r="A140" s="792" t="s">
        <v>162</v>
      </c>
      <c r="B140" s="792"/>
      <c r="C140" s="792"/>
      <c r="D140" s="792"/>
      <c r="E140" s="613"/>
      <c r="F140" s="613"/>
      <c r="G140" s="613"/>
      <c r="H140" s="613"/>
      <c r="I140" s="613"/>
      <c r="J140" s="613"/>
      <c r="K140" s="613"/>
      <c r="L140" s="613"/>
      <c r="M140" s="613"/>
      <c r="N140" s="613"/>
      <c r="O140" s="614"/>
      <c r="P140" s="614"/>
      <c r="Q140" s="614"/>
      <c r="R140" s="613"/>
      <c r="S140" s="613"/>
      <c r="T140" s="613"/>
      <c r="U140" s="613"/>
      <c r="V140" s="613"/>
      <c r="W140" s="613"/>
      <c r="X140" s="613"/>
      <c r="Y140" s="613"/>
      <c r="Z140" s="613"/>
      <c r="AA140" s="613"/>
      <c r="AB140" s="613"/>
      <c r="AC140" s="613"/>
      <c r="AD140" s="613"/>
      <c r="AE140" s="614"/>
      <c r="AF140" s="614"/>
      <c r="AG140" s="614"/>
      <c r="AH140" s="614"/>
      <c r="AI140" s="614"/>
      <c r="AJ140" s="614"/>
      <c r="AK140" s="614"/>
      <c r="AL140" s="613"/>
      <c r="AM140" s="613"/>
      <c r="AN140" s="614"/>
      <c r="AO140" s="614"/>
      <c r="AP140" s="613"/>
      <c r="AQ140" s="613"/>
      <c r="AR140" s="613"/>
      <c r="AS140" s="613"/>
      <c r="AT140" s="613"/>
      <c r="AU140" s="613"/>
      <c r="AV140" s="613"/>
      <c r="AW140" s="613"/>
      <c r="AX140" s="613"/>
      <c r="AY140" s="613"/>
      <c r="AZ140" s="89"/>
      <c r="BA140" s="613"/>
      <c r="BB140" s="613"/>
      <c r="BC140" s="614"/>
      <c r="BD140" s="613"/>
      <c r="BE140" s="613"/>
      <c r="BF140" s="613"/>
      <c r="BG140" s="613"/>
      <c r="BH140" s="613"/>
      <c r="BI140" s="613"/>
      <c r="BJ140" s="614"/>
      <c r="BK140" s="613"/>
      <c r="BL140" s="613"/>
      <c r="BM140" s="613"/>
      <c r="BN140" s="613"/>
      <c r="BO140" s="613"/>
      <c r="BP140" s="613"/>
      <c r="BQ140" s="613"/>
      <c r="BR140" s="613"/>
      <c r="BS140" s="613"/>
      <c r="BT140" s="613"/>
      <c r="BU140" s="613"/>
      <c r="BV140" s="613"/>
      <c r="BW140" s="613"/>
      <c r="BX140" s="613"/>
      <c r="BY140" s="613"/>
      <c r="BZ140" s="613"/>
      <c r="CA140" s="613"/>
      <c r="CB140" s="613"/>
      <c r="CC140" s="560"/>
    </row>
    <row r="141" spans="1:81">
      <c r="A141" s="560"/>
      <c r="B141" s="560"/>
      <c r="C141" s="559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59"/>
      <c r="P141" s="559"/>
      <c r="Q141" s="559"/>
      <c r="R141" s="560"/>
      <c r="S141" s="560"/>
      <c r="T141" s="560"/>
      <c r="U141" s="560"/>
      <c r="V141" s="560"/>
      <c r="W141" s="560"/>
      <c r="X141" s="560"/>
      <c r="Y141" s="560"/>
      <c r="Z141" s="560"/>
      <c r="AA141" s="560"/>
      <c r="AB141" s="560"/>
      <c r="AC141" s="560"/>
      <c r="AD141" s="560"/>
      <c r="AE141" s="559"/>
      <c r="AF141" s="559"/>
      <c r="AG141" s="559"/>
      <c r="AH141" s="559"/>
      <c r="AI141" s="559"/>
      <c r="AJ141" s="559"/>
      <c r="AK141" s="559"/>
      <c r="AL141" s="560"/>
      <c r="AM141" s="560"/>
      <c r="AN141" s="559"/>
      <c r="AO141" s="559"/>
      <c r="AP141" s="560"/>
      <c r="AQ141" s="560"/>
      <c r="AR141" s="560"/>
      <c r="AS141" s="560"/>
      <c r="AT141" s="560"/>
      <c r="AU141" s="560"/>
      <c r="AV141" s="560"/>
      <c r="AW141" s="560"/>
      <c r="AX141" s="560"/>
      <c r="AY141" s="560"/>
      <c r="BA141" s="560"/>
      <c r="BB141" s="560"/>
      <c r="BC141" s="559"/>
      <c r="BD141" s="560"/>
      <c r="BE141" s="560"/>
      <c r="BF141" s="560"/>
      <c r="BG141" s="560"/>
      <c r="BH141" s="560"/>
      <c r="BI141" s="560"/>
      <c r="BJ141" s="559"/>
      <c r="BK141" s="560"/>
      <c r="BL141" s="560"/>
      <c r="BM141" s="560"/>
      <c r="BN141" s="560"/>
      <c r="BO141" s="560"/>
      <c r="BP141" s="560"/>
      <c r="BQ141" s="560"/>
      <c r="BR141" s="560"/>
      <c r="BS141" s="560"/>
      <c r="BT141" s="560"/>
      <c r="BU141" s="560"/>
      <c r="BV141" s="560"/>
      <c r="BW141" s="560"/>
      <c r="BX141" s="560"/>
      <c r="BY141" s="560"/>
      <c r="BZ141" s="560"/>
      <c r="CA141" s="560"/>
      <c r="CB141" s="560"/>
      <c r="CC141" s="560"/>
    </row>
    <row r="142" spans="1:81">
      <c r="A142" s="565" t="s">
        <v>134</v>
      </c>
      <c r="B142" s="566" t="s">
        <v>124</v>
      </c>
      <c r="C142" s="567" t="s">
        <v>119</v>
      </c>
      <c r="D142" s="568" t="s">
        <v>111</v>
      </c>
      <c r="E142" s="569"/>
      <c r="F142" s="569"/>
      <c r="G142" s="570"/>
      <c r="H142" s="566" t="s">
        <v>124</v>
      </c>
      <c r="I142" s="568" t="s">
        <v>119</v>
      </c>
      <c r="J142" s="568" t="s">
        <v>111</v>
      </c>
      <c r="K142" s="569"/>
      <c r="L142" s="569"/>
      <c r="M142" s="571" t="s">
        <v>124</v>
      </c>
      <c r="N142" s="568" t="s">
        <v>119</v>
      </c>
      <c r="O142" s="567" t="s">
        <v>111</v>
      </c>
      <c r="P142" s="562"/>
      <c r="Q142" s="562"/>
      <c r="R142" s="571" t="s">
        <v>124</v>
      </c>
      <c r="S142" s="568" t="s">
        <v>119</v>
      </c>
      <c r="T142" s="568" t="s">
        <v>111</v>
      </c>
      <c r="U142" s="569"/>
      <c r="V142" s="569"/>
      <c r="W142" s="565" t="s">
        <v>133</v>
      </c>
      <c r="X142" s="571" t="s">
        <v>124</v>
      </c>
      <c r="Y142" s="568" t="s">
        <v>119</v>
      </c>
      <c r="Z142" s="568" t="s">
        <v>111</v>
      </c>
      <c r="AA142" s="569"/>
      <c r="AB142" s="569"/>
      <c r="AC142" s="665"/>
      <c r="AD142" s="570"/>
      <c r="AE142" s="566" t="s">
        <v>124</v>
      </c>
      <c r="AF142" s="568" t="s">
        <v>119</v>
      </c>
      <c r="AG142" s="568" t="s">
        <v>111</v>
      </c>
      <c r="AH142" s="665"/>
      <c r="AI142" s="665"/>
      <c r="AJ142" s="665"/>
      <c r="AK142" s="570"/>
      <c r="AL142" s="571" t="s">
        <v>124</v>
      </c>
      <c r="AM142" s="568" t="s">
        <v>119</v>
      </c>
      <c r="AN142" s="568" t="s">
        <v>111</v>
      </c>
      <c r="AO142" s="665"/>
      <c r="AP142" s="569"/>
      <c r="AQ142" s="569"/>
      <c r="AR142" s="700"/>
      <c r="AS142" s="571" t="s">
        <v>124</v>
      </c>
      <c r="AT142" s="568" t="s">
        <v>119</v>
      </c>
      <c r="AU142" s="568" t="s">
        <v>111</v>
      </c>
      <c r="AV142" s="569"/>
      <c r="AW142" s="569"/>
      <c r="AX142" s="569"/>
      <c r="AY142" s="700"/>
      <c r="AZ142" s="447" t="s">
        <v>141</v>
      </c>
      <c r="BA142" s="566" t="s">
        <v>124</v>
      </c>
      <c r="BB142" s="568" t="s">
        <v>119</v>
      </c>
      <c r="BC142" s="568" t="s">
        <v>111</v>
      </c>
      <c r="BD142" s="569"/>
      <c r="BE142" s="569"/>
      <c r="BF142" s="569"/>
      <c r="BG142" s="665"/>
      <c r="BH142" s="566" t="s">
        <v>124</v>
      </c>
      <c r="BI142" s="567" t="s">
        <v>119</v>
      </c>
      <c r="BJ142" s="567" t="s">
        <v>111</v>
      </c>
      <c r="BK142" s="665"/>
      <c r="BL142" s="665"/>
      <c r="BM142" s="665"/>
      <c r="BN142" s="665"/>
      <c r="BO142" s="571" t="s">
        <v>124</v>
      </c>
      <c r="BP142" s="568" t="s">
        <v>119</v>
      </c>
      <c r="BQ142" s="568" t="s">
        <v>111</v>
      </c>
      <c r="BR142" s="560"/>
      <c r="BS142" s="665"/>
      <c r="BT142" s="569"/>
      <c r="BU142" s="569"/>
      <c r="BV142" s="672" t="s">
        <v>124</v>
      </c>
      <c r="BW142" s="567" t="s">
        <v>119</v>
      </c>
      <c r="BX142" s="567" t="s">
        <v>111</v>
      </c>
      <c r="BY142" s="559"/>
      <c r="BZ142" s="559"/>
      <c r="CA142" s="559"/>
      <c r="CB142" s="570"/>
      <c r="CC142" s="560"/>
    </row>
    <row r="143" spans="1:81">
      <c r="A143" s="565"/>
      <c r="B143" s="572" t="s">
        <v>63</v>
      </c>
      <c r="C143" s="573" t="s">
        <v>163</v>
      </c>
      <c r="D143" s="574" t="s">
        <v>112</v>
      </c>
      <c r="E143" s="569"/>
      <c r="F143" s="569"/>
      <c r="G143" s="570"/>
      <c r="H143" s="566" t="s">
        <v>63</v>
      </c>
      <c r="I143" s="573" t="s">
        <v>163</v>
      </c>
      <c r="J143" s="575" t="s">
        <v>114</v>
      </c>
      <c r="K143" s="569"/>
      <c r="L143" s="569"/>
      <c r="M143" s="571" t="s">
        <v>63</v>
      </c>
      <c r="N143" s="575" t="s">
        <v>164</v>
      </c>
      <c r="O143" s="615" t="s">
        <v>4</v>
      </c>
      <c r="P143" s="562"/>
      <c r="Q143" s="562"/>
      <c r="R143" s="571" t="s">
        <v>63</v>
      </c>
      <c r="S143" s="575" t="s">
        <v>164</v>
      </c>
      <c r="T143" s="575" t="s">
        <v>114</v>
      </c>
      <c r="U143" s="802"/>
      <c r="V143" s="802"/>
      <c r="W143" s="565"/>
      <c r="X143" s="578" t="s">
        <v>63</v>
      </c>
      <c r="Y143" s="575" t="s">
        <v>164</v>
      </c>
      <c r="Z143" s="574" t="s">
        <v>112</v>
      </c>
      <c r="AA143" s="569"/>
      <c r="AB143" s="569"/>
      <c r="AC143" s="665"/>
      <c r="AD143" s="570"/>
      <c r="AE143" s="566" t="s">
        <v>63</v>
      </c>
      <c r="AF143" s="575" t="s">
        <v>164</v>
      </c>
      <c r="AG143" s="575" t="s">
        <v>114</v>
      </c>
      <c r="AH143" s="665"/>
      <c r="AI143" s="677"/>
      <c r="AJ143" s="665"/>
      <c r="AK143" s="570"/>
      <c r="AL143" s="571" t="s">
        <v>63</v>
      </c>
      <c r="AM143" s="575" t="s">
        <v>11</v>
      </c>
      <c r="AN143" s="575" t="s">
        <v>112</v>
      </c>
      <c r="AO143" s="665"/>
      <c r="AP143" s="677"/>
      <c r="AQ143" s="569"/>
      <c r="AR143" s="700"/>
      <c r="AS143" s="571" t="s">
        <v>63</v>
      </c>
      <c r="AT143" s="575" t="s">
        <v>11</v>
      </c>
      <c r="AU143" s="705" t="s">
        <v>12</v>
      </c>
      <c r="AV143" s="802"/>
      <c r="AW143" s="802"/>
      <c r="AX143" s="569"/>
      <c r="AY143" s="700"/>
      <c r="AZ143" s="80"/>
      <c r="BA143" s="566" t="s">
        <v>63</v>
      </c>
      <c r="BB143" s="573" t="s">
        <v>163</v>
      </c>
      <c r="BC143" s="575" t="s">
        <v>112</v>
      </c>
      <c r="BD143" s="665"/>
      <c r="BE143" s="569"/>
      <c r="BF143" s="673"/>
      <c r="BG143" s="676"/>
      <c r="BH143" s="566" t="s">
        <v>63</v>
      </c>
      <c r="BI143" s="573" t="s">
        <v>163</v>
      </c>
      <c r="BJ143" s="615" t="s">
        <v>114</v>
      </c>
      <c r="BK143" s="665" t="s">
        <v>143</v>
      </c>
      <c r="BL143" s="665"/>
      <c r="BM143" s="665"/>
      <c r="BN143" s="665"/>
      <c r="BO143" s="571" t="s">
        <v>63</v>
      </c>
      <c r="BP143" s="575" t="s">
        <v>164</v>
      </c>
      <c r="BQ143" s="615" t="s">
        <v>4</v>
      </c>
      <c r="BR143" s="560"/>
      <c r="BS143" s="665"/>
      <c r="BT143" s="677"/>
      <c r="BU143" s="569"/>
      <c r="BV143" s="672" t="s">
        <v>63</v>
      </c>
      <c r="BW143" s="575" t="s">
        <v>164</v>
      </c>
      <c r="BX143" s="615" t="s">
        <v>114</v>
      </c>
      <c r="BY143" s="806"/>
      <c r="BZ143" s="806"/>
      <c r="CA143" s="559"/>
      <c r="CB143" s="570"/>
      <c r="CC143" s="560"/>
    </row>
    <row r="144" spans="1:81" ht="63">
      <c r="A144" s="564"/>
      <c r="B144" s="579" t="s">
        <v>122</v>
      </c>
      <c r="C144" s="580" t="s">
        <v>121</v>
      </c>
      <c r="D144" s="581" t="s">
        <v>125</v>
      </c>
      <c r="E144" s="796" t="s">
        <v>1017</v>
      </c>
      <c r="F144" s="796"/>
      <c r="G144" s="797"/>
      <c r="H144" s="582" t="s">
        <v>121</v>
      </c>
      <c r="I144" s="581" t="s">
        <v>125</v>
      </c>
      <c r="J144" s="796" t="s">
        <v>1017</v>
      </c>
      <c r="K144" s="796"/>
      <c r="L144" s="797"/>
      <c r="M144" s="582" t="s">
        <v>121</v>
      </c>
      <c r="N144" s="581" t="s">
        <v>125</v>
      </c>
      <c r="O144" s="796" t="s">
        <v>1017</v>
      </c>
      <c r="P144" s="796"/>
      <c r="Q144" s="797"/>
      <c r="R144" s="582" t="s">
        <v>121</v>
      </c>
      <c r="S144" s="581" t="s">
        <v>125</v>
      </c>
      <c r="T144" s="796" t="s">
        <v>1017</v>
      </c>
      <c r="U144" s="796"/>
      <c r="V144" s="797"/>
      <c r="W144" s="564"/>
      <c r="X144" s="582" t="s">
        <v>121</v>
      </c>
      <c r="Y144" s="584" t="s">
        <v>126</v>
      </c>
      <c r="Z144" s="583" t="s">
        <v>127</v>
      </c>
      <c r="AA144" s="583" t="s">
        <v>128</v>
      </c>
      <c r="AB144" s="694" t="s">
        <v>129</v>
      </c>
      <c r="AC144" s="583" t="s">
        <v>130</v>
      </c>
      <c r="AD144" s="701" t="s">
        <v>131</v>
      </c>
      <c r="AE144" s="582" t="s">
        <v>121</v>
      </c>
      <c r="AF144" s="694" t="s">
        <v>126</v>
      </c>
      <c r="AG144" s="583" t="s">
        <v>127</v>
      </c>
      <c r="AH144" s="583" t="s">
        <v>128</v>
      </c>
      <c r="AI144" s="694" t="s">
        <v>129</v>
      </c>
      <c r="AJ144" s="583" t="s">
        <v>130</v>
      </c>
      <c r="AK144" s="701" t="s">
        <v>131</v>
      </c>
      <c r="AL144" s="582" t="s">
        <v>121</v>
      </c>
      <c r="AM144" s="694" t="s">
        <v>126</v>
      </c>
      <c r="AN144" s="583" t="s">
        <v>127</v>
      </c>
      <c r="AO144" s="583" t="s">
        <v>128</v>
      </c>
      <c r="AP144" s="694" t="s">
        <v>129</v>
      </c>
      <c r="AQ144" s="583" t="s">
        <v>130</v>
      </c>
      <c r="AR144" s="696" t="s">
        <v>131</v>
      </c>
      <c r="AS144" s="582" t="s">
        <v>121</v>
      </c>
      <c r="AT144" s="694" t="s">
        <v>126</v>
      </c>
      <c r="AU144" s="695" t="s">
        <v>127</v>
      </c>
      <c r="AV144" s="695" t="s">
        <v>128</v>
      </c>
      <c r="AW144" s="694" t="s">
        <v>129</v>
      </c>
      <c r="AX144" s="583" t="s">
        <v>130</v>
      </c>
      <c r="AY144" s="696" t="s">
        <v>131</v>
      </c>
      <c r="AZ144" s="75"/>
      <c r="BA144" s="648" t="s">
        <v>121</v>
      </c>
      <c r="BB144" s="583" t="s">
        <v>143</v>
      </c>
      <c r="BC144" s="583" t="s">
        <v>888</v>
      </c>
      <c r="BD144" s="583" t="s">
        <v>1045</v>
      </c>
      <c r="BE144" s="583" t="s">
        <v>1044</v>
      </c>
      <c r="BF144" s="666" t="s">
        <v>1051</v>
      </c>
      <c r="BG144" s="666" t="s">
        <v>1052</v>
      </c>
      <c r="BH144" s="648" t="s">
        <v>121</v>
      </c>
      <c r="BI144" s="583" t="s">
        <v>143</v>
      </c>
      <c r="BJ144" s="583" t="s">
        <v>888</v>
      </c>
      <c r="BK144" s="583" t="s">
        <v>1045</v>
      </c>
      <c r="BL144" s="583" t="s">
        <v>1044</v>
      </c>
      <c r="BM144" s="666" t="s">
        <v>1051</v>
      </c>
      <c r="BN144" s="666" t="s">
        <v>1052</v>
      </c>
      <c r="BO144" s="648" t="s">
        <v>121</v>
      </c>
      <c r="BP144" s="583" t="s">
        <v>143</v>
      </c>
      <c r="BQ144" s="583" t="s">
        <v>888</v>
      </c>
      <c r="BR144" s="583" t="s">
        <v>1045</v>
      </c>
      <c r="BS144" s="583" t="s">
        <v>1044</v>
      </c>
      <c r="BT144" s="666" t="s">
        <v>1051</v>
      </c>
      <c r="BU144" s="666" t="s">
        <v>1052</v>
      </c>
      <c r="BV144" s="648" t="s">
        <v>121</v>
      </c>
      <c r="BW144" s="583" t="s">
        <v>143</v>
      </c>
      <c r="BX144" s="583" t="s">
        <v>888</v>
      </c>
      <c r="BY144" s="583" t="s">
        <v>1045</v>
      </c>
      <c r="BZ144" s="583" t="s">
        <v>1044</v>
      </c>
      <c r="CA144" s="666" t="s">
        <v>1051</v>
      </c>
      <c r="CB144" s="666" t="s">
        <v>1052</v>
      </c>
      <c r="CC144" s="560"/>
    </row>
    <row r="145" spans="1:81" ht="15.75">
      <c r="A145" s="564"/>
      <c r="B145" s="585" t="s">
        <v>120</v>
      </c>
      <c r="C145" s="617">
        <v>0</v>
      </c>
      <c r="D145" s="612">
        <v>442.9</v>
      </c>
      <c r="E145" s="27">
        <v>0</v>
      </c>
      <c r="F145" s="27">
        <v>0</v>
      </c>
      <c r="G145" s="27">
        <v>0</v>
      </c>
      <c r="H145" s="591">
        <v>0</v>
      </c>
      <c r="I145" s="612">
        <v>456.05</v>
      </c>
      <c r="J145" s="27">
        <v>0</v>
      </c>
      <c r="K145" s="27">
        <v>0</v>
      </c>
      <c r="L145" s="617">
        <v>0</v>
      </c>
      <c r="M145" s="591">
        <v>0</v>
      </c>
      <c r="N145" s="559">
        <v>449.66</v>
      </c>
      <c r="O145" s="27">
        <v>0</v>
      </c>
      <c r="P145" s="27">
        <v>0</v>
      </c>
      <c r="Q145" s="617">
        <v>0</v>
      </c>
      <c r="R145" s="591">
        <v>0</v>
      </c>
      <c r="S145" s="559">
        <v>472.71</v>
      </c>
      <c r="T145" s="617">
        <v>0</v>
      </c>
      <c r="U145" s="617">
        <v>0</v>
      </c>
      <c r="V145" s="617">
        <v>0</v>
      </c>
      <c r="W145" s="564"/>
      <c r="X145" s="591">
        <v>0</v>
      </c>
      <c r="Y145" s="592">
        <f t="shared" ref="Y145:Y160" si="125">AVERAGE(E145:G145)/10</f>
        <v>0</v>
      </c>
      <c r="Z145" s="593">
        <v>9.6440000000000001</v>
      </c>
      <c r="AA145" s="593">
        <v>4.5170000000000003</v>
      </c>
      <c r="AB145" s="593">
        <f t="shared" ref="AB145:AB160" si="126">Z145-(AA145+Y145)</f>
        <v>5.1269999999999998</v>
      </c>
      <c r="AC145" s="593">
        <f t="shared" ref="AC145:AC160" si="127">3*Z145+AA145+Y145</f>
        <v>33.449000000000005</v>
      </c>
      <c r="AD145" s="653">
        <f t="shared" ref="AD145:AD160" si="128">1.398*(10^-6)*(X145^2)*AB145*AC145</f>
        <v>0</v>
      </c>
      <c r="AE145" s="591">
        <v>0</v>
      </c>
      <c r="AF145" s="595">
        <f t="shared" ref="AF145:AF160" si="129">AVERAGE(J145:L145)/10</f>
        <v>0</v>
      </c>
      <c r="AG145" s="593">
        <v>9.6440000000000001</v>
      </c>
      <c r="AH145" s="593">
        <v>4.5170000000000003</v>
      </c>
      <c r="AI145" s="593">
        <f t="shared" ref="AI145:AI160" si="130">AG145-(AH145+AF145)</f>
        <v>5.1269999999999998</v>
      </c>
      <c r="AJ145" s="593">
        <f t="shared" ref="AJ145:AJ160" si="131">3*AG145+AH145+AF145</f>
        <v>33.449000000000005</v>
      </c>
      <c r="AK145" s="653">
        <f t="shared" ref="AK145:AK160" si="132">1.398*(10^-6)*(AE145^2)*AI145*AJ145</f>
        <v>0</v>
      </c>
      <c r="AL145" s="591">
        <v>0</v>
      </c>
      <c r="AM145" s="595">
        <f t="shared" ref="AM145:AM160" si="133">AVERAGE(O145:Q145)/10</f>
        <v>0</v>
      </c>
      <c r="AN145" s="593">
        <v>9.6440000000000001</v>
      </c>
      <c r="AO145" s="593">
        <v>4.5170000000000003</v>
      </c>
      <c r="AP145" s="593">
        <f t="shared" ref="AP145:AP160" si="134">AN145-(AO145+AM145)</f>
        <v>5.1269999999999998</v>
      </c>
      <c r="AQ145" s="593">
        <f t="shared" ref="AQ145:AQ160" si="135">3*AN145+AO145+AM145</f>
        <v>33.449000000000005</v>
      </c>
      <c r="AR145" s="698">
        <f t="shared" ref="AR145:AR160" si="136">1.398*(10^-6)*(AL145^2)*AP145*AQ145</f>
        <v>0</v>
      </c>
      <c r="AS145" s="591">
        <v>0</v>
      </c>
      <c r="AT145" s="595">
        <f t="shared" ref="AT145:AT160" si="137">AVERAGE(T145:V145)/10</f>
        <v>0</v>
      </c>
      <c r="AU145" s="593">
        <v>9.6440000000000001</v>
      </c>
      <c r="AV145" s="593">
        <v>4.5170000000000003</v>
      </c>
      <c r="AW145" s="593">
        <f t="shared" ref="AW145:AW160" si="138">AU145-(AV145+AT145)</f>
        <v>5.1269999999999998</v>
      </c>
      <c r="AX145" s="593">
        <f t="shared" ref="AX145:AX160" si="139">3*AU145+AV145+AT145</f>
        <v>33.449000000000005</v>
      </c>
      <c r="AY145" s="698">
        <f t="shared" ref="AY145:AY160" si="140">1.398*(10^-6)*(AS145^2)*AW145*AX145</f>
        <v>0</v>
      </c>
      <c r="AZ145" s="75"/>
      <c r="BA145" s="591">
        <v>0</v>
      </c>
      <c r="BB145" s="593">
        <v>103.50685607036536</v>
      </c>
      <c r="BC145" s="667">
        <f>(BB163-BB164)/BB145</f>
        <v>1.0208019450245007</v>
      </c>
      <c r="BD145" s="714">
        <f>D145-BB161</f>
        <v>49.699999999999932</v>
      </c>
      <c r="BE145" s="667">
        <f>BB163-BB164</f>
        <v>105.66000000000001</v>
      </c>
      <c r="BF145" s="667">
        <f t="shared" ref="BF145:BF160" si="141">BD145/BE145*100</f>
        <v>47.037667991671327</v>
      </c>
      <c r="BG145" s="668">
        <f t="shared" ref="BG145:BG160" si="142">BF145*BC145</f>
        <v>48.016142975314793</v>
      </c>
      <c r="BH145" s="591">
        <v>0</v>
      </c>
      <c r="BI145" s="593">
        <v>103.50685607036536</v>
      </c>
      <c r="BJ145" s="667">
        <f>(BI163-BI164)/BI145</f>
        <v>1.2603029881548942</v>
      </c>
      <c r="BK145" s="714">
        <f>I145-BI161</f>
        <v>38.46999999999997</v>
      </c>
      <c r="BL145" s="667">
        <f>BI163-BI164</f>
        <v>130.45000000000002</v>
      </c>
      <c r="BM145" s="667">
        <f t="shared" ref="BM145:BM160" si="143">BK145/BL145*100</f>
        <v>29.49022614028361</v>
      </c>
      <c r="BN145" s="668">
        <f t="shared" ref="BN145:BN160" si="144">BM145*BJ145</f>
        <v>37.166620125963007</v>
      </c>
      <c r="BO145" s="591">
        <v>0</v>
      </c>
      <c r="BP145" s="679">
        <v>103.50685607036536</v>
      </c>
      <c r="BQ145" s="667">
        <f>(BP163-BP164)/BP145</f>
        <v>1.1491026248458651</v>
      </c>
      <c r="BR145" s="714">
        <f>N145-BP161</f>
        <v>43.840000000000032</v>
      </c>
      <c r="BS145" s="667">
        <f>BP163-BP164</f>
        <v>118.94</v>
      </c>
      <c r="BT145" s="667">
        <f t="shared" ref="BT145:BT160" si="145">BR145/BS145*100</f>
        <v>36.858920464099576</v>
      </c>
      <c r="BU145" s="710">
        <f t="shared" ref="BU145:BU160" si="146">BT145*BQ145</f>
        <v>42.354682254281798</v>
      </c>
      <c r="BV145" s="591">
        <v>0</v>
      </c>
      <c r="BW145" s="593">
        <v>103.50685607036536</v>
      </c>
      <c r="BX145" s="667">
        <f>(BW163-BW164)/BW145</f>
        <v>1.4685017569915209</v>
      </c>
      <c r="BY145" s="714">
        <f>S145-BW161</f>
        <v>33.909999999999968</v>
      </c>
      <c r="BZ145" s="667">
        <f>BW163-BW164</f>
        <v>152</v>
      </c>
      <c r="CA145" s="667">
        <f t="shared" ref="CA145:CA160" si="147">BY145/BZ145*100</f>
        <v>22.309210526315766</v>
      </c>
      <c r="CB145" s="668">
        <f t="shared" ref="CB145:CB160" si="148">CA145*BX145</f>
        <v>32.761114854988435</v>
      </c>
      <c r="CC145" s="560"/>
    </row>
    <row r="146" spans="1:81" ht="15.75">
      <c r="A146" s="564"/>
      <c r="B146" s="585" t="s">
        <v>116</v>
      </c>
      <c r="C146" s="617">
        <v>300</v>
      </c>
      <c r="D146" s="559">
        <v>433.22</v>
      </c>
      <c r="E146" s="595">
        <v>1.31</v>
      </c>
      <c r="F146" s="595">
        <v>1.24</v>
      </c>
      <c r="G146" s="595">
        <v>1.01</v>
      </c>
      <c r="H146" s="591">
        <v>300</v>
      </c>
      <c r="I146" s="559">
        <v>455.86</v>
      </c>
      <c r="J146" s="27">
        <v>0</v>
      </c>
      <c r="K146" s="27">
        <v>0</v>
      </c>
      <c r="L146" s="617">
        <v>0</v>
      </c>
      <c r="M146" s="591">
        <v>300</v>
      </c>
      <c r="N146" s="559">
        <v>444.13</v>
      </c>
      <c r="O146" s="27">
        <v>3.46</v>
      </c>
      <c r="P146" s="27">
        <v>3.43</v>
      </c>
      <c r="Q146" s="617">
        <v>4.0199999999999996</v>
      </c>
      <c r="R146" s="591">
        <v>300</v>
      </c>
      <c r="S146" s="559">
        <v>472.71</v>
      </c>
      <c r="T146" s="27">
        <v>0</v>
      </c>
      <c r="U146" s="27">
        <v>0</v>
      </c>
      <c r="V146" s="617">
        <v>0</v>
      </c>
      <c r="W146" s="564"/>
      <c r="X146" s="591">
        <v>300</v>
      </c>
      <c r="Y146" s="592">
        <f t="shared" si="125"/>
        <v>0.11866666666666666</v>
      </c>
      <c r="Z146" s="593">
        <v>9.6440000000000001</v>
      </c>
      <c r="AA146" s="593">
        <v>4.5170000000000003</v>
      </c>
      <c r="AB146" s="593">
        <f t="shared" si="126"/>
        <v>5.0083333333333329</v>
      </c>
      <c r="AC146" s="593">
        <f t="shared" si="127"/>
        <v>33.567666666666675</v>
      </c>
      <c r="AD146" s="653">
        <f t="shared" si="128"/>
        <v>21.1526147985</v>
      </c>
      <c r="AE146" s="591">
        <v>300</v>
      </c>
      <c r="AF146" s="595">
        <f t="shared" si="129"/>
        <v>0</v>
      </c>
      <c r="AG146" s="593">
        <v>9.6440000000000001</v>
      </c>
      <c r="AH146" s="593">
        <v>4.5170000000000003</v>
      </c>
      <c r="AI146" s="593">
        <f t="shared" si="130"/>
        <v>5.1269999999999998</v>
      </c>
      <c r="AJ146" s="593">
        <f t="shared" si="131"/>
        <v>33.449000000000005</v>
      </c>
      <c r="AK146" s="653">
        <f t="shared" si="132"/>
        <v>21.577252153859998</v>
      </c>
      <c r="AL146" s="591">
        <v>300</v>
      </c>
      <c r="AM146" s="595">
        <f t="shared" si="133"/>
        <v>0.36366666666666669</v>
      </c>
      <c r="AN146" s="593">
        <v>9.6440000000000001</v>
      </c>
      <c r="AO146" s="593">
        <v>4.5170000000000003</v>
      </c>
      <c r="AP146" s="593">
        <f t="shared" si="134"/>
        <v>4.7633333333333328</v>
      </c>
      <c r="AQ146" s="593">
        <f t="shared" si="135"/>
        <v>33.812666666666672</v>
      </c>
      <c r="AR146" s="698">
        <f t="shared" si="136"/>
        <v>20.264695299599996</v>
      </c>
      <c r="AS146" s="591">
        <v>300</v>
      </c>
      <c r="AT146" s="595">
        <f t="shared" si="137"/>
        <v>0</v>
      </c>
      <c r="AU146" s="593">
        <v>9.6440000000000001</v>
      </c>
      <c r="AV146" s="593">
        <v>4.5170000000000003</v>
      </c>
      <c r="AW146" s="593">
        <f t="shared" si="138"/>
        <v>5.1269999999999998</v>
      </c>
      <c r="AX146" s="593">
        <f t="shared" si="139"/>
        <v>33.449000000000005</v>
      </c>
      <c r="AY146" s="698">
        <f t="shared" si="140"/>
        <v>21.577252153859998</v>
      </c>
      <c r="AZ146" s="75"/>
      <c r="BA146" s="591">
        <v>300</v>
      </c>
      <c r="BB146" s="593">
        <v>103.50685607036536</v>
      </c>
      <c r="BC146" s="667">
        <f>(BB163-BB164)/BB145</f>
        <v>1.0208019450245007</v>
      </c>
      <c r="BD146" s="714">
        <f>D146-BB161</f>
        <v>40.019999999999982</v>
      </c>
      <c r="BE146" s="667">
        <f>BB163-BB164</f>
        <v>105.66000000000001</v>
      </c>
      <c r="BF146" s="667">
        <f t="shared" si="141"/>
        <v>37.876206700738194</v>
      </c>
      <c r="BG146" s="668">
        <f t="shared" si="142"/>
        <v>38.664105470263578</v>
      </c>
      <c r="BH146" s="591">
        <v>300</v>
      </c>
      <c r="BI146" s="593">
        <v>103.50685607036536</v>
      </c>
      <c r="BJ146" s="667">
        <f>(BI163-BI164)/BI145</f>
        <v>1.2603029881548942</v>
      </c>
      <c r="BK146" s="714">
        <f>I146-BI161</f>
        <v>38.279999999999973</v>
      </c>
      <c r="BL146" s="667">
        <f>BI163-BI164</f>
        <v>130.45000000000002</v>
      </c>
      <c r="BM146" s="667">
        <f t="shared" si="143"/>
        <v>29.34457646607893</v>
      </c>
      <c r="BN146" s="668">
        <f t="shared" si="144"/>
        <v>36.983057406339057</v>
      </c>
      <c r="BO146" s="591">
        <v>300</v>
      </c>
      <c r="BP146" s="679">
        <v>103.50685607036536</v>
      </c>
      <c r="BQ146" s="667">
        <f>(BP163-BP164)/BP145</f>
        <v>1.1491026248458651</v>
      </c>
      <c r="BR146" s="714">
        <f>N146-BP161</f>
        <v>38.31</v>
      </c>
      <c r="BS146" s="667">
        <f>BP163-BP164</f>
        <v>118.94</v>
      </c>
      <c r="BT146" s="667">
        <f t="shared" si="145"/>
        <v>32.209517403732981</v>
      </c>
      <c r="BU146" s="710">
        <f t="shared" si="146"/>
        <v>37.012040993648142</v>
      </c>
      <c r="BV146" s="591">
        <v>300</v>
      </c>
      <c r="BW146" s="593">
        <v>103.50685607036536</v>
      </c>
      <c r="BX146" s="667">
        <f>(BW163-BW164)/BW145</f>
        <v>1.4685017569915209</v>
      </c>
      <c r="BY146" s="714">
        <f>S146-BW161</f>
        <v>33.909999999999968</v>
      </c>
      <c r="BZ146" s="667">
        <f>BW163-BW164</f>
        <v>152</v>
      </c>
      <c r="CA146" s="667">
        <f t="shared" si="147"/>
        <v>22.309210526315766</v>
      </c>
      <c r="CB146" s="668">
        <f t="shared" si="148"/>
        <v>32.761114854988435</v>
      </c>
      <c r="CC146" s="560"/>
    </row>
    <row r="147" spans="1:81" ht="15.75">
      <c r="A147" s="564"/>
      <c r="B147" s="585" t="s">
        <v>116</v>
      </c>
      <c r="C147" s="617">
        <v>350</v>
      </c>
      <c r="D147" s="559">
        <v>429.6</v>
      </c>
      <c r="E147" s="595">
        <v>1.57</v>
      </c>
      <c r="F147" s="595">
        <v>1.75</v>
      </c>
      <c r="G147" s="595">
        <v>1.48</v>
      </c>
      <c r="H147" s="591">
        <v>350</v>
      </c>
      <c r="I147" s="559">
        <v>453.46</v>
      </c>
      <c r="J147" s="595">
        <v>2.17</v>
      </c>
      <c r="K147" s="595">
        <v>0.52</v>
      </c>
      <c r="L147" s="617">
        <v>0.8</v>
      </c>
      <c r="M147" s="591">
        <v>350</v>
      </c>
      <c r="N147" s="559">
        <v>441.35</v>
      </c>
      <c r="O147" s="617">
        <v>3.86</v>
      </c>
      <c r="P147" s="617">
        <v>4.03</v>
      </c>
      <c r="Q147" s="617">
        <v>4.8600000000000003</v>
      </c>
      <c r="R147" s="591">
        <v>350</v>
      </c>
      <c r="S147" s="559">
        <v>472.71</v>
      </c>
      <c r="T147" s="27">
        <v>0</v>
      </c>
      <c r="U147" s="27">
        <v>0</v>
      </c>
      <c r="V147" s="617">
        <v>0</v>
      </c>
      <c r="W147" s="564"/>
      <c r="X147" s="591">
        <v>350</v>
      </c>
      <c r="Y147" s="592">
        <f t="shared" si="125"/>
        <v>0.16000000000000003</v>
      </c>
      <c r="Z147" s="593">
        <v>9.6440000000000001</v>
      </c>
      <c r="AA147" s="593">
        <v>4.5170000000000003</v>
      </c>
      <c r="AB147" s="593">
        <f t="shared" si="126"/>
        <v>4.9669999999999996</v>
      </c>
      <c r="AC147" s="593">
        <f t="shared" si="127"/>
        <v>33.609000000000002</v>
      </c>
      <c r="AD147" s="653">
        <f t="shared" si="128"/>
        <v>28.588608068264996</v>
      </c>
      <c r="AE147" s="591">
        <v>350</v>
      </c>
      <c r="AF147" s="595">
        <f t="shared" si="129"/>
        <v>0.11633333333333333</v>
      </c>
      <c r="AG147" s="593">
        <v>9.6440000000000001</v>
      </c>
      <c r="AH147" s="593">
        <v>4.5170000000000003</v>
      </c>
      <c r="AI147" s="593">
        <f t="shared" si="130"/>
        <v>5.0106666666666664</v>
      </c>
      <c r="AJ147" s="593">
        <f t="shared" si="131"/>
        <v>33.565333333333335</v>
      </c>
      <c r="AK147" s="653">
        <f t="shared" si="132"/>
        <v>28.80247026570666</v>
      </c>
      <c r="AL147" s="591">
        <v>350</v>
      </c>
      <c r="AM147" s="595">
        <f t="shared" si="133"/>
        <v>0.42499999999999999</v>
      </c>
      <c r="AN147" s="593">
        <v>9.6440000000000001</v>
      </c>
      <c r="AO147" s="593">
        <v>4.5170000000000003</v>
      </c>
      <c r="AP147" s="593">
        <f t="shared" si="134"/>
        <v>4.702</v>
      </c>
      <c r="AQ147" s="593">
        <f t="shared" si="135"/>
        <v>33.874000000000002</v>
      </c>
      <c r="AR147" s="698">
        <f t="shared" si="136"/>
        <v>27.276733972739997</v>
      </c>
      <c r="AS147" s="591">
        <v>350</v>
      </c>
      <c r="AT147" s="595">
        <f t="shared" si="137"/>
        <v>0</v>
      </c>
      <c r="AU147" s="593">
        <v>9.6440000000000001</v>
      </c>
      <c r="AV147" s="593">
        <v>4.5170000000000003</v>
      </c>
      <c r="AW147" s="593">
        <f t="shared" si="138"/>
        <v>5.1269999999999998</v>
      </c>
      <c r="AX147" s="593">
        <f t="shared" si="139"/>
        <v>33.449000000000005</v>
      </c>
      <c r="AY147" s="698">
        <f t="shared" si="140"/>
        <v>29.369037653864996</v>
      </c>
      <c r="AZ147" s="75"/>
      <c r="BA147" s="591">
        <v>350</v>
      </c>
      <c r="BB147" s="593">
        <v>103.50685607036536</v>
      </c>
      <c r="BC147" s="667">
        <f>(BB163-BB164)/BB145</f>
        <v>1.0208019450245007</v>
      </c>
      <c r="BD147" s="714">
        <f>D147-BB161</f>
        <v>36.399999999999977</v>
      </c>
      <c r="BE147" s="667">
        <f>BB163-BB164</f>
        <v>105.66000000000001</v>
      </c>
      <c r="BF147" s="667">
        <f t="shared" si="141"/>
        <v>34.450123036153677</v>
      </c>
      <c r="BG147" s="668">
        <f t="shared" si="142"/>
        <v>35.166752601639033</v>
      </c>
      <c r="BH147" s="591">
        <v>350</v>
      </c>
      <c r="BI147" s="593">
        <v>103.50685607036536</v>
      </c>
      <c r="BJ147" s="667">
        <f>(BI163-BI164)/BI145</f>
        <v>1.2603029881548942</v>
      </c>
      <c r="BK147" s="714">
        <f>I147-BI161</f>
        <v>35.879999999999939</v>
      </c>
      <c r="BL147" s="667">
        <f>BI163-BI164</f>
        <v>130.45000000000002</v>
      </c>
      <c r="BM147" s="667">
        <f t="shared" si="143"/>
        <v>27.504791107704051</v>
      </c>
      <c r="BN147" s="668">
        <f t="shared" si="144"/>
        <v>34.66437042161558</v>
      </c>
      <c r="BO147" s="591">
        <v>350</v>
      </c>
      <c r="BP147" s="679">
        <v>103.50685607036536</v>
      </c>
      <c r="BQ147" s="667">
        <f>(BP163-BP164)/BP145</f>
        <v>1.1491026248458651</v>
      </c>
      <c r="BR147" s="714">
        <f>N147-BP161</f>
        <v>35.53000000000003</v>
      </c>
      <c r="BS147" s="667">
        <f>BP163-BP164</f>
        <v>118.94</v>
      </c>
      <c r="BT147" s="667">
        <f t="shared" si="145"/>
        <v>29.872204472843478</v>
      </c>
      <c r="BU147" s="710">
        <f t="shared" si="146"/>
        <v>34.326228569676836</v>
      </c>
      <c r="BV147" s="591">
        <v>350</v>
      </c>
      <c r="BW147" s="593">
        <v>103.50685607036536</v>
      </c>
      <c r="BX147" s="667">
        <f>(BW163-BW164)/BW145</f>
        <v>1.4685017569915209</v>
      </c>
      <c r="BY147" s="714">
        <f>S147-BW161</f>
        <v>33.909999999999968</v>
      </c>
      <c r="BZ147" s="667">
        <f>BW163-BW164</f>
        <v>152</v>
      </c>
      <c r="CA147" s="667">
        <f t="shared" si="147"/>
        <v>22.309210526315766</v>
      </c>
      <c r="CB147" s="668">
        <f t="shared" si="148"/>
        <v>32.761114854988435</v>
      </c>
      <c r="CC147" s="560"/>
    </row>
    <row r="148" spans="1:81" ht="15.75">
      <c r="A148" s="564"/>
      <c r="B148" s="585" t="s">
        <v>116</v>
      </c>
      <c r="C148" s="621">
        <v>450</v>
      </c>
      <c r="D148" s="638">
        <v>427.69</v>
      </c>
      <c r="E148" s="595">
        <v>2.02</v>
      </c>
      <c r="F148" s="595">
        <v>1.72</v>
      </c>
      <c r="G148" s="595">
        <v>1.77</v>
      </c>
      <c r="H148" s="598">
        <v>450</v>
      </c>
      <c r="I148" s="612">
        <v>449.61</v>
      </c>
      <c r="J148" s="595">
        <v>2.5</v>
      </c>
      <c r="K148" s="595">
        <v>1.17</v>
      </c>
      <c r="L148" s="617">
        <v>1.54</v>
      </c>
      <c r="M148" s="598">
        <v>450</v>
      </c>
      <c r="N148" s="559">
        <v>438.89</v>
      </c>
      <c r="O148" s="617">
        <v>4.7</v>
      </c>
      <c r="P148" s="617">
        <v>4.2300000000000004</v>
      </c>
      <c r="Q148" s="617">
        <v>5.7</v>
      </c>
      <c r="R148" s="598">
        <v>450</v>
      </c>
      <c r="S148" s="559">
        <v>472.3</v>
      </c>
      <c r="T148" s="617">
        <v>0.67</v>
      </c>
      <c r="U148" s="617">
        <v>0.96</v>
      </c>
      <c r="V148" s="617">
        <v>1.08</v>
      </c>
      <c r="W148" s="564"/>
      <c r="X148" s="598">
        <v>450</v>
      </c>
      <c r="Y148" s="592">
        <f t="shared" si="125"/>
        <v>0.18366666666666667</v>
      </c>
      <c r="Z148" s="593">
        <v>9.6440000000000001</v>
      </c>
      <c r="AA148" s="593">
        <v>4.5170000000000003</v>
      </c>
      <c r="AB148" s="593">
        <f t="shared" si="126"/>
        <v>4.9433333333333334</v>
      </c>
      <c r="AC148" s="593">
        <f t="shared" si="127"/>
        <v>33.632666666666672</v>
      </c>
      <c r="AD148" s="653">
        <f t="shared" si="128"/>
        <v>47.066661929699997</v>
      </c>
      <c r="AE148" s="598">
        <v>450</v>
      </c>
      <c r="AF148" s="595">
        <f t="shared" si="129"/>
        <v>0.17366666666666666</v>
      </c>
      <c r="AG148" s="593">
        <v>9.6440000000000001</v>
      </c>
      <c r="AH148" s="593">
        <v>4.5170000000000003</v>
      </c>
      <c r="AI148" s="593">
        <f t="shared" si="130"/>
        <v>4.9533333333333331</v>
      </c>
      <c r="AJ148" s="593">
        <f t="shared" si="131"/>
        <v>33.622666666666674</v>
      </c>
      <c r="AK148" s="653">
        <f t="shared" si="132"/>
        <v>47.147851688400003</v>
      </c>
      <c r="AL148" s="598">
        <v>450</v>
      </c>
      <c r="AM148" s="595">
        <f t="shared" si="133"/>
        <v>0.48766666666666658</v>
      </c>
      <c r="AN148" s="593">
        <v>9.6440000000000001</v>
      </c>
      <c r="AO148" s="593">
        <v>4.5170000000000003</v>
      </c>
      <c r="AP148" s="593">
        <f t="shared" si="134"/>
        <v>4.6393333333333331</v>
      </c>
      <c r="AQ148" s="593">
        <f t="shared" si="135"/>
        <v>33.936666666666675</v>
      </c>
      <c r="AR148" s="698">
        <f t="shared" si="136"/>
        <v>44.571470148899998</v>
      </c>
      <c r="AS148" s="598">
        <v>450</v>
      </c>
      <c r="AT148" s="595">
        <f t="shared" si="137"/>
        <v>9.0333333333333335E-2</v>
      </c>
      <c r="AU148" s="593">
        <v>9.6440000000000001</v>
      </c>
      <c r="AV148" s="593">
        <v>4.5170000000000003</v>
      </c>
      <c r="AW148" s="593">
        <f t="shared" si="138"/>
        <v>5.0366666666666662</v>
      </c>
      <c r="AX148" s="593">
        <f t="shared" si="139"/>
        <v>33.539333333333339</v>
      </c>
      <c r="AY148" s="698">
        <f t="shared" si="140"/>
        <v>47.822231160899989</v>
      </c>
      <c r="AZ148" s="75"/>
      <c r="BA148" s="598">
        <v>450</v>
      </c>
      <c r="BB148" s="593">
        <v>103.50685607036536</v>
      </c>
      <c r="BC148" s="667">
        <f>(BB163-BB164)/BB145</f>
        <v>1.0208019450245007</v>
      </c>
      <c r="BD148" s="714">
        <f>D148-BB161</f>
        <v>34.489999999999952</v>
      </c>
      <c r="BE148" s="667">
        <f>BB163-BB164</f>
        <v>105.66000000000001</v>
      </c>
      <c r="BF148" s="667">
        <f t="shared" si="141"/>
        <v>32.642438008707124</v>
      </c>
      <c r="BG148" s="668">
        <f t="shared" si="142"/>
        <v>33.321464209629923</v>
      </c>
      <c r="BH148" s="598">
        <v>450</v>
      </c>
      <c r="BI148" s="593">
        <v>103.50685607036536</v>
      </c>
      <c r="BJ148" s="667">
        <f>(BI163-BI164)/BI145</f>
        <v>1.2603029881548942</v>
      </c>
      <c r="BK148" s="714">
        <f>I148-BI161</f>
        <v>32.029999999999973</v>
      </c>
      <c r="BL148" s="667">
        <f>BI163-BI164</f>
        <v>130.45000000000002</v>
      </c>
      <c r="BM148" s="667">
        <f t="shared" si="143"/>
        <v>24.553468761977744</v>
      </c>
      <c r="BN148" s="668">
        <f t="shared" si="144"/>
        <v>30.9448100502884</v>
      </c>
      <c r="BO148" s="598">
        <v>450</v>
      </c>
      <c r="BP148" s="679">
        <v>103.50685607036536</v>
      </c>
      <c r="BQ148" s="667">
        <f>(BP163-BP164)/BP145</f>
        <v>1.1491026248458651</v>
      </c>
      <c r="BR148" s="714">
        <f>N148-BP161</f>
        <v>33.069999999999993</v>
      </c>
      <c r="BS148" s="667">
        <f>BP163-BP164</f>
        <v>118.94</v>
      </c>
      <c r="BT148" s="667">
        <f t="shared" si="145"/>
        <v>27.803934757020343</v>
      </c>
      <c r="BU148" s="710">
        <f t="shared" si="146"/>
        <v>31.949574410335256</v>
      </c>
      <c r="BV148" s="598">
        <v>450</v>
      </c>
      <c r="BW148" s="593">
        <v>103.50685607036536</v>
      </c>
      <c r="BX148" s="667">
        <f>(BW163-BW164)/BW145</f>
        <v>1.4685017569915209</v>
      </c>
      <c r="BY148" s="714">
        <f>S148-BW161</f>
        <v>33.5</v>
      </c>
      <c r="BZ148" s="667">
        <f>BW163-BW164</f>
        <v>152</v>
      </c>
      <c r="CA148" s="667">
        <f t="shared" si="147"/>
        <v>22.039473684210524</v>
      </c>
      <c r="CB148" s="668">
        <f t="shared" si="148"/>
        <v>32.365005828431542</v>
      </c>
      <c r="CC148" s="560"/>
    </row>
    <row r="149" spans="1:81" ht="15.75">
      <c r="A149" s="564"/>
      <c r="B149" s="585" t="s">
        <v>116</v>
      </c>
      <c r="C149" s="621">
        <v>550</v>
      </c>
      <c r="D149" s="638">
        <v>425.09</v>
      </c>
      <c r="E149" s="595">
        <v>2.64</v>
      </c>
      <c r="F149" s="595">
        <v>1.98</v>
      </c>
      <c r="G149" s="595">
        <v>1.89</v>
      </c>
      <c r="H149" s="598">
        <v>550</v>
      </c>
      <c r="I149" s="559">
        <v>446.6</v>
      </c>
      <c r="J149" s="595">
        <v>2.72</v>
      </c>
      <c r="K149" s="595">
        <v>1.68</v>
      </c>
      <c r="L149" s="617">
        <v>1.85</v>
      </c>
      <c r="M149" s="598">
        <v>550</v>
      </c>
      <c r="N149" s="559">
        <v>436.61</v>
      </c>
      <c r="O149" s="617">
        <v>5.14</v>
      </c>
      <c r="P149" s="617">
        <v>5.42</v>
      </c>
      <c r="Q149" s="617">
        <v>6.03</v>
      </c>
      <c r="R149" s="598">
        <v>550</v>
      </c>
      <c r="S149" s="559">
        <v>471.75</v>
      </c>
      <c r="T149" s="617">
        <v>0.78</v>
      </c>
      <c r="U149" s="617">
        <v>1.26</v>
      </c>
      <c r="V149" s="617">
        <v>1.4</v>
      </c>
      <c r="W149" s="564"/>
      <c r="X149" s="598">
        <v>550</v>
      </c>
      <c r="Y149" s="592">
        <f t="shared" si="125"/>
        <v>0.217</v>
      </c>
      <c r="Z149" s="593">
        <v>9.6440000000000001</v>
      </c>
      <c r="AA149" s="593">
        <v>4.5170000000000003</v>
      </c>
      <c r="AB149" s="593">
        <f t="shared" si="126"/>
        <v>4.91</v>
      </c>
      <c r="AC149" s="593">
        <f t="shared" si="127"/>
        <v>33.666000000000004</v>
      </c>
      <c r="AD149" s="653">
        <f t="shared" si="128"/>
        <v>69.904568873700001</v>
      </c>
      <c r="AE149" s="598">
        <v>550</v>
      </c>
      <c r="AF149" s="595">
        <f t="shared" si="129"/>
        <v>0.20833333333333334</v>
      </c>
      <c r="AG149" s="593">
        <v>9.6440000000000001</v>
      </c>
      <c r="AH149" s="593">
        <v>4.5170000000000003</v>
      </c>
      <c r="AI149" s="593">
        <f t="shared" si="130"/>
        <v>4.9186666666666667</v>
      </c>
      <c r="AJ149" s="593">
        <f t="shared" si="131"/>
        <v>33.657333333333341</v>
      </c>
      <c r="AK149" s="653">
        <f t="shared" si="132"/>
        <v>70.009930437626664</v>
      </c>
      <c r="AL149" s="598">
        <v>550</v>
      </c>
      <c r="AM149" s="595">
        <f t="shared" si="133"/>
        <v>0.55300000000000005</v>
      </c>
      <c r="AN149" s="593">
        <v>9.6440000000000001</v>
      </c>
      <c r="AO149" s="593">
        <v>4.5170000000000003</v>
      </c>
      <c r="AP149" s="593">
        <f t="shared" si="134"/>
        <v>4.5739999999999998</v>
      </c>
      <c r="AQ149" s="593">
        <f t="shared" si="135"/>
        <v>34.002000000000002</v>
      </c>
      <c r="AR149" s="698">
        <f t="shared" si="136"/>
        <v>65.770807463459988</v>
      </c>
      <c r="AS149" s="598">
        <v>550</v>
      </c>
      <c r="AT149" s="595">
        <f t="shared" si="137"/>
        <v>0.11466666666666667</v>
      </c>
      <c r="AU149" s="593">
        <v>9.6440000000000001</v>
      </c>
      <c r="AV149" s="593">
        <v>4.5170000000000003</v>
      </c>
      <c r="AW149" s="593">
        <f t="shared" si="138"/>
        <v>5.0123333333333333</v>
      </c>
      <c r="AX149" s="593">
        <f t="shared" si="139"/>
        <v>33.56366666666667</v>
      </c>
      <c r="AY149" s="698">
        <f t="shared" si="140"/>
        <v>71.144592259051663</v>
      </c>
      <c r="AZ149" s="75"/>
      <c r="BA149" s="598">
        <v>550</v>
      </c>
      <c r="BB149" s="593">
        <v>103.50685607036536</v>
      </c>
      <c r="BC149" s="667">
        <f>(BB163-BB164)/BB145</f>
        <v>1.0208019450245007</v>
      </c>
      <c r="BD149" s="714">
        <f>D149-BB161</f>
        <v>31.88999999999993</v>
      </c>
      <c r="BE149" s="667">
        <f>BB163-BB164</f>
        <v>105.66000000000001</v>
      </c>
      <c r="BF149" s="667">
        <f t="shared" si="141"/>
        <v>30.181714934696124</v>
      </c>
      <c r="BG149" s="668">
        <f t="shared" si="142"/>
        <v>30.809553309512825</v>
      </c>
      <c r="BH149" s="598">
        <v>550</v>
      </c>
      <c r="BI149" s="593">
        <v>103.50685607036536</v>
      </c>
      <c r="BJ149" s="667">
        <f>(BI163-BI164)/BI145</f>
        <v>1.2603029881548942</v>
      </c>
      <c r="BK149" s="714">
        <f>I149-BI161</f>
        <v>29.019999999999982</v>
      </c>
      <c r="BL149" s="667">
        <f>BI163-BI164</f>
        <v>130.45000000000002</v>
      </c>
      <c r="BM149" s="667">
        <f t="shared" si="143"/>
        <v>22.246071291682622</v>
      </c>
      <c r="BN149" s="668">
        <f t="shared" si="144"/>
        <v>28.036790123614413</v>
      </c>
      <c r="BO149" s="598">
        <v>550</v>
      </c>
      <c r="BP149" s="679">
        <v>103.50685607036536</v>
      </c>
      <c r="BQ149" s="667">
        <f>(BP163-BP164)/BP145</f>
        <v>1.1491026248458651</v>
      </c>
      <c r="BR149" s="714">
        <f>N149-BP161</f>
        <v>30.79000000000002</v>
      </c>
      <c r="BS149" s="667">
        <f>BP163-BP164</f>
        <v>118.94</v>
      </c>
      <c r="BT149" s="667">
        <f t="shared" si="145"/>
        <v>25.887001849672121</v>
      </c>
      <c r="BU149" s="710">
        <f t="shared" si="146"/>
        <v>29.746821774847998</v>
      </c>
      <c r="BV149" s="598">
        <v>550</v>
      </c>
      <c r="BW149" s="593">
        <v>103.50685607036536</v>
      </c>
      <c r="BX149" s="667">
        <f>(BW163-BW164)/BW145</f>
        <v>1.4685017569915209</v>
      </c>
      <c r="BY149" s="714">
        <f>S149-BW161</f>
        <v>32.949999999999989</v>
      </c>
      <c r="BZ149" s="667">
        <f>BW163-BW164</f>
        <v>152</v>
      </c>
      <c r="CA149" s="667">
        <f t="shared" si="147"/>
        <v>21.677631578947363</v>
      </c>
      <c r="CB149" s="668">
        <f t="shared" si="148"/>
        <v>31.833640061099079</v>
      </c>
      <c r="CC149" s="560"/>
    </row>
    <row r="150" spans="1:81" ht="15.75">
      <c r="A150" s="564"/>
      <c r="B150" s="585" t="s">
        <v>116</v>
      </c>
      <c r="C150" s="621">
        <v>650</v>
      </c>
      <c r="D150" s="638">
        <v>423.03</v>
      </c>
      <c r="E150" s="595">
        <v>2.85</v>
      </c>
      <c r="F150" s="595">
        <v>2.2200000000000002</v>
      </c>
      <c r="G150" s="595">
        <v>1.91</v>
      </c>
      <c r="H150" s="598">
        <v>650</v>
      </c>
      <c r="I150" s="559">
        <v>444.35</v>
      </c>
      <c r="J150" s="595">
        <v>3.19</v>
      </c>
      <c r="K150" s="595">
        <v>2.81</v>
      </c>
      <c r="L150" s="617">
        <v>2.41</v>
      </c>
      <c r="M150" s="598">
        <v>650</v>
      </c>
      <c r="N150" s="559">
        <v>434.86</v>
      </c>
      <c r="O150" s="617">
        <v>5.24</v>
      </c>
      <c r="P150" s="617">
        <v>5.83</v>
      </c>
      <c r="Q150" s="617">
        <v>6.33</v>
      </c>
      <c r="R150" s="598">
        <v>650</v>
      </c>
      <c r="S150" s="559">
        <v>471.21</v>
      </c>
      <c r="T150" s="617">
        <v>1.07</v>
      </c>
      <c r="U150" s="617">
        <v>1.8</v>
      </c>
      <c r="V150" s="617">
        <v>1.68</v>
      </c>
      <c r="W150" s="564"/>
      <c r="X150" s="598">
        <v>650</v>
      </c>
      <c r="Y150" s="592">
        <f t="shared" si="125"/>
        <v>0.23266666666666666</v>
      </c>
      <c r="Z150" s="593">
        <v>9.6440000000000001</v>
      </c>
      <c r="AA150" s="593">
        <v>4.5170000000000003</v>
      </c>
      <c r="AB150" s="593">
        <f t="shared" si="126"/>
        <v>4.894333333333333</v>
      </c>
      <c r="AC150" s="593">
        <f t="shared" si="127"/>
        <v>33.681666666666672</v>
      </c>
      <c r="AD150" s="653">
        <f t="shared" si="128"/>
        <v>97.369065588491651</v>
      </c>
      <c r="AE150" s="598">
        <v>650</v>
      </c>
      <c r="AF150" s="595">
        <f t="shared" si="129"/>
        <v>0.28033333333333332</v>
      </c>
      <c r="AG150" s="593">
        <v>9.6440000000000001</v>
      </c>
      <c r="AH150" s="593">
        <v>4.5170000000000003</v>
      </c>
      <c r="AI150" s="593">
        <f t="shared" si="130"/>
        <v>4.8466666666666667</v>
      </c>
      <c r="AJ150" s="593">
        <f t="shared" si="131"/>
        <v>33.729333333333336</v>
      </c>
      <c r="AK150" s="653">
        <f t="shared" si="132"/>
        <v>96.557228995066666</v>
      </c>
      <c r="AL150" s="598">
        <v>650</v>
      </c>
      <c r="AM150" s="595">
        <f t="shared" si="133"/>
        <v>0.57999999999999996</v>
      </c>
      <c r="AN150" s="593">
        <v>9.6440000000000001</v>
      </c>
      <c r="AO150" s="593">
        <v>4.5170000000000003</v>
      </c>
      <c r="AP150" s="593">
        <f t="shared" si="134"/>
        <v>4.5469999999999997</v>
      </c>
      <c r="AQ150" s="593">
        <f t="shared" si="135"/>
        <v>34.029000000000003</v>
      </c>
      <c r="AR150" s="698">
        <f t="shared" si="136"/>
        <v>91.391967230264996</v>
      </c>
      <c r="AS150" s="598">
        <v>650</v>
      </c>
      <c r="AT150" s="595">
        <f t="shared" si="137"/>
        <v>0.15166666666666667</v>
      </c>
      <c r="AU150" s="593">
        <v>9.6440000000000001</v>
      </c>
      <c r="AV150" s="593">
        <v>4.5170000000000003</v>
      </c>
      <c r="AW150" s="593">
        <f t="shared" si="138"/>
        <v>4.9753333333333334</v>
      </c>
      <c r="AX150" s="593">
        <f t="shared" si="139"/>
        <v>33.600666666666669</v>
      </c>
      <c r="AY150" s="698">
        <f t="shared" si="140"/>
        <v>98.742464273006661</v>
      </c>
      <c r="AZ150" s="75"/>
      <c r="BA150" s="598">
        <v>650</v>
      </c>
      <c r="BB150" s="593">
        <v>103.50685607036536</v>
      </c>
      <c r="BC150" s="667">
        <f>(BB163-BB164)/BB145</f>
        <v>1.0208019450245007</v>
      </c>
      <c r="BD150" s="714">
        <f>D150-BB161</f>
        <v>29.829999999999927</v>
      </c>
      <c r="BE150" s="667">
        <f>BB163-BB164</f>
        <v>105.66000000000001</v>
      </c>
      <c r="BF150" s="667">
        <f t="shared" si="141"/>
        <v>28.232065114518196</v>
      </c>
      <c r="BG150" s="668">
        <f t="shared" si="142"/>
        <v>28.819346980958528</v>
      </c>
      <c r="BH150" s="598">
        <v>650</v>
      </c>
      <c r="BI150" s="593">
        <v>103.50685607036536</v>
      </c>
      <c r="BJ150" s="667">
        <f>(BI163-BI164)/BI145</f>
        <v>1.2603029881548942</v>
      </c>
      <c r="BK150" s="714">
        <f>I150-BI161</f>
        <v>26.769999999999982</v>
      </c>
      <c r="BL150" s="667">
        <f>BI163-BI164</f>
        <v>130.45000000000002</v>
      </c>
      <c r="BM150" s="667">
        <f t="shared" si="143"/>
        <v>20.521272518206192</v>
      </c>
      <c r="BN150" s="668">
        <f t="shared" si="144"/>
        <v>25.863021075436173</v>
      </c>
      <c r="BO150" s="598">
        <v>650</v>
      </c>
      <c r="BP150" s="679">
        <v>103.50685607036536</v>
      </c>
      <c r="BQ150" s="667">
        <f>(BP163-BP164)/BP145</f>
        <v>1.1491026248458651</v>
      </c>
      <c r="BR150" s="714">
        <f>N150-BP161</f>
        <v>29.04000000000002</v>
      </c>
      <c r="BS150" s="667">
        <f>BP163-BP164</f>
        <v>118.94</v>
      </c>
      <c r="BT150" s="667">
        <f t="shared" si="145"/>
        <v>24.415671767277637</v>
      </c>
      <c r="BU150" s="710">
        <f t="shared" si="146"/>
        <v>28.056112515153814</v>
      </c>
      <c r="BV150" s="598">
        <v>650</v>
      </c>
      <c r="BW150" s="593">
        <v>103.50685607036536</v>
      </c>
      <c r="BX150" s="667">
        <f>(BW163-BW164)/BW145</f>
        <v>1.4685017569915209</v>
      </c>
      <c r="BY150" s="714">
        <f>S150-BW161</f>
        <v>32.409999999999968</v>
      </c>
      <c r="BZ150" s="667">
        <f>BW163-BW164</f>
        <v>152</v>
      </c>
      <c r="CA150" s="667">
        <f t="shared" si="147"/>
        <v>21.322368421052609</v>
      </c>
      <c r="CB150" s="668">
        <f t="shared" si="148"/>
        <v>31.311935489536275</v>
      </c>
      <c r="CC150" s="560"/>
    </row>
    <row r="151" spans="1:81" ht="15.75">
      <c r="A151" s="564"/>
      <c r="B151" s="585" t="s">
        <v>116</v>
      </c>
      <c r="C151" s="621">
        <v>750</v>
      </c>
      <c r="D151" s="638">
        <v>421.35</v>
      </c>
      <c r="E151" s="595">
        <v>3.48</v>
      </c>
      <c r="F151" s="595">
        <v>2.5299999999999998</v>
      </c>
      <c r="G151" s="595">
        <v>2.77</v>
      </c>
      <c r="H151" s="598">
        <v>750</v>
      </c>
      <c r="I151" s="559">
        <v>442.53</v>
      </c>
      <c r="J151" s="595">
        <v>3.71</v>
      </c>
      <c r="K151" s="595">
        <v>2.48</v>
      </c>
      <c r="L151" s="617">
        <v>3.53</v>
      </c>
      <c r="M151" s="598">
        <v>750</v>
      </c>
      <c r="N151" s="559">
        <v>433.45</v>
      </c>
      <c r="O151" s="617">
        <v>6.3</v>
      </c>
      <c r="P151" s="617">
        <v>6</v>
      </c>
      <c r="Q151" s="617">
        <v>7.25</v>
      </c>
      <c r="R151" s="598">
        <v>750</v>
      </c>
      <c r="S151" s="559">
        <v>469.65</v>
      </c>
      <c r="T151" s="617">
        <v>1.25</v>
      </c>
      <c r="U151" s="617">
        <v>2.13</v>
      </c>
      <c r="V151" s="617">
        <v>1.9</v>
      </c>
      <c r="W151" s="564"/>
      <c r="X151" s="598">
        <v>750</v>
      </c>
      <c r="Y151" s="592">
        <f t="shared" si="125"/>
        <v>0.29266666666666663</v>
      </c>
      <c r="Z151" s="593">
        <v>9.6440000000000001</v>
      </c>
      <c r="AA151" s="593">
        <v>4.5170000000000003</v>
      </c>
      <c r="AB151" s="593">
        <f t="shared" si="126"/>
        <v>4.8343333333333334</v>
      </c>
      <c r="AC151" s="593">
        <f t="shared" si="127"/>
        <v>33.741666666666674</v>
      </c>
      <c r="AD151" s="653">
        <f t="shared" si="128"/>
        <v>128.27228204062502</v>
      </c>
      <c r="AE151" s="598">
        <v>750</v>
      </c>
      <c r="AF151" s="595">
        <f t="shared" si="129"/>
        <v>0.32399999999999995</v>
      </c>
      <c r="AG151" s="593">
        <v>9.6440000000000001</v>
      </c>
      <c r="AH151" s="593">
        <v>4.5170000000000003</v>
      </c>
      <c r="AI151" s="593">
        <f t="shared" si="130"/>
        <v>4.8029999999999999</v>
      </c>
      <c r="AJ151" s="593">
        <f t="shared" si="131"/>
        <v>33.773000000000003</v>
      </c>
      <c r="AK151" s="653">
        <f t="shared" si="132"/>
        <v>127.559240528625</v>
      </c>
      <c r="AL151" s="598">
        <v>750</v>
      </c>
      <c r="AM151" s="595">
        <f t="shared" si="133"/>
        <v>0.65166666666666662</v>
      </c>
      <c r="AN151" s="593">
        <v>9.6440000000000001</v>
      </c>
      <c r="AO151" s="593">
        <v>4.5170000000000003</v>
      </c>
      <c r="AP151" s="593">
        <f t="shared" si="134"/>
        <v>4.4753333333333334</v>
      </c>
      <c r="AQ151" s="593">
        <f t="shared" si="135"/>
        <v>34.100666666666669</v>
      </c>
      <c r="AR151" s="698">
        <f t="shared" si="136"/>
        <v>120.01014371849999</v>
      </c>
      <c r="AS151" s="598">
        <v>750</v>
      </c>
      <c r="AT151" s="595">
        <f t="shared" si="137"/>
        <v>0.17599999999999999</v>
      </c>
      <c r="AU151" s="593">
        <v>9.6440000000000001</v>
      </c>
      <c r="AV151" s="593">
        <v>4.5170000000000003</v>
      </c>
      <c r="AW151" s="593">
        <f t="shared" si="138"/>
        <v>4.9509999999999996</v>
      </c>
      <c r="AX151" s="593">
        <f t="shared" si="139"/>
        <v>33.625000000000007</v>
      </c>
      <c r="AY151" s="698">
        <f t="shared" si="140"/>
        <v>130.91364576562501</v>
      </c>
      <c r="AZ151" s="75"/>
      <c r="BA151" s="598">
        <v>750</v>
      </c>
      <c r="BB151" s="593">
        <v>103.50685607036536</v>
      </c>
      <c r="BC151" s="667">
        <f>(BB163-BB164)/BB145</f>
        <v>1.0208019450245007</v>
      </c>
      <c r="BD151" s="714">
        <f>D151-BB161</f>
        <v>28.149999999999977</v>
      </c>
      <c r="BE151" s="667">
        <f>BB163-BB164</f>
        <v>105.66000000000001</v>
      </c>
      <c r="BF151" s="667">
        <f t="shared" si="141"/>
        <v>26.642059435926534</v>
      </c>
      <c r="BG151" s="668">
        <f t="shared" si="142"/>
        <v>27.196266091652159</v>
      </c>
      <c r="BH151" s="598">
        <v>750</v>
      </c>
      <c r="BI151" s="593">
        <v>103.50685607036536</v>
      </c>
      <c r="BJ151" s="667">
        <f>(BI163-BI164)/BI145</f>
        <v>1.2603029881548942</v>
      </c>
      <c r="BK151" s="714">
        <f>I151-BI161</f>
        <v>24.949999999999932</v>
      </c>
      <c r="BL151" s="667">
        <f>BI163-BI164</f>
        <v>130.45000000000002</v>
      </c>
      <c r="BM151" s="667">
        <f t="shared" si="143"/>
        <v>19.126101954771887</v>
      </c>
      <c r="BN151" s="668">
        <f t="shared" si="144"/>
        <v>24.104683445354173</v>
      </c>
      <c r="BO151" s="598">
        <v>750</v>
      </c>
      <c r="BP151" s="679">
        <v>103.50685607036536</v>
      </c>
      <c r="BQ151" s="667">
        <f>(BP163-BP164)/BP145</f>
        <v>1.1491026248458651</v>
      </c>
      <c r="BR151" s="714">
        <f>N151-BP161</f>
        <v>27.629999999999995</v>
      </c>
      <c r="BS151" s="667">
        <f>BP163-BP164</f>
        <v>118.94</v>
      </c>
      <c r="BT151" s="667">
        <f t="shared" si="145"/>
        <v>23.230200100891203</v>
      </c>
      <c r="BU151" s="710">
        <f t="shared" si="146"/>
        <v>26.693883911628763</v>
      </c>
      <c r="BV151" s="598">
        <v>750</v>
      </c>
      <c r="BW151" s="593">
        <v>103.50685607036536</v>
      </c>
      <c r="BX151" s="667">
        <f>(BW163-BW164)/BW145</f>
        <v>1.4685017569915209</v>
      </c>
      <c r="BY151" s="714">
        <f>S151-BW161</f>
        <v>30.849999999999966</v>
      </c>
      <c r="BZ151" s="667">
        <f>BW163-BW164</f>
        <v>152</v>
      </c>
      <c r="CA151" s="667">
        <f t="shared" si="147"/>
        <v>20.296052631578927</v>
      </c>
      <c r="CB151" s="668">
        <f t="shared" si="148"/>
        <v>29.804788949466037</v>
      </c>
      <c r="CC151" s="560"/>
    </row>
    <row r="152" spans="1:81" ht="15.75">
      <c r="A152" s="564"/>
      <c r="B152" s="585" t="s">
        <v>116</v>
      </c>
      <c r="C152" s="621">
        <v>850</v>
      </c>
      <c r="D152" s="638">
        <v>419.92</v>
      </c>
      <c r="E152" s="595">
        <v>3.89</v>
      </c>
      <c r="F152" s="595">
        <v>2.86</v>
      </c>
      <c r="G152" s="595">
        <v>2.83</v>
      </c>
      <c r="H152" s="598">
        <v>850</v>
      </c>
      <c r="I152" s="559">
        <v>440.81</v>
      </c>
      <c r="J152" s="595">
        <v>3.77</v>
      </c>
      <c r="K152" s="595">
        <v>3.24</v>
      </c>
      <c r="L152" s="617">
        <v>3.1</v>
      </c>
      <c r="M152" s="598">
        <v>850</v>
      </c>
      <c r="N152" s="559">
        <v>432.07</v>
      </c>
      <c r="O152" s="617">
        <v>5.8</v>
      </c>
      <c r="P152" s="617">
        <v>6.56</v>
      </c>
      <c r="Q152" s="617">
        <v>7.58</v>
      </c>
      <c r="R152" s="598">
        <v>850</v>
      </c>
      <c r="S152" s="559">
        <v>468.63</v>
      </c>
      <c r="T152" s="617">
        <v>1.56</v>
      </c>
      <c r="U152" s="617">
        <v>2.5299999999999998</v>
      </c>
      <c r="V152" s="617">
        <v>2.58</v>
      </c>
      <c r="W152" s="564"/>
      <c r="X152" s="598">
        <v>850</v>
      </c>
      <c r="Y152" s="592">
        <f t="shared" si="125"/>
        <v>0.31933333333333336</v>
      </c>
      <c r="Z152" s="593">
        <v>9.6440000000000001</v>
      </c>
      <c r="AA152" s="593">
        <v>4.5170000000000003</v>
      </c>
      <c r="AB152" s="593">
        <f t="shared" si="126"/>
        <v>4.8076666666666661</v>
      </c>
      <c r="AC152" s="593">
        <f t="shared" si="127"/>
        <v>33.768333333333338</v>
      </c>
      <c r="AD152" s="653">
        <f t="shared" si="128"/>
        <v>163.97928854009166</v>
      </c>
      <c r="AE152" s="598">
        <v>850</v>
      </c>
      <c r="AF152" s="595">
        <f t="shared" si="129"/>
        <v>0.33699999999999997</v>
      </c>
      <c r="AG152" s="593">
        <v>9.6440000000000001</v>
      </c>
      <c r="AH152" s="593">
        <v>4.5170000000000003</v>
      </c>
      <c r="AI152" s="593">
        <f t="shared" si="130"/>
        <v>4.79</v>
      </c>
      <c r="AJ152" s="593">
        <f t="shared" si="131"/>
        <v>33.786000000000008</v>
      </c>
      <c r="AK152" s="653">
        <f t="shared" si="132"/>
        <v>163.46219032170004</v>
      </c>
      <c r="AL152" s="598">
        <v>850</v>
      </c>
      <c r="AM152" s="595">
        <f t="shared" si="133"/>
        <v>0.66466666666666652</v>
      </c>
      <c r="AN152" s="593">
        <v>9.6440000000000001</v>
      </c>
      <c r="AO152" s="593">
        <v>4.5170000000000003</v>
      </c>
      <c r="AP152" s="593">
        <f t="shared" si="134"/>
        <v>4.4623333333333335</v>
      </c>
      <c r="AQ152" s="593">
        <f t="shared" si="135"/>
        <v>34.113666666666674</v>
      </c>
      <c r="AR152" s="698">
        <f t="shared" si="136"/>
        <v>153.75718986813172</v>
      </c>
      <c r="AS152" s="598">
        <v>850</v>
      </c>
      <c r="AT152" s="595">
        <f t="shared" si="137"/>
        <v>0.22233333333333333</v>
      </c>
      <c r="AU152" s="593">
        <v>9.6440000000000001</v>
      </c>
      <c r="AV152" s="593">
        <v>4.5170000000000003</v>
      </c>
      <c r="AW152" s="593">
        <f t="shared" si="138"/>
        <v>4.9046666666666665</v>
      </c>
      <c r="AX152" s="593">
        <f t="shared" si="139"/>
        <v>33.671333333333337</v>
      </c>
      <c r="AY152" s="698">
        <f t="shared" si="140"/>
        <v>166.80721595108668</v>
      </c>
      <c r="AZ152" s="75"/>
      <c r="BA152" s="598">
        <v>850</v>
      </c>
      <c r="BB152" s="593">
        <v>103.50685607036536</v>
      </c>
      <c r="BC152" s="667">
        <f>(BB163-BB164)/BB145</f>
        <v>1.0208019450245007</v>
      </c>
      <c r="BD152" s="714">
        <f>D152-BB161</f>
        <v>26.71999999999997</v>
      </c>
      <c r="BE152" s="667">
        <f>BB163-BB164</f>
        <v>105.66000000000001</v>
      </c>
      <c r="BF152" s="667">
        <f t="shared" si="141"/>
        <v>25.288661745220487</v>
      </c>
      <c r="BG152" s="668">
        <f t="shared" si="142"/>
        <v>25.814715096587758</v>
      </c>
      <c r="BH152" s="598">
        <v>850</v>
      </c>
      <c r="BI152" s="593">
        <v>103.50685607036536</v>
      </c>
      <c r="BJ152" s="667">
        <f>(BI163-BI164)/BI145</f>
        <v>1.2603029881548942</v>
      </c>
      <c r="BK152" s="714">
        <f>I152-BI161</f>
        <v>23.229999999999961</v>
      </c>
      <c r="BL152" s="667">
        <f>BI163-BI164</f>
        <v>130.45000000000002</v>
      </c>
      <c r="BM152" s="667">
        <f t="shared" si="143"/>
        <v>17.807589114603264</v>
      </c>
      <c r="BN152" s="668">
        <f t="shared" si="144"/>
        <v>22.442957772969059</v>
      </c>
      <c r="BO152" s="598">
        <v>850</v>
      </c>
      <c r="BP152" s="679">
        <v>103.50685607036536</v>
      </c>
      <c r="BQ152" s="667">
        <f>(BP163-BP164)/BP145</f>
        <v>1.1491026248458651</v>
      </c>
      <c r="BR152" s="714">
        <f>N152-BP161</f>
        <v>26.25</v>
      </c>
      <c r="BS152" s="667">
        <f>BP163-BP164</f>
        <v>118.94</v>
      </c>
      <c r="BT152" s="667">
        <f t="shared" si="145"/>
        <v>22.069951235917269</v>
      </c>
      <c r="BU152" s="710">
        <f t="shared" si="146"/>
        <v>25.36063889541278</v>
      </c>
      <c r="BV152" s="598">
        <v>850</v>
      </c>
      <c r="BW152" s="593">
        <v>103.50685607036536</v>
      </c>
      <c r="BX152" s="667">
        <f>(BW163-BW164)/BW145</f>
        <v>1.4685017569915209</v>
      </c>
      <c r="BY152" s="714">
        <f>S152-BW161</f>
        <v>29.829999999999984</v>
      </c>
      <c r="BZ152" s="667">
        <f>BW163-BW164</f>
        <v>152</v>
      </c>
      <c r="CA152" s="667">
        <f t="shared" si="147"/>
        <v>19.624999999999989</v>
      </c>
      <c r="CB152" s="668">
        <f t="shared" si="148"/>
        <v>28.819346980958581</v>
      </c>
      <c r="CC152" s="560"/>
    </row>
    <row r="153" spans="1:81" ht="15.75">
      <c r="A153" s="564"/>
      <c r="B153" s="585" t="s">
        <v>116</v>
      </c>
      <c r="C153" s="621">
        <v>950</v>
      </c>
      <c r="D153" s="638">
        <v>418.82</v>
      </c>
      <c r="E153" s="595">
        <v>4.3</v>
      </c>
      <c r="F153" s="595">
        <v>3.2</v>
      </c>
      <c r="G153" s="595">
        <v>3.02</v>
      </c>
      <c r="H153" s="598">
        <v>950</v>
      </c>
      <c r="I153" s="559">
        <v>439.69</v>
      </c>
      <c r="J153" s="595">
        <v>3.75</v>
      </c>
      <c r="K153" s="595">
        <v>3.63</v>
      </c>
      <c r="L153" s="617">
        <v>3.21</v>
      </c>
      <c r="M153" s="598">
        <v>950</v>
      </c>
      <c r="N153" s="559">
        <v>431.08</v>
      </c>
      <c r="O153" s="617">
        <v>6.53</v>
      </c>
      <c r="P153" s="617">
        <v>6.77</v>
      </c>
      <c r="Q153" s="617">
        <v>7.9</v>
      </c>
      <c r="R153" s="598">
        <v>950</v>
      </c>
      <c r="S153" s="559">
        <v>467.64</v>
      </c>
      <c r="T153" s="617">
        <v>1.65</v>
      </c>
      <c r="U153" s="617">
        <v>2.85</v>
      </c>
      <c r="V153" s="617">
        <v>2.54</v>
      </c>
      <c r="W153" s="564"/>
      <c r="X153" s="598">
        <v>950</v>
      </c>
      <c r="Y153" s="592">
        <f t="shared" si="125"/>
        <v>0.35066666666666663</v>
      </c>
      <c r="Z153" s="593">
        <v>9.6440000000000001</v>
      </c>
      <c r="AA153" s="593">
        <v>4.5170000000000003</v>
      </c>
      <c r="AB153" s="593">
        <f t="shared" si="126"/>
        <v>4.7763333333333335</v>
      </c>
      <c r="AC153" s="593">
        <f t="shared" si="127"/>
        <v>33.799666666666674</v>
      </c>
      <c r="AD153" s="653">
        <f t="shared" si="128"/>
        <v>203.68611615437169</v>
      </c>
      <c r="AE153" s="598">
        <v>950</v>
      </c>
      <c r="AF153" s="595">
        <f t="shared" si="129"/>
        <v>0.35299999999999998</v>
      </c>
      <c r="AG153" s="593">
        <v>9.6440000000000001</v>
      </c>
      <c r="AH153" s="593">
        <v>4.5170000000000003</v>
      </c>
      <c r="AI153" s="593">
        <f t="shared" si="130"/>
        <v>4.774</v>
      </c>
      <c r="AJ153" s="593">
        <f t="shared" si="131"/>
        <v>33.802000000000007</v>
      </c>
      <c r="AK153" s="653">
        <f t="shared" si="132"/>
        <v>203.60066589786001</v>
      </c>
      <c r="AL153" s="598">
        <v>950</v>
      </c>
      <c r="AM153" s="595">
        <f t="shared" si="133"/>
        <v>0.70666666666666678</v>
      </c>
      <c r="AN153" s="593">
        <v>9.6440000000000001</v>
      </c>
      <c r="AO153" s="593">
        <v>4.5170000000000003</v>
      </c>
      <c r="AP153" s="593">
        <f t="shared" si="134"/>
        <v>4.4203333333333328</v>
      </c>
      <c r="AQ153" s="593">
        <f t="shared" si="135"/>
        <v>34.155666666666669</v>
      </c>
      <c r="AR153" s="698">
        <f t="shared" si="136"/>
        <v>190.48999431705161</v>
      </c>
      <c r="AS153" s="598">
        <v>950</v>
      </c>
      <c r="AT153" s="595">
        <f t="shared" si="137"/>
        <v>0.23466666666666666</v>
      </c>
      <c r="AU153" s="593">
        <v>9.6440000000000001</v>
      </c>
      <c r="AV153" s="593">
        <v>4.5170000000000003</v>
      </c>
      <c r="AW153" s="593">
        <f t="shared" si="138"/>
        <v>4.8923333333333332</v>
      </c>
      <c r="AX153" s="593">
        <f t="shared" si="139"/>
        <v>33.683666666666674</v>
      </c>
      <c r="AY153" s="698">
        <f t="shared" si="140"/>
        <v>207.91689575425167</v>
      </c>
      <c r="AZ153" s="75"/>
      <c r="BA153" s="598">
        <v>950</v>
      </c>
      <c r="BB153" s="593">
        <v>103.50685607036536</v>
      </c>
      <c r="BC153" s="667">
        <f>(BB163-BB164)/BB145</f>
        <v>1.0208019450245007</v>
      </c>
      <c r="BD153" s="714">
        <f>D153-BB161</f>
        <v>25.619999999999948</v>
      </c>
      <c r="BE153" s="667">
        <f>BB163-BB164</f>
        <v>105.66000000000001</v>
      </c>
      <c r="BF153" s="667">
        <f t="shared" si="141"/>
        <v>24.247586598523512</v>
      </c>
      <c r="BG153" s="668">
        <f t="shared" si="142"/>
        <v>24.751983561922817</v>
      </c>
      <c r="BH153" s="598">
        <v>950</v>
      </c>
      <c r="BI153" s="593">
        <v>103.50685607036536</v>
      </c>
      <c r="BJ153" s="667">
        <f>(BI163-BI164)/BI145</f>
        <v>1.2603029881548942</v>
      </c>
      <c r="BK153" s="714">
        <f>I153-BI161</f>
        <v>22.109999999999957</v>
      </c>
      <c r="BL153" s="667">
        <f>BI163-BI164</f>
        <v>130.45000000000002</v>
      </c>
      <c r="BM153" s="667">
        <f t="shared" si="143"/>
        <v>16.949022614028326</v>
      </c>
      <c r="BN153" s="668">
        <f t="shared" si="144"/>
        <v>21.360903846764774</v>
      </c>
      <c r="BO153" s="598">
        <v>950</v>
      </c>
      <c r="BP153" s="679">
        <v>103.50685607036536</v>
      </c>
      <c r="BQ153" s="667">
        <f>(BP163-BP164)/BP145</f>
        <v>1.1491026248458651</v>
      </c>
      <c r="BR153" s="714">
        <f>N153-BP161</f>
        <v>25.259999999999991</v>
      </c>
      <c r="BS153" s="667">
        <f>BP163-BP164</f>
        <v>118.94</v>
      </c>
      <c r="BT153" s="667">
        <f t="shared" si="145"/>
        <v>21.237598789305526</v>
      </c>
      <c r="BU153" s="710">
        <f t="shared" si="146"/>
        <v>24.404180514214346</v>
      </c>
      <c r="BV153" s="598">
        <v>950</v>
      </c>
      <c r="BW153" s="593">
        <v>103.50685607036536</v>
      </c>
      <c r="BX153" s="667">
        <f>(BW163-BW164)/BW145</f>
        <v>1.4685017569915209</v>
      </c>
      <c r="BY153" s="714">
        <f>S153-BW161</f>
        <v>28.839999999999975</v>
      </c>
      <c r="BZ153" s="667">
        <f>BW163-BW164</f>
        <v>152</v>
      </c>
      <c r="CA153" s="667">
        <f t="shared" si="147"/>
        <v>18.973684210526297</v>
      </c>
      <c r="CB153" s="668">
        <f t="shared" si="148"/>
        <v>27.862888599760144</v>
      </c>
      <c r="CC153" s="560"/>
    </row>
    <row r="154" spans="1:81" ht="15.75">
      <c r="A154" s="564"/>
      <c r="B154" s="585" t="s">
        <v>116</v>
      </c>
      <c r="C154" s="621">
        <v>1000</v>
      </c>
      <c r="D154" s="638">
        <v>418.04</v>
      </c>
      <c r="E154" s="595">
        <v>4.62</v>
      </c>
      <c r="F154" s="595">
        <v>3.28</v>
      </c>
      <c r="G154" s="595">
        <v>3.3</v>
      </c>
      <c r="H154" s="598">
        <v>1000</v>
      </c>
      <c r="I154" s="559">
        <v>438.99</v>
      </c>
      <c r="J154" s="617">
        <v>3.96</v>
      </c>
      <c r="K154" s="617">
        <v>3.87</v>
      </c>
      <c r="L154" s="617">
        <v>3.9</v>
      </c>
      <c r="M154" s="598">
        <v>1000</v>
      </c>
      <c r="N154" s="559">
        <v>430.37</v>
      </c>
      <c r="O154" s="617">
        <v>6.5</v>
      </c>
      <c r="P154" s="617">
        <v>6.98</v>
      </c>
      <c r="Q154" s="617">
        <v>8.67</v>
      </c>
      <c r="R154" s="598">
        <v>1000</v>
      </c>
      <c r="S154" s="559">
        <v>466.96</v>
      </c>
      <c r="T154" s="617">
        <v>1.91</v>
      </c>
      <c r="U154" s="617">
        <v>3.37</v>
      </c>
      <c r="V154" s="617">
        <v>3.05</v>
      </c>
      <c r="W154" s="564"/>
      <c r="X154" s="598">
        <v>1000</v>
      </c>
      <c r="Y154" s="592">
        <f t="shared" si="125"/>
        <v>0.37333333333333329</v>
      </c>
      <c r="Z154" s="593">
        <v>9.6440000000000001</v>
      </c>
      <c r="AA154" s="593">
        <v>4.5170000000000003</v>
      </c>
      <c r="AB154" s="593">
        <f t="shared" si="126"/>
        <v>4.7536666666666667</v>
      </c>
      <c r="AC154" s="593">
        <f t="shared" si="127"/>
        <v>33.82233333333334</v>
      </c>
      <c r="AD154" s="653">
        <f t="shared" si="128"/>
        <v>224.77057778066666</v>
      </c>
      <c r="AE154" s="598">
        <v>1000</v>
      </c>
      <c r="AF154" s="595">
        <f t="shared" si="129"/>
        <v>0.39100000000000001</v>
      </c>
      <c r="AG154" s="593">
        <v>9.6440000000000001</v>
      </c>
      <c r="AH154" s="593">
        <v>4.5170000000000003</v>
      </c>
      <c r="AI154" s="593">
        <f t="shared" si="130"/>
        <v>4.7359999999999998</v>
      </c>
      <c r="AJ154" s="593">
        <f t="shared" si="131"/>
        <v>33.840000000000003</v>
      </c>
      <c r="AK154" s="653">
        <f t="shared" si="132"/>
        <v>224.05220351999998</v>
      </c>
      <c r="AL154" s="598">
        <v>1000</v>
      </c>
      <c r="AM154" s="595">
        <f t="shared" si="133"/>
        <v>0.73833333333333329</v>
      </c>
      <c r="AN154" s="593">
        <v>9.6440000000000001</v>
      </c>
      <c r="AO154" s="593">
        <v>4.5170000000000003</v>
      </c>
      <c r="AP154" s="593">
        <f t="shared" si="134"/>
        <v>4.3886666666666665</v>
      </c>
      <c r="AQ154" s="593">
        <f t="shared" si="135"/>
        <v>34.187333333333342</v>
      </c>
      <c r="AR154" s="698">
        <f t="shared" si="136"/>
        <v>209.75146069066665</v>
      </c>
      <c r="AS154" s="598">
        <v>1000</v>
      </c>
      <c r="AT154" s="595">
        <f t="shared" si="137"/>
        <v>0.27766666666666667</v>
      </c>
      <c r="AU154" s="593">
        <v>9.6440000000000001</v>
      </c>
      <c r="AV154" s="593">
        <v>4.5170000000000003</v>
      </c>
      <c r="AW154" s="593">
        <f t="shared" si="138"/>
        <v>4.8493333333333331</v>
      </c>
      <c r="AX154" s="593">
        <f t="shared" si="139"/>
        <v>33.726666666666674</v>
      </c>
      <c r="AY154" s="698">
        <f t="shared" si="140"/>
        <v>228.64548474666665</v>
      </c>
      <c r="AZ154" s="75"/>
      <c r="BA154" s="598">
        <v>1000</v>
      </c>
      <c r="BB154" s="593">
        <v>103.50685607036536</v>
      </c>
      <c r="BC154" s="667">
        <f>(BB163-BB164)/BB145</f>
        <v>1.0208019450245007</v>
      </c>
      <c r="BD154" s="714">
        <f>D154-BB161</f>
        <v>24.839999999999975</v>
      </c>
      <c r="BE154" s="667">
        <f>BB163-BB164</f>
        <v>105.66000000000001</v>
      </c>
      <c r="BF154" s="667">
        <f t="shared" si="141"/>
        <v>23.509369676320247</v>
      </c>
      <c r="BG154" s="668">
        <f t="shared" si="142"/>
        <v>23.998410291887726</v>
      </c>
      <c r="BH154" s="598">
        <v>1000</v>
      </c>
      <c r="BI154" s="593">
        <v>103.50685607036536</v>
      </c>
      <c r="BJ154" s="667">
        <f>(BI163-BI164)/BI145</f>
        <v>1.2603029881548942</v>
      </c>
      <c r="BK154" s="714">
        <f>I154-BI161</f>
        <v>21.409999999999968</v>
      </c>
      <c r="BL154" s="667">
        <f>BI163-BI164</f>
        <v>130.45000000000002</v>
      </c>
      <c r="BM154" s="667">
        <f t="shared" si="143"/>
        <v>16.412418551169004</v>
      </c>
      <c r="BN154" s="668">
        <f t="shared" si="144"/>
        <v>20.684620142887116</v>
      </c>
      <c r="BO154" s="598">
        <v>1000</v>
      </c>
      <c r="BP154" s="679">
        <v>103.50685607036536</v>
      </c>
      <c r="BQ154" s="667">
        <f>(BP163-BP164)/BP145</f>
        <v>1.1491026248458651</v>
      </c>
      <c r="BR154" s="714">
        <f>N154-BP161</f>
        <v>24.550000000000011</v>
      </c>
      <c r="BS154" s="667">
        <f>BP163-BP164</f>
        <v>118.94</v>
      </c>
      <c r="BT154" s="667">
        <f t="shared" si="145"/>
        <v>20.640659155876921</v>
      </c>
      <c r="BU154" s="710">
        <f t="shared" si="146"/>
        <v>23.718235614567011</v>
      </c>
      <c r="BV154" s="598">
        <v>1000</v>
      </c>
      <c r="BW154" s="593">
        <v>103.50685607036536</v>
      </c>
      <c r="BX154" s="667">
        <f>(BW163-BW164)/BW145</f>
        <v>1.4685017569915209</v>
      </c>
      <c r="BY154" s="714">
        <f>S154-BW161</f>
        <v>28.159999999999968</v>
      </c>
      <c r="BZ154" s="667">
        <f>BW163-BW164</f>
        <v>152</v>
      </c>
      <c r="CA154" s="667">
        <f t="shared" si="147"/>
        <v>18.526315789473664</v>
      </c>
      <c r="CB154" s="668">
        <f t="shared" si="148"/>
        <v>27.205927287421829</v>
      </c>
      <c r="CC154" s="560"/>
    </row>
    <row r="155" spans="1:81" ht="15.75">
      <c r="A155" s="564"/>
      <c r="B155" s="585" t="s">
        <v>116</v>
      </c>
      <c r="C155" s="621">
        <v>1350</v>
      </c>
      <c r="D155" s="638">
        <v>416.02</v>
      </c>
      <c r="E155" s="595">
        <v>5.77</v>
      </c>
      <c r="F155" s="595">
        <v>4.08</v>
      </c>
      <c r="G155" s="595">
        <v>3.97</v>
      </c>
      <c r="H155" s="598">
        <v>1350</v>
      </c>
      <c r="I155" s="559">
        <v>436.72</v>
      </c>
      <c r="J155" s="617">
        <v>4.47</v>
      </c>
      <c r="K155" s="617">
        <v>4.5199999999999996</v>
      </c>
      <c r="L155" s="617">
        <v>3.97</v>
      </c>
      <c r="M155" s="598">
        <v>1350</v>
      </c>
      <c r="N155" s="559">
        <v>428.36</v>
      </c>
      <c r="O155" s="617">
        <v>7.04</v>
      </c>
      <c r="P155" s="617">
        <v>7.08</v>
      </c>
      <c r="Q155" s="617">
        <v>8.91</v>
      </c>
      <c r="R155" s="598">
        <v>1350</v>
      </c>
      <c r="S155" s="559">
        <v>463.6</v>
      </c>
      <c r="T155" s="617">
        <v>2.06</v>
      </c>
      <c r="U155" s="617">
        <v>3.29</v>
      </c>
      <c r="V155" s="617">
        <v>3.05</v>
      </c>
      <c r="W155" s="564"/>
      <c r="X155" s="598">
        <v>1350</v>
      </c>
      <c r="Y155" s="592">
        <f t="shared" si="125"/>
        <v>0.46066666666666667</v>
      </c>
      <c r="Z155" s="593">
        <v>9.6440000000000001</v>
      </c>
      <c r="AA155" s="593">
        <v>4.5170000000000003</v>
      </c>
      <c r="AB155" s="593">
        <f t="shared" si="126"/>
        <v>4.6663333333333332</v>
      </c>
      <c r="AC155" s="593">
        <f t="shared" si="127"/>
        <v>33.909666666666674</v>
      </c>
      <c r="AD155" s="653">
        <f t="shared" si="128"/>
        <v>403.15679859874501</v>
      </c>
      <c r="AE155" s="598">
        <v>1350</v>
      </c>
      <c r="AF155" s="595">
        <f t="shared" si="129"/>
        <v>0.43199999999999994</v>
      </c>
      <c r="AG155" s="593">
        <v>9.6440000000000001</v>
      </c>
      <c r="AH155" s="593">
        <v>4.5170000000000003</v>
      </c>
      <c r="AI155" s="593">
        <f t="shared" si="130"/>
        <v>4.6950000000000003</v>
      </c>
      <c r="AJ155" s="593">
        <f t="shared" si="131"/>
        <v>33.881000000000007</v>
      </c>
      <c r="AK155" s="653">
        <f t="shared" si="132"/>
        <v>405.2905943222251</v>
      </c>
      <c r="AL155" s="598">
        <v>1350</v>
      </c>
      <c r="AM155" s="595">
        <f t="shared" si="133"/>
        <v>0.76766666666666672</v>
      </c>
      <c r="AN155" s="593">
        <v>9.6440000000000001</v>
      </c>
      <c r="AO155" s="593">
        <v>4.5170000000000003</v>
      </c>
      <c r="AP155" s="593">
        <f t="shared" si="134"/>
        <v>4.3593333333333328</v>
      </c>
      <c r="AQ155" s="593">
        <f t="shared" si="135"/>
        <v>34.216666666666669</v>
      </c>
      <c r="AR155" s="698">
        <f t="shared" si="136"/>
        <v>380.04277948649997</v>
      </c>
      <c r="AS155" s="598">
        <v>1350</v>
      </c>
      <c r="AT155" s="595">
        <f t="shared" si="137"/>
        <v>0.27999999999999992</v>
      </c>
      <c r="AU155" s="593">
        <v>9.6440000000000001</v>
      </c>
      <c r="AV155" s="593">
        <v>4.5170000000000003</v>
      </c>
      <c r="AW155" s="593">
        <f t="shared" si="138"/>
        <v>4.8469999999999995</v>
      </c>
      <c r="AX155" s="593">
        <f t="shared" si="139"/>
        <v>33.729000000000006</v>
      </c>
      <c r="AY155" s="698">
        <f t="shared" si="140"/>
        <v>416.53470647686498</v>
      </c>
      <c r="AZ155" s="75"/>
      <c r="BA155" s="598">
        <v>1350</v>
      </c>
      <c r="BB155" s="593">
        <v>103.50685607036536</v>
      </c>
      <c r="BC155" s="667">
        <f>(BB163-BB164)/BB145</f>
        <v>1.0208019450245007</v>
      </c>
      <c r="BD155" s="714">
        <f>D155-BB161</f>
        <v>22.819999999999936</v>
      </c>
      <c r="BE155" s="667">
        <f>BB163-BB164</f>
        <v>105.66000000000001</v>
      </c>
      <c r="BF155" s="667">
        <f t="shared" si="141"/>
        <v>21.597577134203988</v>
      </c>
      <c r="BG155" s="668">
        <f t="shared" si="142"/>
        <v>22.046848746412113</v>
      </c>
      <c r="BH155" s="598">
        <v>1350</v>
      </c>
      <c r="BI155" s="593">
        <v>103.50685607036536</v>
      </c>
      <c r="BJ155" s="667">
        <f>(BI163-BI164)/BI145</f>
        <v>1.2603029881548942</v>
      </c>
      <c r="BK155" s="714">
        <f>I155-BI161</f>
        <v>19.139999999999986</v>
      </c>
      <c r="BL155" s="667">
        <f>BI163-BI164</f>
        <v>130.45000000000002</v>
      </c>
      <c r="BM155" s="667">
        <f t="shared" si="143"/>
        <v>14.672288233039465</v>
      </c>
      <c r="BN155" s="668">
        <f t="shared" si="144"/>
        <v>18.491528703169529</v>
      </c>
      <c r="BO155" s="598">
        <v>1350</v>
      </c>
      <c r="BP155" s="679">
        <v>103.50685607036536</v>
      </c>
      <c r="BQ155" s="667">
        <f>(BP163-BP164)/BP145</f>
        <v>1.1491026248458651</v>
      </c>
      <c r="BR155" s="714">
        <f>N155-BP161</f>
        <v>22.54000000000002</v>
      </c>
      <c r="BS155" s="667">
        <f>BP163-BP164</f>
        <v>118.94</v>
      </c>
      <c r="BT155" s="667">
        <f t="shared" si="145"/>
        <v>18.950731461240981</v>
      </c>
      <c r="BU155" s="710">
        <f t="shared" si="146"/>
        <v>21.776335264861128</v>
      </c>
      <c r="BV155" s="598">
        <v>1350</v>
      </c>
      <c r="BW155" s="593">
        <v>103.50685607036536</v>
      </c>
      <c r="BX155" s="667">
        <f>(BW163-BW164)/BW145</f>
        <v>1.4685017569915209</v>
      </c>
      <c r="BY155" s="714">
        <f>S155-BW161</f>
        <v>24.800000000000011</v>
      </c>
      <c r="BZ155" s="667">
        <f>BW163-BW164</f>
        <v>152</v>
      </c>
      <c r="CA155" s="667">
        <f t="shared" si="147"/>
        <v>16.315789473684216</v>
      </c>
      <c r="CB155" s="668">
        <f t="shared" si="148"/>
        <v>23.959765508809031</v>
      </c>
      <c r="CC155" s="560"/>
    </row>
    <row r="156" spans="1:81" ht="15.75">
      <c r="A156" s="564"/>
      <c r="B156" s="585" t="s">
        <v>116</v>
      </c>
      <c r="C156" s="621">
        <v>2500</v>
      </c>
      <c r="D156" s="638">
        <v>411.5</v>
      </c>
      <c r="E156" s="595">
        <v>9.4</v>
      </c>
      <c r="F156" s="595">
        <v>7.03</v>
      </c>
      <c r="G156" s="595">
        <v>7.19</v>
      </c>
      <c r="H156" s="598">
        <v>2500</v>
      </c>
      <c r="I156" s="559">
        <v>432.66</v>
      </c>
      <c r="J156" s="617">
        <v>5.77</v>
      </c>
      <c r="K156" s="617">
        <v>4.55</v>
      </c>
      <c r="L156" s="617">
        <v>4.9000000000000004</v>
      </c>
      <c r="M156" s="598">
        <v>2500</v>
      </c>
      <c r="N156" s="559">
        <v>423.79</v>
      </c>
      <c r="O156" s="617">
        <v>8.0299999999999994</v>
      </c>
      <c r="P156" s="617">
        <v>8.3800000000000008</v>
      </c>
      <c r="Q156" s="617">
        <v>10.029999999999999</v>
      </c>
      <c r="R156" s="598">
        <v>2500</v>
      </c>
      <c r="S156" s="559">
        <v>456.88</v>
      </c>
      <c r="T156" s="617">
        <v>2.93</v>
      </c>
      <c r="U156" s="617">
        <v>4.1100000000000003</v>
      </c>
      <c r="V156" s="617">
        <v>3.87</v>
      </c>
      <c r="W156" s="564"/>
      <c r="X156" s="598">
        <v>2500</v>
      </c>
      <c r="Y156" s="592">
        <f t="shared" si="125"/>
        <v>0.78733333333333344</v>
      </c>
      <c r="Z156" s="593">
        <v>9.6440000000000001</v>
      </c>
      <c r="AA156" s="593">
        <v>4.5170000000000003</v>
      </c>
      <c r="AB156" s="593">
        <f t="shared" si="126"/>
        <v>4.3396666666666661</v>
      </c>
      <c r="AC156" s="593">
        <f t="shared" si="127"/>
        <v>34.236333333333341</v>
      </c>
      <c r="AD156" s="653">
        <f t="shared" si="128"/>
        <v>1298.1677239291666</v>
      </c>
      <c r="AE156" s="598">
        <v>2500</v>
      </c>
      <c r="AF156" s="595">
        <f t="shared" si="129"/>
        <v>0.5073333333333333</v>
      </c>
      <c r="AG156" s="593">
        <v>9.6440000000000001</v>
      </c>
      <c r="AH156" s="593">
        <v>4.5170000000000003</v>
      </c>
      <c r="AI156" s="593">
        <f t="shared" si="130"/>
        <v>4.6196666666666664</v>
      </c>
      <c r="AJ156" s="593">
        <f t="shared" si="131"/>
        <v>33.95633333333334</v>
      </c>
      <c r="AK156" s="653">
        <f t="shared" si="132"/>
        <v>1370.6248989291666</v>
      </c>
      <c r="AL156" s="598">
        <v>2500</v>
      </c>
      <c r="AM156" s="595">
        <f t="shared" si="133"/>
        <v>0.8813333333333333</v>
      </c>
      <c r="AN156" s="593">
        <v>9.6440000000000001</v>
      </c>
      <c r="AO156" s="593">
        <v>4.5170000000000003</v>
      </c>
      <c r="AP156" s="593">
        <f t="shared" si="134"/>
        <v>4.2456666666666667</v>
      </c>
      <c r="AQ156" s="593">
        <f t="shared" si="135"/>
        <v>34.330333333333336</v>
      </c>
      <c r="AR156" s="698">
        <f t="shared" si="136"/>
        <v>1273.5356396291666</v>
      </c>
      <c r="AS156" s="598">
        <v>2500</v>
      </c>
      <c r="AT156" s="595">
        <f t="shared" si="137"/>
        <v>0.36366666666666669</v>
      </c>
      <c r="AU156" s="593">
        <v>9.6440000000000001</v>
      </c>
      <c r="AV156" s="593">
        <v>4.5170000000000003</v>
      </c>
      <c r="AW156" s="593">
        <f t="shared" si="138"/>
        <v>4.7633333333333328</v>
      </c>
      <c r="AX156" s="593">
        <f t="shared" si="139"/>
        <v>33.812666666666672</v>
      </c>
      <c r="AY156" s="698">
        <f t="shared" si="140"/>
        <v>1407.2705069166666</v>
      </c>
      <c r="AZ156" s="75"/>
      <c r="BA156" s="598">
        <v>2500</v>
      </c>
      <c r="BB156" s="593">
        <v>103.50685607036536</v>
      </c>
      <c r="BC156" s="667">
        <f>(BB163-BB164)/BB145</f>
        <v>1.0208019450245007</v>
      </c>
      <c r="BD156" s="714">
        <f>D156-BB161</f>
        <v>18.299999999999955</v>
      </c>
      <c r="BE156" s="667">
        <f>BB163-BB164</f>
        <v>105.66000000000001</v>
      </c>
      <c r="BF156" s="667">
        <f t="shared" si="141"/>
        <v>17.319704713231072</v>
      </c>
      <c r="BG156" s="668">
        <f t="shared" si="142"/>
        <v>17.679988258516293</v>
      </c>
      <c r="BH156" s="598">
        <v>2500</v>
      </c>
      <c r="BI156" s="593">
        <v>103.50685607036536</v>
      </c>
      <c r="BJ156" s="667">
        <f>(BI163-BI164)/BI145</f>
        <v>1.2603029881548942</v>
      </c>
      <c r="BK156" s="714">
        <f>I156-BI161</f>
        <v>15.079999999999984</v>
      </c>
      <c r="BL156" s="667">
        <f>BI163-BI164</f>
        <v>130.45000000000002</v>
      </c>
      <c r="BM156" s="667">
        <f t="shared" si="143"/>
        <v>11.559984668455334</v>
      </c>
      <c r="BN156" s="668">
        <f t="shared" si="144"/>
        <v>14.569083220679021</v>
      </c>
      <c r="BO156" s="598">
        <v>2500</v>
      </c>
      <c r="BP156" s="679">
        <v>103.50685607036536</v>
      </c>
      <c r="BQ156" s="667">
        <f>(BP163-BP164)/BP145</f>
        <v>1.1491026248458651</v>
      </c>
      <c r="BR156" s="714">
        <f>N156-BP161</f>
        <v>17.970000000000027</v>
      </c>
      <c r="BS156" s="667">
        <f>BP163-BP164</f>
        <v>118.94</v>
      </c>
      <c r="BT156" s="667">
        <f t="shared" si="145"/>
        <v>15.108458046073675</v>
      </c>
      <c r="BU156" s="710">
        <f t="shared" si="146"/>
        <v>17.361168798116889</v>
      </c>
      <c r="BV156" s="598">
        <v>2500</v>
      </c>
      <c r="BW156" s="593">
        <v>103.50685607036536</v>
      </c>
      <c r="BX156" s="667">
        <f>(BW163-BW164)/BW145</f>
        <v>1.4685017569915209</v>
      </c>
      <c r="BY156" s="714">
        <f>S156-BW161</f>
        <v>18.079999999999984</v>
      </c>
      <c r="BZ156" s="667">
        <f>BW163-BW164</f>
        <v>152</v>
      </c>
      <c r="CA156" s="667">
        <f t="shared" si="147"/>
        <v>11.894736842105253</v>
      </c>
      <c r="CB156" s="668">
        <f t="shared" si="148"/>
        <v>17.467441951583339</v>
      </c>
      <c r="CC156" s="560"/>
    </row>
    <row r="157" spans="1:81" ht="15.75">
      <c r="A157" s="564"/>
      <c r="B157" s="585" t="s">
        <v>116</v>
      </c>
      <c r="C157" s="621">
        <v>5000</v>
      </c>
      <c r="D157" s="638">
        <v>407.49</v>
      </c>
      <c r="E157" s="595">
        <v>13.97</v>
      </c>
      <c r="F157" s="595">
        <v>11.37</v>
      </c>
      <c r="G157" s="595">
        <v>11.51</v>
      </c>
      <c r="H157" s="598">
        <v>5000</v>
      </c>
      <c r="I157" s="559">
        <v>429.48</v>
      </c>
      <c r="J157" s="617">
        <v>8.39</v>
      </c>
      <c r="K157" s="617">
        <v>8.4</v>
      </c>
      <c r="L157" s="617">
        <v>7.95</v>
      </c>
      <c r="M157" s="598">
        <v>5000</v>
      </c>
      <c r="N157" s="559">
        <v>419.64</v>
      </c>
      <c r="O157" s="617">
        <v>10.46</v>
      </c>
      <c r="P157" s="617">
        <v>9.61</v>
      </c>
      <c r="Q157" s="617">
        <v>11.89</v>
      </c>
      <c r="R157" s="598">
        <v>5000</v>
      </c>
      <c r="S157" s="559">
        <v>452.57</v>
      </c>
      <c r="T157" s="617">
        <v>4.17</v>
      </c>
      <c r="U157" s="617">
        <v>5.03</v>
      </c>
      <c r="V157" s="617">
        <v>4.92</v>
      </c>
      <c r="W157" s="564"/>
      <c r="X157" s="598">
        <v>5000</v>
      </c>
      <c r="Y157" s="592">
        <f t="shared" si="125"/>
        <v>1.2283333333333333</v>
      </c>
      <c r="Z157" s="593">
        <v>9.6440000000000001</v>
      </c>
      <c r="AA157" s="593">
        <v>4.5170000000000003</v>
      </c>
      <c r="AB157" s="593">
        <f t="shared" si="126"/>
        <v>3.8986666666666663</v>
      </c>
      <c r="AC157" s="593">
        <f t="shared" si="127"/>
        <v>34.677333333333337</v>
      </c>
      <c r="AD157" s="653">
        <f t="shared" si="128"/>
        <v>4725.0779562666658</v>
      </c>
      <c r="AE157" s="598">
        <v>5000</v>
      </c>
      <c r="AF157" s="595">
        <f t="shared" si="129"/>
        <v>0.82466666666666666</v>
      </c>
      <c r="AG157" s="593">
        <v>9.6440000000000001</v>
      </c>
      <c r="AH157" s="593">
        <v>4.5170000000000003</v>
      </c>
      <c r="AI157" s="593">
        <f t="shared" si="130"/>
        <v>4.3023333333333333</v>
      </c>
      <c r="AJ157" s="593">
        <f t="shared" si="131"/>
        <v>34.273666666666671</v>
      </c>
      <c r="AK157" s="653">
        <f t="shared" si="132"/>
        <v>5153.6130125166674</v>
      </c>
      <c r="AL157" s="598">
        <v>5000</v>
      </c>
      <c r="AM157" s="595">
        <f t="shared" si="133"/>
        <v>1.0653333333333335</v>
      </c>
      <c r="AN157" s="593">
        <v>9.6440000000000001</v>
      </c>
      <c r="AO157" s="593">
        <v>4.5170000000000003</v>
      </c>
      <c r="AP157" s="593">
        <f t="shared" si="134"/>
        <v>4.0616666666666665</v>
      </c>
      <c r="AQ157" s="593">
        <f t="shared" si="135"/>
        <v>34.51433333333334</v>
      </c>
      <c r="AR157" s="698">
        <f t="shared" si="136"/>
        <v>4899.4908169166665</v>
      </c>
      <c r="AS157" s="598">
        <v>5000</v>
      </c>
      <c r="AT157" s="595">
        <f t="shared" si="137"/>
        <v>0.47066666666666662</v>
      </c>
      <c r="AU157" s="593">
        <v>9.6440000000000001</v>
      </c>
      <c r="AV157" s="593">
        <v>4.5170000000000003</v>
      </c>
      <c r="AW157" s="593">
        <f t="shared" si="138"/>
        <v>4.6563333333333334</v>
      </c>
      <c r="AX157" s="593">
        <f t="shared" si="139"/>
        <v>33.919666666666672</v>
      </c>
      <c r="AY157" s="698">
        <f t="shared" si="140"/>
        <v>5520.0475457166667</v>
      </c>
      <c r="AZ157" s="75"/>
      <c r="BA157" s="598">
        <v>5000</v>
      </c>
      <c r="BB157" s="593">
        <v>103.50685607036536</v>
      </c>
      <c r="BC157" s="667">
        <f>(BB163-BB164)/BB145</f>
        <v>1.0208019450245007</v>
      </c>
      <c r="BD157" s="714">
        <f>D157-BB161</f>
        <v>14.289999999999964</v>
      </c>
      <c r="BE157" s="667">
        <f>BB163-BB164</f>
        <v>105.66000000000001</v>
      </c>
      <c r="BF157" s="667">
        <f t="shared" si="141"/>
        <v>13.524512587544921</v>
      </c>
      <c r="BG157" s="668">
        <f t="shared" si="142"/>
        <v>13.805848754874198</v>
      </c>
      <c r="BH157" s="598">
        <v>5000</v>
      </c>
      <c r="BI157" s="593">
        <v>103.50685607036536</v>
      </c>
      <c r="BJ157" s="667">
        <f>(BI163-BI164)/BI145</f>
        <v>1.2603029881548942</v>
      </c>
      <c r="BK157" s="714">
        <f>I157-BI161</f>
        <v>11.899999999999977</v>
      </c>
      <c r="BL157" s="667">
        <f>BI163-BI164</f>
        <v>130.45000000000002</v>
      </c>
      <c r="BM157" s="667">
        <f t="shared" si="143"/>
        <v>9.1222690686086434</v>
      </c>
      <c r="BN157" s="668">
        <f t="shared" si="144"/>
        <v>11.496822965920437</v>
      </c>
      <c r="BO157" s="598">
        <v>5000</v>
      </c>
      <c r="BP157" s="679">
        <v>103.50685607036536</v>
      </c>
      <c r="BQ157" s="667">
        <f>(BP163-BP164)/BP145</f>
        <v>1.1491026248458651</v>
      </c>
      <c r="BR157" s="714">
        <f>N157-BP161</f>
        <v>13.819999999999993</v>
      </c>
      <c r="BS157" s="667">
        <f>BP163-BP164</f>
        <v>118.94</v>
      </c>
      <c r="BT157" s="667">
        <f t="shared" si="145"/>
        <v>11.61930385068101</v>
      </c>
      <c r="BU157" s="710">
        <f t="shared" si="146"/>
        <v>13.351772553699217</v>
      </c>
      <c r="BV157" s="598">
        <v>5000</v>
      </c>
      <c r="BW157" s="593">
        <v>103.50685607036536</v>
      </c>
      <c r="BX157" s="667">
        <f>(BW163-BW164)/BW145</f>
        <v>1.4685017569915209</v>
      </c>
      <c r="BY157" s="714">
        <f>S157-BW161</f>
        <v>13.769999999999982</v>
      </c>
      <c r="BZ157" s="667">
        <f>BW163-BW164</f>
        <v>152</v>
      </c>
      <c r="CA157" s="667">
        <f t="shared" si="147"/>
        <v>9.0592105263157787</v>
      </c>
      <c r="CB157" s="668">
        <f t="shared" si="148"/>
        <v>13.303466574850802</v>
      </c>
      <c r="CC157" s="560"/>
    </row>
    <row r="158" spans="1:81" ht="15.75">
      <c r="A158" s="564"/>
      <c r="B158" s="585" t="s">
        <v>116</v>
      </c>
      <c r="C158" s="621">
        <v>7000</v>
      </c>
      <c r="D158" s="638">
        <v>405.7</v>
      </c>
      <c r="E158" s="595">
        <v>15.64</v>
      </c>
      <c r="F158" s="595">
        <v>13.36</v>
      </c>
      <c r="G158" s="595">
        <v>13.35</v>
      </c>
      <c r="H158" s="598">
        <v>7000</v>
      </c>
      <c r="I158" s="559">
        <v>428</v>
      </c>
      <c r="J158" s="617">
        <v>9.83</v>
      </c>
      <c r="K158" s="617">
        <v>9.81</v>
      </c>
      <c r="L158" s="617">
        <v>9.39</v>
      </c>
      <c r="M158" s="598">
        <v>7000</v>
      </c>
      <c r="N158" s="559">
        <v>417.74</v>
      </c>
      <c r="O158" s="617">
        <v>11.9</v>
      </c>
      <c r="P158" s="617">
        <v>11.28</v>
      </c>
      <c r="Q158" s="617">
        <v>12.77</v>
      </c>
      <c r="R158" s="598">
        <v>7000</v>
      </c>
      <c r="S158" s="559">
        <v>450.67</v>
      </c>
      <c r="T158" s="617">
        <v>4.8899999999999997</v>
      </c>
      <c r="U158" s="617">
        <v>5.85</v>
      </c>
      <c r="V158" s="617">
        <v>5.39</v>
      </c>
      <c r="W158" s="564"/>
      <c r="X158" s="598">
        <v>7000</v>
      </c>
      <c r="Y158" s="592">
        <f t="shared" si="125"/>
        <v>1.4116666666666666</v>
      </c>
      <c r="Z158" s="593">
        <v>9.6440000000000001</v>
      </c>
      <c r="AA158" s="593">
        <v>4.5170000000000003</v>
      </c>
      <c r="AB158" s="593">
        <f t="shared" si="126"/>
        <v>3.7153333333333336</v>
      </c>
      <c r="AC158" s="593">
        <f t="shared" si="127"/>
        <v>34.860666666666674</v>
      </c>
      <c r="AD158" s="653">
        <f t="shared" si="128"/>
        <v>8872.3103248826683</v>
      </c>
      <c r="AE158" s="598">
        <v>7000</v>
      </c>
      <c r="AF158" s="595">
        <f t="shared" si="129"/>
        <v>0.96766666666666679</v>
      </c>
      <c r="AG158" s="593">
        <v>9.6440000000000001</v>
      </c>
      <c r="AH158" s="593">
        <v>4.5170000000000003</v>
      </c>
      <c r="AI158" s="593">
        <f t="shared" si="130"/>
        <v>4.1593333333333327</v>
      </c>
      <c r="AJ158" s="593">
        <f t="shared" si="131"/>
        <v>34.416666666666671</v>
      </c>
      <c r="AK158" s="653">
        <f t="shared" si="132"/>
        <v>9806.0879396666642</v>
      </c>
      <c r="AL158" s="598">
        <v>7000</v>
      </c>
      <c r="AM158" s="595">
        <f t="shared" si="133"/>
        <v>1.1983333333333335</v>
      </c>
      <c r="AN158" s="593">
        <v>9.6440000000000001</v>
      </c>
      <c r="AO158" s="593">
        <v>4.5170000000000003</v>
      </c>
      <c r="AP158" s="593">
        <f t="shared" si="134"/>
        <v>3.9286666666666665</v>
      </c>
      <c r="AQ158" s="593">
        <f t="shared" si="135"/>
        <v>34.647333333333336</v>
      </c>
      <c r="AR158" s="698">
        <f t="shared" si="136"/>
        <v>9324.3431492026666</v>
      </c>
      <c r="AS158" s="598">
        <v>7000</v>
      </c>
      <c r="AT158" s="595">
        <f t="shared" si="137"/>
        <v>0.53766666666666663</v>
      </c>
      <c r="AU158" s="593">
        <v>9.6440000000000001</v>
      </c>
      <c r="AV158" s="593">
        <v>4.5170000000000003</v>
      </c>
      <c r="AW158" s="593">
        <f t="shared" si="138"/>
        <v>4.5893333333333333</v>
      </c>
      <c r="AX158" s="593">
        <f t="shared" si="139"/>
        <v>33.986666666666672</v>
      </c>
      <c r="AY158" s="698">
        <f t="shared" si="140"/>
        <v>10684.677694506669</v>
      </c>
      <c r="AZ158" s="75"/>
      <c r="BA158" s="598">
        <v>7000</v>
      </c>
      <c r="BB158" s="593">
        <v>103.50685607036536</v>
      </c>
      <c r="BC158" s="667">
        <f>(BB163-BB164)/BB145</f>
        <v>1.0208019450245007</v>
      </c>
      <c r="BD158" s="714">
        <f>D158-BB161</f>
        <v>12.499999999999943</v>
      </c>
      <c r="BE158" s="667">
        <f>BB163-BB164</f>
        <v>105.66000000000001</v>
      </c>
      <c r="BF158" s="667">
        <f t="shared" si="141"/>
        <v>11.830399394283496</v>
      </c>
      <c r="BG158" s="668">
        <f t="shared" si="142"/>
        <v>12.076494712101269</v>
      </c>
      <c r="BH158" s="598">
        <v>7000</v>
      </c>
      <c r="BI158" s="593">
        <v>103.50685607036536</v>
      </c>
      <c r="BJ158" s="667">
        <f>(BI163-BI164)/BI145</f>
        <v>1.2603029881548942</v>
      </c>
      <c r="BK158" s="714">
        <f>I158-BI161</f>
        <v>10.419999999999959</v>
      </c>
      <c r="BL158" s="667">
        <f>BI163-BI164</f>
        <v>130.45000000000002</v>
      </c>
      <c r="BM158" s="667">
        <f t="shared" si="143"/>
        <v>7.9877347642774685</v>
      </c>
      <c r="BN158" s="668">
        <f t="shared" si="144"/>
        <v>10.066965992007622</v>
      </c>
      <c r="BO158" s="598">
        <v>7000</v>
      </c>
      <c r="BP158" s="679">
        <v>103.50685607036536</v>
      </c>
      <c r="BQ158" s="667">
        <f>(BP163-BP164)/BP145</f>
        <v>1.1491026248458651</v>
      </c>
      <c r="BR158" s="714">
        <f>N158-BP161</f>
        <v>11.920000000000016</v>
      </c>
      <c r="BS158" s="667">
        <f>BP163-BP164</f>
        <v>118.94</v>
      </c>
      <c r="BT158" s="667">
        <f t="shared" si="145"/>
        <v>10.02185976122416</v>
      </c>
      <c r="BU158" s="710">
        <f t="shared" si="146"/>
        <v>11.516145357459838</v>
      </c>
      <c r="BV158" s="598">
        <v>7000</v>
      </c>
      <c r="BW158" s="593">
        <v>103.50685607036536</v>
      </c>
      <c r="BX158" s="667">
        <f>(BW163-BW164)/BW145</f>
        <v>1.4685017569915209</v>
      </c>
      <c r="BY158" s="714">
        <f>S158-BW161</f>
        <v>11.870000000000005</v>
      </c>
      <c r="BZ158" s="667">
        <f>BW163-BW164</f>
        <v>152</v>
      </c>
      <c r="CA158" s="667">
        <f t="shared" si="147"/>
        <v>7.809210526315792</v>
      </c>
      <c r="CB158" s="668">
        <f t="shared" si="148"/>
        <v>11.467839378611419</v>
      </c>
      <c r="CC158" s="560"/>
    </row>
    <row r="159" spans="1:81" ht="15.75">
      <c r="A159" s="564"/>
      <c r="B159" s="585" t="s">
        <v>116</v>
      </c>
      <c r="C159" s="621">
        <v>9000</v>
      </c>
      <c r="D159" s="638">
        <v>404.46</v>
      </c>
      <c r="E159" s="27">
        <v>17.25</v>
      </c>
      <c r="F159" s="27">
        <v>15.72</v>
      </c>
      <c r="G159" s="27">
        <v>14.91</v>
      </c>
      <c r="H159" s="598">
        <v>9000</v>
      </c>
      <c r="I159" s="559">
        <v>427.02</v>
      </c>
      <c r="J159" s="617">
        <v>10.94</v>
      </c>
      <c r="K159" s="617">
        <v>11.3</v>
      </c>
      <c r="L159" s="617">
        <v>10.89</v>
      </c>
      <c r="M159" s="598">
        <v>9000</v>
      </c>
      <c r="N159" s="559">
        <v>416.46</v>
      </c>
      <c r="O159" s="617">
        <v>13.04</v>
      </c>
      <c r="P159" s="617">
        <v>12.72</v>
      </c>
      <c r="Q159" s="617">
        <v>14.17</v>
      </c>
      <c r="R159" s="598">
        <v>9000</v>
      </c>
      <c r="S159" s="559">
        <v>449.44</v>
      </c>
      <c r="T159" s="617">
        <v>5.75</v>
      </c>
      <c r="U159" s="617">
        <v>6.55</v>
      </c>
      <c r="V159" s="617">
        <v>6.51</v>
      </c>
      <c r="W159" s="564"/>
      <c r="X159" s="598">
        <v>9000</v>
      </c>
      <c r="Y159" s="592">
        <f t="shared" si="125"/>
        <v>1.5959999999999999</v>
      </c>
      <c r="Z159" s="593">
        <v>9.6440000000000001</v>
      </c>
      <c r="AA159" s="593">
        <v>4.5170000000000003</v>
      </c>
      <c r="AB159" s="593">
        <f t="shared" si="126"/>
        <v>3.5309999999999997</v>
      </c>
      <c r="AC159" s="593">
        <f t="shared" si="127"/>
        <v>35.045000000000002</v>
      </c>
      <c r="AD159" s="653">
        <f t="shared" si="128"/>
        <v>14012.511182009997</v>
      </c>
      <c r="AE159" s="598">
        <v>9000</v>
      </c>
      <c r="AF159" s="595">
        <f t="shared" si="129"/>
        <v>1.1043333333333334</v>
      </c>
      <c r="AG159" s="593">
        <v>9.6440000000000001</v>
      </c>
      <c r="AH159" s="593">
        <v>4.5170000000000003</v>
      </c>
      <c r="AI159" s="593">
        <f t="shared" si="130"/>
        <v>4.0226666666666659</v>
      </c>
      <c r="AJ159" s="593">
        <f t="shared" si="131"/>
        <v>34.553333333333342</v>
      </c>
      <c r="AK159" s="653">
        <f t="shared" si="132"/>
        <v>15739.690448159998</v>
      </c>
      <c r="AL159" s="598">
        <v>9000</v>
      </c>
      <c r="AM159" s="595">
        <f t="shared" si="133"/>
        <v>1.331</v>
      </c>
      <c r="AN159" s="593">
        <v>9.6440000000000001</v>
      </c>
      <c r="AO159" s="593">
        <v>4.5170000000000003</v>
      </c>
      <c r="AP159" s="593">
        <f t="shared" si="134"/>
        <v>3.7959999999999994</v>
      </c>
      <c r="AQ159" s="593">
        <f t="shared" si="135"/>
        <v>34.780000000000008</v>
      </c>
      <c r="AR159" s="698">
        <f t="shared" si="136"/>
        <v>14950.233361439999</v>
      </c>
      <c r="AS159" s="598">
        <v>9000</v>
      </c>
      <c r="AT159" s="595">
        <f t="shared" si="137"/>
        <v>0.627</v>
      </c>
      <c r="AU159" s="593">
        <v>9.6440000000000001</v>
      </c>
      <c r="AV159" s="593">
        <v>4.5170000000000003</v>
      </c>
      <c r="AW159" s="593">
        <f t="shared" si="138"/>
        <v>4.5</v>
      </c>
      <c r="AX159" s="593">
        <f t="shared" si="139"/>
        <v>34.076000000000008</v>
      </c>
      <c r="AY159" s="698">
        <f t="shared" si="140"/>
        <v>17364.141396000003</v>
      </c>
      <c r="AZ159" s="75"/>
      <c r="BA159" s="598">
        <v>9000</v>
      </c>
      <c r="BB159" s="593">
        <v>103.50685607036536</v>
      </c>
      <c r="BC159" s="667">
        <f>(BB163-BB164)/BB145</f>
        <v>1.0208019450245007</v>
      </c>
      <c r="BD159" s="714">
        <f>D159-BB161</f>
        <v>11.259999999999934</v>
      </c>
      <c r="BE159" s="667">
        <f>BB163-BB164</f>
        <v>105.66000000000001</v>
      </c>
      <c r="BF159" s="667">
        <f t="shared" si="141"/>
        <v>10.65682377437056</v>
      </c>
      <c r="BG159" s="668">
        <f t="shared" si="142"/>
        <v>10.878506436660809</v>
      </c>
      <c r="BH159" s="598">
        <v>9000</v>
      </c>
      <c r="BI159" s="593">
        <v>103.50685607036536</v>
      </c>
      <c r="BJ159" s="667">
        <f>(BI163-BI164)/BI145</f>
        <v>1.2603029881548942</v>
      </c>
      <c r="BK159" s="714">
        <f>I159-BI161</f>
        <v>9.4399999999999409</v>
      </c>
      <c r="BL159" s="667">
        <f>BI163-BI164</f>
        <v>130.45000000000002</v>
      </c>
      <c r="BM159" s="667">
        <f t="shared" si="143"/>
        <v>7.2364890762743883</v>
      </c>
      <c r="BN159" s="668">
        <f t="shared" si="144"/>
        <v>9.120168806578862</v>
      </c>
      <c r="BO159" s="598">
        <v>9000</v>
      </c>
      <c r="BP159" s="679">
        <v>103.50685607036536</v>
      </c>
      <c r="BQ159" s="667">
        <f>(BP163-BP164)/BP145</f>
        <v>1.1491026248458651</v>
      </c>
      <c r="BR159" s="714">
        <f>N159-BP161</f>
        <v>10.639999999999986</v>
      </c>
      <c r="BS159" s="667">
        <f>BP163-BP164</f>
        <v>118.94</v>
      </c>
      <c r="BT159" s="667">
        <f t="shared" si="145"/>
        <v>8.9456869009584548</v>
      </c>
      <c r="BU159" s="710">
        <f t="shared" si="146"/>
        <v>10.279512298940633</v>
      </c>
      <c r="BV159" s="598">
        <v>9000</v>
      </c>
      <c r="BW159" s="593">
        <v>103.50685607036536</v>
      </c>
      <c r="BX159" s="667">
        <f>(BW163-BW164)/BW145</f>
        <v>1.4685017569915209</v>
      </c>
      <c r="BY159" s="714">
        <f>S159-BW161</f>
        <v>10.639999999999986</v>
      </c>
      <c r="BZ159" s="667">
        <f>BW163-BW164</f>
        <v>152</v>
      </c>
      <c r="CA159" s="667">
        <f t="shared" si="147"/>
        <v>6.9999999999999911</v>
      </c>
      <c r="CB159" s="668">
        <f t="shared" si="148"/>
        <v>10.279512298940633</v>
      </c>
      <c r="CC159" s="560"/>
    </row>
    <row r="160" spans="1:81" ht="15.75">
      <c r="A160" s="564"/>
      <c r="B160" s="599" t="s">
        <v>116</v>
      </c>
      <c r="C160" s="622">
        <v>10000</v>
      </c>
      <c r="D160" s="638">
        <v>403.68</v>
      </c>
      <c r="E160" s="617">
        <v>17.89</v>
      </c>
      <c r="F160" s="617">
        <v>16.62</v>
      </c>
      <c r="G160" s="617">
        <v>15.55</v>
      </c>
      <c r="H160" s="607">
        <v>10000</v>
      </c>
      <c r="I160" s="559">
        <v>426.36</v>
      </c>
      <c r="J160" s="617">
        <v>11.87</v>
      </c>
      <c r="K160" s="617">
        <v>12.05</v>
      </c>
      <c r="L160" s="617">
        <v>11.27</v>
      </c>
      <c r="M160" s="607">
        <v>10000</v>
      </c>
      <c r="N160" s="559">
        <v>415.64</v>
      </c>
      <c r="O160" s="559">
        <v>13.52</v>
      </c>
      <c r="P160" s="559">
        <v>13.38</v>
      </c>
      <c r="Q160" s="559">
        <v>14.26</v>
      </c>
      <c r="R160" s="607">
        <v>10000</v>
      </c>
      <c r="S160" s="559">
        <v>448.61</v>
      </c>
      <c r="T160" s="559">
        <v>6.17</v>
      </c>
      <c r="U160" s="559">
        <v>6.87</v>
      </c>
      <c r="V160" s="559">
        <v>6.47</v>
      </c>
      <c r="W160" s="564"/>
      <c r="X160" s="607">
        <v>10000</v>
      </c>
      <c r="Y160" s="608">
        <f t="shared" si="125"/>
        <v>1.6686666666666667</v>
      </c>
      <c r="Z160" s="609">
        <v>9.6440000000000001</v>
      </c>
      <c r="AA160" s="609">
        <v>4.5170000000000003</v>
      </c>
      <c r="AB160" s="609">
        <f t="shared" si="126"/>
        <v>3.458333333333333</v>
      </c>
      <c r="AC160" s="609">
        <f t="shared" si="127"/>
        <v>35.117666666666672</v>
      </c>
      <c r="AD160" s="702">
        <f t="shared" si="128"/>
        <v>16978.513891666666</v>
      </c>
      <c r="AE160" s="607">
        <v>10000</v>
      </c>
      <c r="AF160" s="602">
        <f t="shared" si="129"/>
        <v>1.1729999999999998</v>
      </c>
      <c r="AG160" s="609">
        <v>9.6440000000000001</v>
      </c>
      <c r="AH160" s="609">
        <v>4.5170000000000003</v>
      </c>
      <c r="AI160" s="609">
        <f t="shared" si="130"/>
        <v>3.9539999999999997</v>
      </c>
      <c r="AJ160" s="609">
        <f t="shared" si="131"/>
        <v>34.622000000000007</v>
      </c>
      <c r="AK160" s="702">
        <f t="shared" si="132"/>
        <v>19137.9752424</v>
      </c>
      <c r="AL160" s="607">
        <v>10000</v>
      </c>
      <c r="AM160" s="602">
        <f t="shared" si="133"/>
        <v>1.3719999999999999</v>
      </c>
      <c r="AN160" s="609">
        <v>9.6440000000000001</v>
      </c>
      <c r="AO160" s="609">
        <v>4.5170000000000003</v>
      </c>
      <c r="AP160" s="609">
        <f t="shared" si="134"/>
        <v>3.7549999999999999</v>
      </c>
      <c r="AQ160" s="609">
        <f t="shared" si="135"/>
        <v>34.821000000000005</v>
      </c>
      <c r="AR160" s="699">
        <f t="shared" si="136"/>
        <v>18279.249129</v>
      </c>
      <c r="AS160" s="607">
        <v>10000</v>
      </c>
      <c r="AT160" s="602">
        <f t="shared" si="137"/>
        <v>0.65033333333333332</v>
      </c>
      <c r="AU160" s="609">
        <v>9.6440000000000001</v>
      </c>
      <c r="AV160" s="609">
        <v>4.5170000000000003</v>
      </c>
      <c r="AW160" s="609">
        <f t="shared" si="138"/>
        <v>4.4766666666666666</v>
      </c>
      <c r="AX160" s="609">
        <f t="shared" si="139"/>
        <v>34.099333333333341</v>
      </c>
      <c r="AY160" s="699">
        <f t="shared" si="140"/>
        <v>21340.658574666671</v>
      </c>
      <c r="AZ160" s="75"/>
      <c r="BA160" s="607">
        <v>10000</v>
      </c>
      <c r="BB160" s="609">
        <v>103.50685607036536</v>
      </c>
      <c r="BC160" s="667">
        <f>(BB163-BB164)/BB145</f>
        <v>1.0208019450245007</v>
      </c>
      <c r="BD160" s="714">
        <f>D160-BB161</f>
        <v>10.479999999999961</v>
      </c>
      <c r="BE160" s="682">
        <f>BB163-BB164</f>
        <v>105.66000000000001</v>
      </c>
      <c r="BF160" s="682">
        <f t="shared" si="141"/>
        <v>9.9186068521672919</v>
      </c>
      <c r="BG160" s="683">
        <f t="shared" si="142"/>
        <v>10.124933166625713</v>
      </c>
      <c r="BH160" s="607">
        <v>10000</v>
      </c>
      <c r="BI160" s="609">
        <v>103.50685607036536</v>
      </c>
      <c r="BJ160" s="667">
        <f>(BI163-BI164)/BI145</f>
        <v>1.2603029881548942</v>
      </c>
      <c r="BK160" s="714">
        <f>I160-BI161</f>
        <v>8.7799999999999727</v>
      </c>
      <c r="BL160" s="682">
        <f>BI163-BI164</f>
        <v>130.45000000000002</v>
      </c>
      <c r="BM160" s="682">
        <f t="shared" si="143"/>
        <v>6.7305481027213272</v>
      </c>
      <c r="BN160" s="683">
        <f t="shared" si="144"/>
        <v>8.4825298857799414</v>
      </c>
      <c r="BO160" s="607">
        <v>10000</v>
      </c>
      <c r="BP160" s="684">
        <v>103.50685607036536</v>
      </c>
      <c r="BQ160" s="667">
        <f>(BP163-BP164)/BP145</f>
        <v>1.1491026248458651</v>
      </c>
      <c r="BR160" s="714">
        <f>N160-BP161</f>
        <v>9.8199999999999932</v>
      </c>
      <c r="BS160" s="682">
        <f>BP163-BP164</f>
        <v>118.94</v>
      </c>
      <c r="BT160" s="682">
        <f t="shared" si="145"/>
        <v>8.2562636623507597</v>
      </c>
      <c r="BU160" s="711">
        <f t="shared" si="146"/>
        <v>9.4872942458267939</v>
      </c>
      <c r="BV160" s="607">
        <v>10000</v>
      </c>
      <c r="BW160" s="609">
        <v>103.50685607036536</v>
      </c>
      <c r="BX160" s="667">
        <f>(BW163-BW164)/BW145</f>
        <v>1.4685017569915209</v>
      </c>
      <c r="BY160" s="714">
        <f>S160-BW161</f>
        <v>9.8100000000000023</v>
      </c>
      <c r="BZ160" s="682">
        <f>BW163-BW164</f>
        <v>152</v>
      </c>
      <c r="CA160" s="682">
        <f t="shared" si="147"/>
        <v>6.4539473684210531</v>
      </c>
      <c r="CB160" s="683">
        <f t="shared" si="148"/>
        <v>9.4776330500571184</v>
      </c>
      <c r="CC160" s="560"/>
    </row>
    <row r="161" spans="1:81" ht="45">
      <c r="X161" s="560"/>
      <c r="Y161" s="560"/>
      <c r="Z161" s="560"/>
      <c r="AA161" s="560"/>
      <c r="AB161" s="560"/>
      <c r="AC161" s="560"/>
      <c r="AD161" s="560"/>
      <c r="AE161" s="559"/>
      <c r="AF161" s="559"/>
      <c r="AG161" s="559"/>
      <c r="AH161" s="559"/>
      <c r="AI161" s="559"/>
      <c r="AJ161" s="559"/>
      <c r="AK161" s="559"/>
      <c r="AL161" s="560"/>
      <c r="AM161" s="560"/>
      <c r="AN161" s="559"/>
      <c r="AO161" s="559"/>
      <c r="AP161" s="560"/>
      <c r="AQ161" s="560"/>
      <c r="AR161" s="560"/>
      <c r="AS161" s="560"/>
      <c r="AT161" s="560"/>
      <c r="AU161" s="560"/>
      <c r="AV161" s="560"/>
      <c r="AW161" s="560"/>
      <c r="AX161" s="560"/>
      <c r="AY161" s="560"/>
      <c r="AZ161" s="791" t="s">
        <v>144</v>
      </c>
      <c r="BA161" s="709" t="s">
        <v>1047</v>
      </c>
      <c r="BB161" s="565">
        <f>BB163+BB162</f>
        <v>393.20000000000005</v>
      </c>
      <c r="BC161" s="559"/>
      <c r="BD161" s="559"/>
      <c r="BE161" s="559"/>
      <c r="BF161" s="559"/>
      <c r="BG161" s="559"/>
      <c r="BH161" s="709" t="s">
        <v>1047</v>
      </c>
      <c r="BI161" s="565">
        <f>BI163+BI162</f>
        <v>417.58000000000004</v>
      </c>
      <c r="BJ161" s="559"/>
      <c r="BK161" s="569"/>
      <c r="BL161" s="569"/>
      <c r="BM161" s="569"/>
      <c r="BN161" s="569"/>
      <c r="BO161" s="709" t="s">
        <v>1047</v>
      </c>
      <c r="BP161" s="697">
        <f>BP162+BP163</f>
        <v>405.82</v>
      </c>
      <c r="BQ161" s="560"/>
      <c r="BR161" s="559"/>
      <c r="BS161" s="559"/>
      <c r="BT161" s="559"/>
      <c r="BU161" s="559"/>
      <c r="BV161" s="709" t="s">
        <v>1047</v>
      </c>
      <c r="BW161" s="564">
        <f>BW162+BW163</f>
        <v>438.8</v>
      </c>
      <c r="BX161" s="560"/>
      <c r="BY161" s="560"/>
      <c r="BZ161" s="560"/>
      <c r="CA161" s="560"/>
      <c r="CB161" s="560"/>
      <c r="CC161" s="560"/>
    </row>
    <row r="162" spans="1:81">
      <c r="X162" s="560"/>
      <c r="Y162" s="560"/>
      <c r="Z162" s="560"/>
      <c r="AA162" s="560"/>
      <c r="AB162" s="560"/>
      <c r="AC162" s="560"/>
      <c r="AD162" s="560"/>
      <c r="AE162" s="559"/>
      <c r="AF162" s="559"/>
      <c r="AG162" s="559"/>
      <c r="AH162" s="559"/>
      <c r="AI162" s="559"/>
      <c r="AJ162" s="559"/>
      <c r="AK162" s="559"/>
      <c r="AL162" s="560"/>
      <c r="AM162" s="560"/>
      <c r="AN162" s="559"/>
      <c r="AO162" s="559"/>
      <c r="AP162" s="560"/>
      <c r="AQ162" s="560"/>
      <c r="AR162" s="560"/>
      <c r="AS162" s="560"/>
      <c r="AT162" s="560"/>
      <c r="AU162" s="560"/>
      <c r="AV162" s="560"/>
      <c r="AW162" s="560"/>
      <c r="AX162" s="560"/>
      <c r="AY162" s="560"/>
      <c r="AZ162" s="791"/>
      <c r="BA162" s="655" t="s">
        <v>1048</v>
      </c>
      <c r="BB162" s="569">
        <v>215.12</v>
      </c>
      <c r="BC162" s="559"/>
      <c r="BD162" s="559"/>
      <c r="BE162" s="559"/>
      <c r="BF162" s="559"/>
      <c r="BG162" s="559"/>
      <c r="BH162" s="655" t="s">
        <v>1048</v>
      </c>
      <c r="BI162" s="569">
        <v>215.03</v>
      </c>
      <c r="BJ162" s="559"/>
      <c r="BK162" s="569"/>
      <c r="BL162" s="569"/>
      <c r="BM162" s="569"/>
      <c r="BN162" s="569"/>
      <c r="BO162" s="655" t="s">
        <v>1048</v>
      </c>
      <c r="BP162" s="559">
        <v>214.88</v>
      </c>
      <c r="BQ162" s="560"/>
      <c r="BR162" s="559"/>
      <c r="BS162" s="559"/>
      <c r="BT162" s="620"/>
      <c r="BU162" s="620"/>
      <c r="BV162" s="655" t="s">
        <v>1048</v>
      </c>
      <c r="BW162" s="560">
        <v>214.58</v>
      </c>
      <c r="BX162" s="560"/>
      <c r="BY162" s="560"/>
      <c r="BZ162" s="560"/>
      <c r="CA162" s="560"/>
      <c r="CB162" s="560"/>
      <c r="CC162" s="560"/>
    </row>
    <row r="163" spans="1:81">
      <c r="X163" s="560"/>
      <c r="Y163" s="560"/>
      <c r="Z163" s="560"/>
      <c r="AA163" s="560"/>
      <c r="AB163" s="560"/>
      <c r="AC163" s="560"/>
      <c r="AD163" s="560"/>
      <c r="AE163" s="559"/>
      <c r="AF163" s="559"/>
      <c r="AG163" s="559"/>
      <c r="AH163" s="559"/>
      <c r="AI163" s="559"/>
      <c r="AJ163" s="559"/>
      <c r="AK163" s="559"/>
      <c r="AL163" s="560"/>
      <c r="AM163" s="560"/>
      <c r="AN163" s="559"/>
      <c r="AO163" s="559"/>
      <c r="AP163" s="560"/>
      <c r="AQ163" s="560"/>
      <c r="AR163" s="560"/>
      <c r="AS163" s="560"/>
      <c r="AT163" s="560"/>
      <c r="AU163" s="560"/>
      <c r="AV163" s="560"/>
      <c r="AW163" s="560"/>
      <c r="AX163" s="560"/>
      <c r="AY163" s="560"/>
      <c r="AZ163" s="791"/>
      <c r="BA163" s="655" t="s">
        <v>1049</v>
      </c>
      <c r="BB163" s="713">
        <v>178.08</v>
      </c>
      <c r="BC163" s="559"/>
      <c r="BD163" s="559"/>
      <c r="BE163" s="559"/>
      <c r="BF163" s="559"/>
      <c r="BG163" s="559"/>
      <c r="BH163" s="655" t="s">
        <v>1049</v>
      </c>
      <c r="BI163" s="565">
        <v>202.55</v>
      </c>
      <c r="BJ163" s="559"/>
      <c r="BK163" s="569"/>
      <c r="BL163" s="569"/>
      <c r="BM163" s="569"/>
      <c r="BN163" s="569"/>
      <c r="BO163" s="655" t="s">
        <v>1049</v>
      </c>
      <c r="BP163" s="697">
        <v>190.94</v>
      </c>
      <c r="BQ163" s="560"/>
      <c r="BR163" s="559"/>
      <c r="BS163" s="559"/>
      <c r="BT163" s="620"/>
      <c r="BU163" s="620"/>
      <c r="BV163" s="655" t="s">
        <v>1049</v>
      </c>
      <c r="BW163" s="697">
        <v>224.22</v>
      </c>
      <c r="BX163" s="560"/>
      <c r="BY163" s="560"/>
      <c r="BZ163" s="560"/>
      <c r="CA163" s="560"/>
      <c r="CB163" s="560"/>
      <c r="CC163" s="560"/>
    </row>
    <row r="164" spans="1:81">
      <c r="X164" s="560"/>
      <c r="Y164" s="560"/>
      <c r="Z164" s="560"/>
      <c r="AA164" s="560"/>
      <c r="AB164" s="560"/>
      <c r="AC164" s="560"/>
      <c r="AD164" s="560"/>
      <c r="AE164" s="559"/>
      <c r="AF164" s="559"/>
      <c r="AG164" s="559"/>
      <c r="AH164" s="559"/>
      <c r="AI164" s="559"/>
      <c r="AJ164" s="559"/>
      <c r="AK164" s="559"/>
      <c r="AL164" s="560"/>
      <c r="AM164" s="560"/>
      <c r="AN164" s="559"/>
      <c r="AO164" s="559"/>
      <c r="AP164" s="560"/>
      <c r="AQ164" s="560"/>
      <c r="AR164" s="560"/>
      <c r="AS164" s="560"/>
      <c r="AT164" s="560"/>
      <c r="AU164" s="560"/>
      <c r="AV164" s="560"/>
      <c r="AW164" s="560"/>
      <c r="AX164" s="560"/>
      <c r="AY164" s="560"/>
      <c r="AZ164" s="791"/>
      <c r="BA164" s="655" t="s">
        <v>1050</v>
      </c>
      <c r="BB164" s="569">
        <v>72.42</v>
      </c>
      <c r="BC164" s="559"/>
      <c r="BD164" s="560"/>
      <c r="BE164" s="560"/>
      <c r="BF164" s="560"/>
      <c r="BG164" s="560"/>
      <c r="BH164" s="655" t="s">
        <v>1050</v>
      </c>
      <c r="BI164" s="569">
        <v>72.099999999999994</v>
      </c>
      <c r="BJ164" s="559"/>
      <c r="BK164" s="560"/>
      <c r="BL164" s="560"/>
      <c r="BM164" s="560"/>
      <c r="BN164" s="560"/>
      <c r="BO164" s="655" t="s">
        <v>1050</v>
      </c>
      <c r="BP164" s="559">
        <v>72</v>
      </c>
      <c r="BQ164" s="560"/>
      <c r="BR164" s="560"/>
      <c r="BS164" s="560"/>
      <c r="BT164" s="560"/>
      <c r="BU164" s="560"/>
      <c r="BV164" s="655" t="s">
        <v>1050</v>
      </c>
      <c r="BW164" s="560">
        <v>72.22</v>
      </c>
      <c r="BX164" s="560"/>
      <c r="BY164" s="560"/>
      <c r="BZ164" s="560"/>
      <c r="CA164" s="560"/>
      <c r="CB164" s="560"/>
      <c r="CC164" s="560"/>
    </row>
    <row r="165" spans="1:81">
      <c r="X165" s="560"/>
      <c r="Y165" s="560"/>
      <c r="Z165" s="560"/>
      <c r="AA165" s="560"/>
      <c r="AB165" s="560"/>
      <c r="AC165" s="560"/>
      <c r="AD165" s="560"/>
      <c r="AE165" s="559"/>
      <c r="AF165" s="559"/>
      <c r="AG165" s="559"/>
      <c r="AH165" s="559"/>
      <c r="AI165" s="559"/>
      <c r="AJ165" s="559"/>
      <c r="AK165" s="559"/>
      <c r="AL165" s="560"/>
      <c r="AM165" s="560"/>
      <c r="AN165" s="559"/>
      <c r="AO165" s="559"/>
      <c r="AP165" s="560"/>
      <c r="AQ165" s="560"/>
      <c r="AR165" s="560"/>
      <c r="AS165" s="560"/>
      <c r="AT165" s="560"/>
      <c r="AU165" s="560"/>
      <c r="AV165" s="560"/>
      <c r="AW165" s="560"/>
      <c r="AX165" s="560"/>
      <c r="AY165" s="560"/>
      <c r="BA165" s="560"/>
      <c r="BB165" s="560"/>
      <c r="BC165" s="559"/>
      <c r="BD165" s="560"/>
      <c r="BE165" s="560"/>
      <c r="BF165" s="560"/>
      <c r="BG165" s="560"/>
      <c r="BH165" s="560"/>
      <c r="BI165" s="560"/>
      <c r="BJ165" s="559"/>
      <c r="BK165" s="560"/>
      <c r="BL165" s="560"/>
      <c r="BM165" s="560"/>
      <c r="BN165" s="560"/>
      <c r="BO165" s="560"/>
      <c r="BP165" s="560"/>
      <c r="BQ165" s="560"/>
      <c r="BR165" s="560"/>
      <c r="BS165" s="560"/>
      <c r="BT165" s="560"/>
      <c r="BU165" s="560"/>
      <c r="BV165" s="560"/>
      <c r="BW165" s="560"/>
      <c r="BX165" s="560"/>
      <c r="BY165" s="560"/>
      <c r="BZ165" s="560"/>
      <c r="CA165" s="560"/>
      <c r="CB165" s="560"/>
      <c r="CC165" s="560"/>
    </row>
    <row r="166" spans="1:81" ht="18.75">
      <c r="A166" s="70" t="s">
        <v>165</v>
      </c>
      <c r="B166" s="71"/>
      <c r="X166" s="560"/>
      <c r="Y166" s="560"/>
      <c r="Z166" s="560"/>
      <c r="AA166" s="560"/>
      <c r="AB166" s="560"/>
      <c r="AC166" s="560"/>
      <c r="AD166" s="560"/>
      <c r="AE166" s="559"/>
      <c r="AF166" s="559"/>
      <c r="AG166" s="559"/>
      <c r="AH166" s="559"/>
      <c r="AI166" s="559"/>
      <c r="AJ166" s="559"/>
      <c r="AK166" s="559"/>
      <c r="AL166" s="560"/>
      <c r="AM166" s="560"/>
      <c r="AN166" s="559"/>
      <c r="AO166" s="559"/>
      <c r="AP166" s="560"/>
      <c r="AQ166" s="560"/>
      <c r="AR166" s="560"/>
      <c r="AS166" s="560"/>
      <c r="AT166" s="560"/>
      <c r="AU166" s="560"/>
      <c r="AV166" s="560"/>
      <c r="AW166" s="560"/>
      <c r="AX166" s="560"/>
      <c r="AY166" s="560"/>
      <c r="BA166" s="560"/>
      <c r="BB166" s="560"/>
      <c r="BC166" s="559"/>
      <c r="BD166" s="560"/>
      <c r="BE166" s="560"/>
      <c r="BF166" s="560"/>
      <c r="BG166" s="560"/>
      <c r="BH166" s="560"/>
      <c r="BI166" s="560"/>
      <c r="BJ166" s="559"/>
      <c r="BK166" s="560"/>
      <c r="BL166" s="560"/>
      <c r="BM166" s="560"/>
      <c r="BN166" s="560"/>
      <c r="BO166" s="560"/>
      <c r="BP166" s="560"/>
      <c r="BQ166" s="560"/>
      <c r="BR166" s="560"/>
      <c r="BS166" s="560"/>
      <c r="BT166" s="560"/>
      <c r="BU166" s="560"/>
      <c r="BV166" s="560"/>
      <c r="BW166" s="560"/>
      <c r="BX166" s="560"/>
      <c r="BY166" s="560"/>
      <c r="BZ166" s="560"/>
      <c r="CA166" s="560"/>
      <c r="CB166" s="560"/>
      <c r="CC166" s="560"/>
    </row>
    <row r="167" spans="1:81" ht="18.75">
      <c r="A167" s="804" t="s">
        <v>162</v>
      </c>
      <c r="B167" s="804"/>
      <c r="C167" s="804"/>
      <c r="D167" s="804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89"/>
      <c r="P167" s="89"/>
      <c r="Q167" s="89"/>
      <c r="R167" s="90"/>
      <c r="S167" s="90"/>
      <c r="T167" s="90"/>
      <c r="U167" s="90"/>
      <c r="V167" s="90"/>
      <c r="W167" s="90"/>
      <c r="X167" s="613"/>
      <c r="Y167" s="613"/>
      <c r="Z167" s="613"/>
      <c r="AA167" s="613"/>
      <c r="AB167" s="613"/>
      <c r="AC167" s="613"/>
      <c r="AD167" s="613"/>
      <c r="AE167" s="614"/>
      <c r="AF167" s="614"/>
      <c r="AG167" s="614"/>
      <c r="AH167" s="614"/>
      <c r="AI167" s="614"/>
      <c r="AJ167" s="614"/>
      <c r="AK167" s="614"/>
      <c r="AL167" s="613"/>
      <c r="AM167" s="613"/>
      <c r="AN167" s="614"/>
      <c r="AO167" s="614"/>
      <c r="AP167" s="613"/>
      <c r="AQ167" s="613"/>
      <c r="AR167" s="613"/>
      <c r="AS167" s="613"/>
      <c r="AT167" s="613"/>
      <c r="AU167" s="613"/>
      <c r="AV167" s="613"/>
      <c r="AW167" s="613"/>
      <c r="AX167" s="613"/>
      <c r="AY167" s="613"/>
      <c r="AZ167" s="89"/>
      <c r="BA167" s="613"/>
      <c r="BB167" s="613"/>
      <c r="BC167" s="614"/>
      <c r="BD167" s="613"/>
      <c r="BE167" s="613"/>
      <c r="BF167" s="613"/>
      <c r="BG167" s="613"/>
      <c r="BH167" s="613"/>
      <c r="BI167" s="613"/>
      <c r="BJ167" s="614"/>
      <c r="BK167" s="613"/>
      <c r="BL167" s="613"/>
      <c r="BM167" s="613"/>
      <c r="BN167" s="613"/>
      <c r="BO167" s="613"/>
      <c r="BP167" s="613"/>
      <c r="BQ167" s="613"/>
      <c r="BR167" s="613"/>
      <c r="BS167" s="613"/>
      <c r="BT167" s="613"/>
      <c r="BU167" s="613"/>
      <c r="BV167" s="613"/>
      <c r="BW167" s="613"/>
      <c r="BX167" s="613"/>
      <c r="BY167" s="613"/>
      <c r="BZ167" s="613"/>
      <c r="CA167" s="613"/>
      <c r="CB167" s="613"/>
      <c r="CC167" s="560"/>
    </row>
    <row r="168" spans="1:81">
      <c r="X168" s="560"/>
      <c r="Y168" s="560"/>
      <c r="Z168" s="560"/>
      <c r="AA168" s="560"/>
      <c r="AB168" s="560"/>
      <c r="AC168" s="560"/>
      <c r="AD168" s="560"/>
      <c r="AE168" s="559"/>
      <c r="AF168" s="559"/>
      <c r="AG168" s="559"/>
      <c r="AH168" s="559"/>
      <c r="AI168" s="559"/>
      <c r="AJ168" s="559"/>
      <c r="AK168" s="559"/>
      <c r="AL168" s="560"/>
      <c r="AM168" s="560"/>
      <c r="AN168" s="559"/>
      <c r="AO168" s="559"/>
      <c r="AP168" s="560"/>
      <c r="AQ168" s="560"/>
      <c r="AR168" s="560"/>
      <c r="AS168" s="560"/>
      <c r="AT168" s="560"/>
      <c r="AU168" s="560"/>
      <c r="AV168" s="560"/>
      <c r="AW168" s="560"/>
      <c r="AX168" s="560"/>
      <c r="AY168" s="560"/>
      <c r="BA168" s="560"/>
      <c r="BB168" s="560"/>
      <c r="BC168" s="559"/>
      <c r="BD168" s="560"/>
      <c r="BE168" s="560"/>
      <c r="BF168" s="560"/>
      <c r="BG168" s="560"/>
      <c r="BH168" s="560"/>
      <c r="BI168" s="560"/>
      <c r="BJ168" s="559"/>
      <c r="BK168" s="560"/>
      <c r="BL168" s="560"/>
      <c r="BM168" s="560"/>
      <c r="BN168" s="560"/>
      <c r="BO168" s="560"/>
      <c r="BP168" s="560"/>
      <c r="BQ168" s="560"/>
      <c r="BR168" s="560"/>
      <c r="BS168" s="560"/>
      <c r="BT168" s="560"/>
      <c r="BU168" s="560"/>
      <c r="BV168" s="560"/>
      <c r="BW168" s="560"/>
      <c r="BX168" s="560"/>
      <c r="BY168" s="560"/>
      <c r="BZ168" s="560"/>
      <c r="CA168" s="560"/>
      <c r="CB168" s="560"/>
      <c r="CC168" s="560"/>
    </row>
    <row r="169" spans="1:81">
      <c r="A169" s="447" t="s">
        <v>134</v>
      </c>
      <c r="B169" s="76" t="s">
        <v>124</v>
      </c>
      <c r="C169" s="61" t="s">
        <v>119</v>
      </c>
      <c r="D169" s="77" t="s">
        <v>111</v>
      </c>
      <c r="E169" s="73"/>
      <c r="F169" s="73"/>
      <c r="G169" s="78"/>
      <c r="H169" s="76" t="s">
        <v>124</v>
      </c>
      <c r="I169" s="77" t="s">
        <v>119</v>
      </c>
      <c r="J169" s="77" t="s">
        <v>111</v>
      </c>
      <c r="K169" s="73"/>
      <c r="L169" s="73"/>
      <c r="M169" s="79" t="s">
        <v>124</v>
      </c>
      <c r="N169" s="77" t="s">
        <v>119</v>
      </c>
      <c r="O169" s="61" t="s">
        <v>111</v>
      </c>
      <c r="P169" s="63"/>
      <c r="Q169" s="63"/>
      <c r="R169" s="79" t="s">
        <v>124</v>
      </c>
      <c r="S169" s="77" t="s">
        <v>119</v>
      </c>
      <c r="T169" s="77" t="s">
        <v>111</v>
      </c>
      <c r="U169" s="73"/>
      <c r="V169" s="73"/>
      <c r="W169" s="447" t="s">
        <v>133</v>
      </c>
      <c r="X169" s="571" t="s">
        <v>124</v>
      </c>
      <c r="Y169" s="568" t="s">
        <v>119</v>
      </c>
      <c r="Z169" s="568" t="s">
        <v>111</v>
      </c>
      <c r="AA169" s="569"/>
      <c r="AB169" s="569"/>
      <c r="AC169" s="665"/>
      <c r="AD169" s="570"/>
      <c r="AE169" s="566" t="s">
        <v>124</v>
      </c>
      <c r="AF169" s="568" t="s">
        <v>119</v>
      </c>
      <c r="AG169" s="568" t="s">
        <v>111</v>
      </c>
      <c r="AH169" s="665"/>
      <c r="AI169" s="665"/>
      <c r="AJ169" s="665"/>
      <c r="AK169" s="570"/>
      <c r="AL169" s="571" t="s">
        <v>124</v>
      </c>
      <c r="AM169" s="568" t="s">
        <v>119</v>
      </c>
      <c r="AN169" s="568" t="s">
        <v>111</v>
      </c>
      <c r="AO169" s="665"/>
      <c r="AP169" s="569"/>
      <c r="AQ169" s="569"/>
      <c r="AR169" s="700"/>
      <c r="AS169" s="571" t="s">
        <v>124</v>
      </c>
      <c r="AT169" s="568" t="s">
        <v>119</v>
      </c>
      <c r="AU169" s="568" t="s">
        <v>111</v>
      </c>
      <c r="AV169" s="569"/>
      <c r="AW169" s="569"/>
      <c r="AX169" s="569"/>
      <c r="AY169" s="700"/>
      <c r="AZ169" s="447" t="s">
        <v>141</v>
      </c>
      <c r="BA169" s="566" t="s">
        <v>124</v>
      </c>
      <c r="BB169" s="568" t="s">
        <v>119</v>
      </c>
      <c r="BC169" s="568" t="s">
        <v>111</v>
      </c>
      <c r="BD169" s="569"/>
      <c r="BE169" s="569"/>
      <c r="BF169" s="569"/>
      <c r="BG169" s="665"/>
      <c r="BH169" s="566" t="s">
        <v>124</v>
      </c>
      <c r="BI169" s="567" t="s">
        <v>119</v>
      </c>
      <c r="BJ169" s="567" t="s">
        <v>111</v>
      </c>
      <c r="BK169" s="665"/>
      <c r="BL169" s="665"/>
      <c r="BM169" s="665"/>
      <c r="BN169" s="665"/>
      <c r="BO169" s="571" t="s">
        <v>124</v>
      </c>
      <c r="BP169" s="568" t="s">
        <v>119</v>
      </c>
      <c r="BQ169" s="568" t="s">
        <v>111</v>
      </c>
      <c r="BR169" s="560"/>
      <c r="BS169" s="665"/>
      <c r="BT169" s="569"/>
      <c r="BU169" s="569"/>
      <c r="BV169" s="672" t="s">
        <v>124</v>
      </c>
      <c r="BW169" s="567" t="s">
        <v>119</v>
      </c>
      <c r="BX169" s="567" t="s">
        <v>111</v>
      </c>
      <c r="BY169" s="559"/>
      <c r="BZ169" s="559"/>
      <c r="CA169" s="559"/>
      <c r="CB169" s="570"/>
      <c r="CC169" s="560"/>
    </row>
    <row r="170" spans="1:81">
      <c r="A170" s="80"/>
      <c r="B170" s="81" t="s">
        <v>63</v>
      </c>
      <c r="C170" s="86" t="s">
        <v>166</v>
      </c>
      <c r="D170" s="82" t="s">
        <v>112</v>
      </c>
      <c r="E170" s="73"/>
      <c r="F170" s="73"/>
      <c r="G170" s="78"/>
      <c r="H170" s="76" t="s">
        <v>63</v>
      </c>
      <c r="I170" s="86" t="s">
        <v>166</v>
      </c>
      <c r="J170" s="83" t="s">
        <v>114</v>
      </c>
      <c r="K170" s="73"/>
      <c r="L170" s="73"/>
      <c r="M170" s="79" t="s">
        <v>63</v>
      </c>
      <c r="N170" s="83" t="s">
        <v>167</v>
      </c>
      <c r="O170" s="64" t="s">
        <v>4</v>
      </c>
      <c r="P170" s="63"/>
      <c r="Q170" s="63"/>
      <c r="R170" s="79" t="s">
        <v>63</v>
      </c>
      <c r="S170" s="83" t="s">
        <v>167</v>
      </c>
      <c r="T170" s="83" t="s">
        <v>114</v>
      </c>
      <c r="U170" s="805"/>
      <c r="V170" s="805"/>
      <c r="W170" s="80"/>
      <c r="X170" s="578" t="s">
        <v>63</v>
      </c>
      <c r="Y170" s="573" t="s">
        <v>166</v>
      </c>
      <c r="Z170" s="574" t="s">
        <v>112</v>
      </c>
      <c r="AA170" s="569"/>
      <c r="AB170" s="569"/>
      <c r="AC170" s="665"/>
      <c r="AD170" s="570"/>
      <c r="AE170" s="566" t="s">
        <v>63</v>
      </c>
      <c r="AF170" s="573" t="s">
        <v>166</v>
      </c>
      <c r="AG170" s="575" t="s">
        <v>114</v>
      </c>
      <c r="AH170" s="665"/>
      <c r="AI170" s="677"/>
      <c r="AJ170" s="665"/>
      <c r="AK170" s="570"/>
      <c r="AL170" s="571" t="s">
        <v>63</v>
      </c>
      <c r="AM170" s="575" t="s">
        <v>167</v>
      </c>
      <c r="AN170" s="575" t="s">
        <v>112</v>
      </c>
      <c r="AO170" s="665"/>
      <c r="AP170" s="677"/>
      <c r="AQ170" s="569"/>
      <c r="AR170" s="700"/>
      <c r="AS170" s="571" t="s">
        <v>63</v>
      </c>
      <c r="AT170" s="575" t="s">
        <v>167</v>
      </c>
      <c r="AU170" s="705" t="s">
        <v>12</v>
      </c>
      <c r="AV170" s="802"/>
      <c r="AW170" s="802"/>
      <c r="AX170" s="569"/>
      <c r="AY170" s="700"/>
      <c r="AZ170" s="80"/>
      <c r="BA170" s="566" t="s">
        <v>63</v>
      </c>
      <c r="BB170" s="573" t="s">
        <v>166</v>
      </c>
      <c r="BC170" s="575" t="s">
        <v>112</v>
      </c>
      <c r="BD170" s="665"/>
      <c r="BE170" s="569"/>
      <c r="BF170" s="673"/>
      <c r="BG170" s="676"/>
      <c r="BH170" s="566" t="s">
        <v>63</v>
      </c>
      <c r="BI170" s="573" t="s">
        <v>166</v>
      </c>
      <c r="BJ170" s="615" t="s">
        <v>114</v>
      </c>
      <c r="BK170" s="665" t="s">
        <v>143</v>
      </c>
      <c r="BL170" s="665"/>
      <c r="BM170" s="665"/>
      <c r="BN170" s="665"/>
      <c r="BO170" s="571" t="s">
        <v>63</v>
      </c>
      <c r="BP170" s="575" t="s">
        <v>167</v>
      </c>
      <c r="BQ170" s="615" t="s">
        <v>4</v>
      </c>
      <c r="BR170" s="560"/>
      <c r="BS170" s="665"/>
      <c r="BT170" s="677"/>
      <c r="BU170" s="569"/>
      <c r="BV170" s="672" t="s">
        <v>63</v>
      </c>
      <c r="BW170" s="575" t="s">
        <v>167</v>
      </c>
      <c r="BX170" s="615" t="s">
        <v>114</v>
      </c>
      <c r="BY170" s="806"/>
      <c r="BZ170" s="806"/>
      <c r="CA170" s="559"/>
      <c r="CB170" s="570"/>
      <c r="CC170" s="560"/>
    </row>
    <row r="171" spans="1:81" ht="63">
      <c r="A171" s="5"/>
      <c r="B171" s="448" t="s">
        <v>122</v>
      </c>
      <c r="C171" s="449" t="s">
        <v>121</v>
      </c>
      <c r="D171" s="450" t="s">
        <v>125</v>
      </c>
      <c r="E171" s="796" t="s">
        <v>1017</v>
      </c>
      <c r="F171" s="796"/>
      <c r="G171" s="797"/>
      <c r="H171" s="451" t="s">
        <v>121</v>
      </c>
      <c r="I171" s="450" t="s">
        <v>125</v>
      </c>
      <c r="J171" s="796" t="s">
        <v>1017</v>
      </c>
      <c r="K171" s="796"/>
      <c r="L171" s="797"/>
      <c r="M171" s="451" t="s">
        <v>121</v>
      </c>
      <c r="N171" s="450" t="s">
        <v>125</v>
      </c>
      <c r="O171" s="796" t="s">
        <v>1017</v>
      </c>
      <c r="P171" s="796"/>
      <c r="Q171" s="797"/>
      <c r="R171" s="451" t="s">
        <v>121</v>
      </c>
      <c r="S171" s="450" t="s">
        <v>125</v>
      </c>
      <c r="T171" s="796" t="s">
        <v>1017</v>
      </c>
      <c r="U171" s="796"/>
      <c r="V171" s="797"/>
      <c r="W171" s="5"/>
      <c r="X171" s="582" t="s">
        <v>121</v>
      </c>
      <c r="Y171" s="584" t="s">
        <v>126</v>
      </c>
      <c r="Z171" s="583" t="s">
        <v>127</v>
      </c>
      <c r="AA171" s="583" t="s">
        <v>128</v>
      </c>
      <c r="AB171" s="694" t="s">
        <v>129</v>
      </c>
      <c r="AC171" s="583" t="s">
        <v>130</v>
      </c>
      <c r="AD171" s="701" t="s">
        <v>131</v>
      </c>
      <c r="AE171" s="582" t="s">
        <v>121</v>
      </c>
      <c r="AF171" s="694" t="s">
        <v>126</v>
      </c>
      <c r="AG171" s="583" t="s">
        <v>127</v>
      </c>
      <c r="AH171" s="583" t="s">
        <v>128</v>
      </c>
      <c r="AI171" s="694" t="s">
        <v>129</v>
      </c>
      <c r="AJ171" s="583" t="s">
        <v>130</v>
      </c>
      <c r="AK171" s="701" t="s">
        <v>131</v>
      </c>
      <c r="AL171" s="582" t="s">
        <v>121</v>
      </c>
      <c r="AM171" s="694" t="s">
        <v>126</v>
      </c>
      <c r="AN171" s="583" t="s">
        <v>127</v>
      </c>
      <c r="AO171" s="583" t="s">
        <v>128</v>
      </c>
      <c r="AP171" s="694" t="s">
        <v>129</v>
      </c>
      <c r="AQ171" s="583" t="s">
        <v>130</v>
      </c>
      <c r="AR171" s="696" t="s">
        <v>131</v>
      </c>
      <c r="AS171" s="582" t="s">
        <v>121</v>
      </c>
      <c r="AT171" s="694" t="s">
        <v>126</v>
      </c>
      <c r="AU171" s="695" t="s">
        <v>127</v>
      </c>
      <c r="AV171" s="695" t="s">
        <v>128</v>
      </c>
      <c r="AW171" s="694" t="s">
        <v>129</v>
      </c>
      <c r="AX171" s="583" t="s">
        <v>130</v>
      </c>
      <c r="AY171" s="696" t="s">
        <v>131</v>
      </c>
      <c r="AZ171" s="75"/>
      <c r="BA171" s="648" t="s">
        <v>121</v>
      </c>
      <c r="BB171" s="583" t="s">
        <v>143</v>
      </c>
      <c r="BC171" s="583" t="s">
        <v>888</v>
      </c>
      <c r="BD171" s="583" t="s">
        <v>1045</v>
      </c>
      <c r="BE171" s="583" t="s">
        <v>1044</v>
      </c>
      <c r="BF171" s="666" t="s">
        <v>1051</v>
      </c>
      <c r="BG171" s="666" t="s">
        <v>1052</v>
      </c>
      <c r="BH171" s="648" t="s">
        <v>121</v>
      </c>
      <c r="BI171" s="583" t="s">
        <v>143</v>
      </c>
      <c r="BJ171" s="583" t="s">
        <v>888</v>
      </c>
      <c r="BK171" s="583" t="s">
        <v>1045</v>
      </c>
      <c r="BL171" s="583" t="s">
        <v>1044</v>
      </c>
      <c r="BM171" s="666" t="s">
        <v>1051</v>
      </c>
      <c r="BN171" s="666" t="s">
        <v>1052</v>
      </c>
      <c r="BO171" s="648" t="s">
        <v>121</v>
      </c>
      <c r="BP171" s="583" t="s">
        <v>143</v>
      </c>
      <c r="BQ171" s="583" t="s">
        <v>888</v>
      </c>
      <c r="BR171" s="583" t="s">
        <v>1045</v>
      </c>
      <c r="BS171" s="583" t="s">
        <v>1044</v>
      </c>
      <c r="BT171" s="666" t="s">
        <v>1051</v>
      </c>
      <c r="BU171" s="666" t="s">
        <v>1052</v>
      </c>
      <c r="BV171" s="648" t="s">
        <v>121</v>
      </c>
      <c r="BW171" s="583" t="s">
        <v>143</v>
      </c>
      <c r="BX171" s="583" t="s">
        <v>888</v>
      </c>
      <c r="BY171" s="583" t="s">
        <v>1045</v>
      </c>
      <c r="BZ171" s="583" t="s">
        <v>1044</v>
      </c>
      <c r="CA171" s="666" t="s">
        <v>1051</v>
      </c>
      <c r="CB171" s="666" t="s">
        <v>1052</v>
      </c>
      <c r="CC171" s="560"/>
    </row>
    <row r="172" spans="1:81" ht="15.75">
      <c r="A172" s="5"/>
      <c r="B172" s="452" t="s">
        <v>120</v>
      </c>
      <c r="C172" s="454">
        <v>0</v>
      </c>
      <c r="D172" s="311">
        <v>460.44</v>
      </c>
      <c r="E172" s="27">
        <v>0</v>
      </c>
      <c r="F172" s="27">
        <v>0</v>
      </c>
      <c r="G172" s="27">
        <v>0</v>
      </c>
      <c r="H172" s="453">
        <v>0</v>
      </c>
      <c r="I172" s="311">
        <v>464.21</v>
      </c>
      <c r="J172" s="27">
        <v>0</v>
      </c>
      <c r="K172" s="27">
        <v>0</v>
      </c>
      <c r="L172" s="27">
        <v>0</v>
      </c>
      <c r="M172" s="453">
        <v>0</v>
      </c>
      <c r="N172" s="315">
        <v>443.53</v>
      </c>
      <c r="O172" s="27">
        <v>0</v>
      </c>
      <c r="P172" s="27">
        <v>0</v>
      </c>
      <c r="Q172" s="454">
        <v>0</v>
      </c>
      <c r="R172" s="453">
        <v>0</v>
      </c>
      <c r="S172" s="315">
        <v>459.8</v>
      </c>
      <c r="T172" s="454">
        <v>0</v>
      </c>
      <c r="U172" s="454">
        <v>0</v>
      </c>
      <c r="V172" s="454">
        <v>0</v>
      </c>
      <c r="W172" s="5"/>
      <c r="X172" s="591">
        <v>0</v>
      </c>
      <c r="Y172" s="592">
        <f t="shared" ref="Y172:Y187" si="149">AVERAGE(E172:G172)/10</f>
        <v>0</v>
      </c>
      <c r="Z172" s="593">
        <v>9.6440000000000001</v>
      </c>
      <c r="AA172" s="593">
        <v>4.5170000000000003</v>
      </c>
      <c r="AB172" s="593">
        <f t="shared" ref="AB172:AB187" si="150">Z172-(AA172+Y172)</f>
        <v>5.1269999999999998</v>
      </c>
      <c r="AC172" s="593">
        <f t="shared" ref="AC172:AC187" si="151">3*Z172+AA172+Y172</f>
        <v>33.449000000000005</v>
      </c>
      <c r="AD172" s="653">
        <f t="shared" ref="AD172:AD187" si="152">1.398*(10^-6)*(X172^2)*AB172*AC172</f>
        <v>0</v>
      </c>
      <c r="AE172" s="591">
        <v>0</v>
      </c>
      <c r="AF172" s="595">
        <f t="shared" ref="AF172:AF187" si="153">AVERAGE(J172:L172)/10</f>
        <v>0</v>
      </c>
      <c r="AG172" s="593">
        <v>9.6440000000000001</v>
      </c>
      <c r="AH172" s="593">
        <v>4.5170000000000003</v>
      </c>
      <c r="AI172" s="593">
        <f t="shared" ref="AI172:AI187" si="154">AG172-(AH172+AF172)</f>
        <v>5.1269999999999998</v>
      </c>
      <c r="AJ172" s="593">
        <f t="shared" ref="AJ172:AJ187" si="155">3*AG172+AH172+AF172</f>
        <v>33.449000000000005</v>
      </c>
      <c r="AK172" s="653">
        <f t="shared" ref="AK172:AK187" si="156">1.398*(10^-6)*(AE172^2)*AI172*AJ172</f>
        <v>0</v>
      </c>
      <c r="AL172" s="591">
        <v>0</v>
      </c>
      <c r="AM172" s="595">
        <f t="shared" ref="AM172:AM187" si="157">AVERAGE(O172:Q172)/10</f>
        <v>0</v>
      </c>
      <c r="AN172" s="593">
        <v>9.6440000000000001</v>
      </c>
      <c r="AO172" s="593">
        <v>4.5170000000000003</v>
      </c>
      <c r="AP172" s="593">
        <f t="shared" ref="AP172:AP187" si="158">AN172-(AO172+AM172)</f>
        <v>5.1269999999999998</v>
      </c>
      <c r="AQ172" s="593">
        <f t="shared" ref="AQ172:AQ187" si="159">3*AN172+AO172+AM172</f>
        <v>33.449000000000005</v>
      </c>
      <c r="AR172" s="698">
        <f t="shared" ref="AR172:AR187" si="160">1.398*(10^-6)*(AL172^2)*AP172*AQ172</f>
        <v>0</v>
      </c>
      <c r="AS172" s="591">
        <v>0</v>
      </c>
      <c r="AT172" s="595">
        <f t="shared" ref="AT172:AT187" si="161">AVERAGE(T172:V172)/10</f>
        <v>0</v>
      </c>
      <c r="AU172" s="593">
        <v>9.6440000000000001</v>
      </c>
      <c r="AV172" s="593">
        <v>4.5170000000000003</v>
      </c>
      <c r="AW172" s="593">
        <f t="shared" ref="AW172:AW187" si="162">AU172-(AV172+AT172)</f>
        <v>5.1269999999999998</v>
      </c>
      <c r="AX172" s="593">
        <f t="shared" ref="AX172:AX187" si="163">3*AU172+AV172+AT172</f>
        <v>33.449000000000005</v>
      </c>
      <c r="AY172" s="698">
        <f t="shared" ref="AY172:AY187" si="164">1.398*(10^-6)*(AS172^2)*AW172*AX172</f>
        <v>0</v>
      </c>
      <c r="AZ172" s="75"/>
      <c r="BA172" s="591">
        <v>0</v>
      </c>
      <c r="BB172" s="593">
        <v>103.50685607036536</v>
      </c>
      <c r="BC172" s="667">
        <f>(BB190-BB191)/BB172</f>
        <v>1.3041648169492461</v>
      </c>
      <c r="BD172" s="714">
        <f>D172-BB188</f>
        <v>38.349999999999966</v>
      </c>
      <c r="BE172" s="667">
        <f>BB190-BB191</f>
        <v>134.99</v>
      </c>
      <c r="BF172" s="667">
        <f t="shared" ref="BF172:BF187" si="165">BD172/BE172*100</f>
        <v>28.409511815690024</v>
      </c>
      <c r="BG172" s="668">
        <f t="shared" ref="BG172:BG187" si="166">BF172*BC172</f>
        <v>37.050685776726823</v>
      </c>
      <c r="BH172" s="591">
        <v>0</v>
      </c>
      <c r="BI172" s="593">
        <v>103.50685607036536</v>
      </c>
      <c r="BJ172" s="667">
        <f>(BI190-BI191)/BI172</f>
        <v>1.3690880525215026</v>
      </c>
      <c r="BK172" s="714">
        <f>I172-BI188</f>
        <v>35.609999999999957</v>
      </c>
      <c r="BL172" s="667">
        <f>BI190-BI191</f>
        <v>141.70999999999998</v>
      </c>
      <c r="BM172" s="667">
        <f t="shared" ref="BM172:BM187" si="167">BK172/BL172*100</f>
        <v>25.128784136617011</v>
      </c>
      <c r="BN172" s="668">
        <f t="shared" ref="BN172:BN187" si="168">BM172*BJ172</f>
        <v>34.403518135834211</v>
      </c>
      <c r="BO172" s="591">
        <v>0</v>
      </c>
      <c r="BP172" s="679">
        <v>103.50685607036536</v>
      </c>
      <c r="BQ172" s="667">
        <f>(BP190-BP191)/BP172</f>
        <v>1.0382887093676234</v>
      </c>
      <c r="BR172" s="714">
        <f>N172-BP188</f>
        <v>49.189999999999941</v>
      </c>
      <c r="BS172" s="667">
        <f>BP190-BP191</f>
        <v>107.47000000000001</v>
      </c>
      <c r="BT172" s="667">
        <f t="shared" ref="BT172:BT187" si="169">BR172/BS172*100</f>
        <v>45.770912812877953</v>
      </c>
      <c r="BU172" s="710">
        <f t="shared" ref="BU172:BU187" si="170">BT172*BQ172</f>
        <v>47.523421991061063</v>
      </c>
      <c r="BV172" s="591">
        <v>0</v>
      </c>
      <c r="BW172" s="593">
        <v>103.50685607036536</v>
      </c>
      <c r="BX172" s="667">
        <f>(BW190-BW191)/BW172</f>
        <v>1.269481124136091</v>
      </c>
      <c r="BY172" s="714">
        <f>S172-BW188</f>
        <v>41.699999999999989</v>
      </c>
      <c r="BZ172" s="667">
        <f>BW190-BW191</f>
        <v>131.4</v>
      </c>
      <c r="CA172" s="667">
        <f t="shared" ref="CA172:CA187" si="171">BY172/BZ172*100</f>
        <v>31.735159817351587</v>
      </c>
      <c r="CB172" s="668">
        <f t="shared" ref="CB172:CB187" si="172">CA172*BX172</f>
        <v>40.287186359570001</v>
      </c>
      <c r="CC172" s="560"/>
    </row>
    <row r="173" spans="1:81" ht="15.75">
      <c r="A173" s="5"/>
      <c r="B173" s="59" t="s">
        <v>116</v>
      </c>
      <c r="C173" s="97">
        <v>300</v>
      </c>
      <c r="D173" s="311">
        <v>460.44</v>
      </c>
      <c r="E173" s="27">
        <v>0</v>
      </c>
      <c r="F173" s="27">
        <v>0</v>
      </c>
      <c r="G173" s="27">
        <v>0</v>
      </c>
      <c r="H173" s="103">
        <v>300</v>
      </c>
      <c r="I173" s="315">
        <v>464.21</v>
      </c>
      <c r="J173" s="27">
        <v>0</v>
      </c>
      <c r="K173" s="27">
        <v>0</v>
      </c>
      <c r="L173" s="27">
        <v>0</v>
      </c>
      <c r="M173" s="103">
        <v>300</v>
      </c>
      <c r="N173" s="315">
        <v>440.94</v>
      </c>
      <c r="O173" s="27">
        <v>0</v>
      </c>
      <c r="P173" s="27">
        <v>0</v>
      </c>
      <c r="Q173" s="454">
        <v>0</v>
      </c>
      <c r="R173" s="103">
        <v>300</v>
      </c>
      <c r="S173" s="315">
        <v>459.8</v>
      </c>
      <c r="T173" s="454">
        <v>0</v>
      </c>
      <c r="U173" s="454">
        <v>0</v>
      </c>
      <c r="V173" s="454">
        <v>0</v>
      </c>
      <c r="W173" s="5"/>
      <c r="X173" s="591">
        <v>300</v>
      </c>
      <c r="Y173" s="592">
        <f t="shared" si="149"/>
        <v>0</v>
      </c>
      <c r="Z173" s="593">
        <v>9.6440000000000001</v>
      </c>
      <c r="AA173" s="593">
        <v>4.5170000000000003</v>
      </c>
      <c r="AB173" s="593">
        <f t="shared" si="150"/>
        <v>5.1269999999999998</v>
      </c>
      <c r="AC173" s="593">
        <f t="shared" si="151"/>
        <v>33.449000000000005</v>
      </c>
      <c r="AD173" s="653">
        <f t="shared" si="152"/>
        <v>21.577252153859998</v>
      </c>
      <c r="AE173" s="591">
        <v>300</v>
      </c>
      <c r="AF173" s="595">
        <f t="shared" si="153"/>
        <v>0</v>
      </c>
      <c r="AG173" s="593">
        <v>9.6440000000000001</v>
      </c>
      <c r="AH173" s="593">
        <v>4.5170000000000003</v>
      </c>
      <c r="AI173" s="593">
        <f t="shared" si="154"/>
        <v>5.1269999999999998</v>
      </c>
      <c r="AJ173" s="593">
        <f t="shared" si="155"/>
        <v>33.449000000000005</v>
      </c>
      <c r="AK173" s="653">
        <f t="shared" si="156"/>
        <v>21.577252153859998</v>
      </c>
      <c r="AL173" s="591">
        <v>300</v>
      </c>
      <c r="AM173" s="595">
        <f t="shared" si="157"/>
        <v>0</v>
      </c>
      <c r="AN173" s="593">
        <v>9.6440000000000001</v>
      </c>
      <c r="AO173" s="593">
        <v>4.5170000000000003</v>
      </c>
      <c r="AP173" s="593">
        <f t="shared" si="158"/>
        <v>5.1269999999999998</v>
      </c>
      <c r="AQ173" s="593">
        <f t="shared" si="159"/>
        <v>33.449000000000005</v>
      </c>
      <c r="AR173" s="698">
        <f t="shared" si="160"/>
        <v>21.577252153859998</v>
      </c>
      <c r="AS173" s="591">
        <v>300</v>
      </c>
      <c r="AT173" s="595">
        <f t="shared" si="161"/>
        <v>0</v>
      </c>
      <c r="AU173" s="593">
        <v>9.6440000000000001</v>
      </c>
      <c r="AV173" s="593">
        <v>4.5170000000000003</v>
      </c>
      <c r="AW173" s="593">
        <f t="shared" si="162"/>
        <v>5.1269999999999998</v>
      </c>
      <c r="AX173" s="593">
        <f t="shared" si="163"/>
        <v>33.449000000000005</v>
      </c>
      <c r="AY173" s="698">
        <f t="shared" si="164"/>
        <v>21.577252153859998</v>
      </c>
      <c r="AZ173" s="75"/>
      <c r="BA173" s="591">
        <v>300</v>
      </c>
      <c r="BB173" s="593">
        <v>103.50685607036536</v>
      </c>
      <c r="BC173" s="667">
        <f>(BB190-BB191)/BB172</f>
        <v>1.3041648169492461</v>
      </c>
      <c r="BD173" s="714">
        <f>D173-BB188</f>
        <v>38.349999999999966</v>
      </c>
      <c r="BE173" s="667">
        <f>BB190-BB191</f>
        <v>134.99</v>
      </c>
      <c r="BF173" s="667">
        <f t="shared" si="165"/>
        <v>28.409511815690024</v>
      </c>
      <c r="BG173" s="668">
        <f t="shared" si="166"/>
        <v>37.050685776726823</v>
      </c>
      <c r="BH173" s="591">
        <v>300</v>
      </c>
      <c r="BI173" s="593">
        <v>103.50685607036536</v>
      </c>
      <c r="BJ173" s="667">
        <f>(BI190-BI191)/BI172</f>
        <v>1.3690880525215026</v>
      </c>
      <c r="BK173" s="714">
        <f>I173-BI188</f>
        <v>35.609999999999957</v>
      </c>
      <c r="BL173" s="667">
        <f>BI190-BI191</f>
        <v>141.70999999999998</v>
      </c>
      <c r="BM173" s="667">
        <f t="shared" si="167"/>
        <v>25.128784136617011</v>
      </c>
      <c r="BN173" s="668">
        <f t="shared" si="168"/>
        <v>34.403518135834211</v>
      </c>
      <c r="BO173" s="591">
        <v>300</v>
      </c>
      <c r="BP173" s="679">
        <v>103.50685607036536</v>
      </c>
      <c r="BQ173" s="667">
        <f>(BP190-BP191)/BP172</f>
        <v>1.0382887093676234</v>
      </c>
      <c r="BR173" s="714">
        <f>N173-BP188</f>
        <v>46.599999999999966</v>
      </c>
      <c r="BS173" s="667">
        <f>BP190-BP191</f>
        <v>107.47000000000001</v>
      </c>
      <c r="BT173" s="667">
        <f t="shared" si="169"/>
        <v>43.360937936168199</v>
      </c>
      <c r="BU173" s="710">
        <f t="shared" si="170"/>
        <v>45.0211722867137</v>
      </c>
      <c r="BV173" s="591">
        <v>300</v>
      </c>
      <c r="BW173" s="593">
        <v>103.50685607036536</v>
      </c>
      <c r="BX173" s="667">
        <f>(BW190-BW191)/BW172</f>
        <v>1.269481124136091</v>
      </c>
      <c r="BY173" s="714">
        <f>S173-BW188</f>
        <v>41.699999999999989</v>
      </c>
      <c r="BZ173" s="667">
        <f>BW190-BW191</f>
        <v>131.4</v>
      </c>
      <c r="CA173" s="667">
        <f t="shared" si="171"/>
        <v>31.735159817351587</v>
      </c>
      <c r="CB173" s="668">
        <f t="shared" si="172"/>
        <v>40.287186359570001</v>
      </c>
      <c r="CC173" s="560"/>
    </row>
    <row r="174" spans="1:81" ht="15.75">
      <c r="A174" s="5"/>
      <c r="B174" s="59" t="s">
        <v>116</v>
      </c>
      <c r="C174" s="97">
        <v>350</v>
      </c>
      <c r="D174" s="315">
        <v>460.42</v>
      </c>
      <c r="E174" s="91">
        <v>0.74</v>
      </c>
      <c r="F174" s="91">
        <v>0.6</v>
      </c>
      <c r="G174" s="91">
        <v>0.47</v>
      </c>
      <c r="H174" s="103">
        <v>350</v>
      </c>
      <c r="I174" s="315">
        <v>464.2</v>
      </c>
      <c r="J174" s="27">
        <v>0</v>
      </c>
      <c r="K174" s="27">
        <v>0</v>
      </c>
      <c r="L174" s="27">
        <v>0</v>
      </c>
      <c r="M174" s="103">
        <v>350</v>
      </c>
      <c r="N174" s="315">
        <v>438.77</v>
      </c>
      <c r="O174" s="27">
        <v>0</v>
      </c>
      <c r="P174" s="27">
        <v>0</v>
      </c>
      <c r="Q174" s="454">
        <v>0</v>
      </c>
      <c r="R174" s="103">
        <v>350</v>
      </c>
      <c r="S174" s="315">
        <v>459.8</v>
      </c>
      <c r="T174" s="454">
        <v>0</v>
      </c>
      <c r="U174" s="454">
        <v>0</v>
      </c>
      <c r="V174" s="454">
        <v>0</v>
      </c>
      <c r="W174" s="5"/>
      <c r="X174" s="591">
        <v>350</v>
      </c>
      <c r="Y174" s="592">
        <f t="shared" si="149"/>
        <v>6.0333333333333329E-2</v>
      </c>
      <c r="Z174" s="593">
        <v>9.6440000000000001</v>
      </c>
      <c r="AA174" s="593">
        <v>4.5170000000000003</v>
      </c>
      <c r="AB174" s="593">
        <f t="shared" si="150"/>
        <v>5.0666666666666664</v>
      </c>
      <c r="AC174" s="593">
        <f t="shared" si="151"/>
        <v>33.509333333333338</v>
      </c>
      <c r="AD174" s="653">
        <f t="shared" si="152"/>
        <v>29.075780458666664</v>
      </c>
      <c r="AE174" s="591">
        <v>350</v>
      </c>
      <c r="AF174" s="595">
        <f t="shared" si="153"/>
        <v>0</v>
      </c>
      <c r="AG174" s="593">
        <v>9.6440000000000001</v>
      </c>
      <c r="AH174" s="593">
        <v>4.5170000000000003</v>
      </c>
      <c r="AI174" s="593">
        <f t="shared" si="154"/>
        <v>5.1269999999999998</v>
      </c>
      <c r="AJ174" s="593">
        <f t="shared" si="155"/>
        <v>33.449000000000005</v>
      </c>
      <c r="AK174" s="653">
        <f t="shared" si="156"/>
        <v>29.369037653864996</v>
      </c>
      <c r="AL174" s="591">
        <v>350</v>
      </c>
      <c r="AM174" s="595">
        <f t="shared" si="157"/>
        <v>0</v>
      </c>
      <c r="AN174" s="593">
        <v>9.6440000000000001</v>
      </c>
      <c r="AO174" s="593">
        <v>4.5170000000000003</v>
      </c>
      <c r="AP174" s="593">
        <f t="shared" si="158"/>
        <v>5.1269999999999998</v>
      </c>
      <c r="AQ174" s="593">
        <f t="shared" si="159"/>
        <v>33.449000000000005</v>
      </c>
      <c r="AR174" s="698">
        <f t="shared" si="160"/>
        <v>29.369037653864996</v>
      </c>
      <c r="AS174" s="591">
        <v>350</v>
      </c>
      <c r="AT174" s="595">
        <f t="shared" si="161"/>
        <v>0</v>
      </c>
      <c r="AU174" s="593">
        <v>9.6440000000000001</v>
      </c>
      <c r="AV174" s="593">
        <v>4.5170000000000003</v>
      </c>
      <c r="AW174" s="593">
        <f t="shared" si="162"/>
        <v>5.1269999999999998</v>
      </c>
      <c r="AX174" s="593">
        <f t="shared" si="163"/>
        <v>33.449000000000005</v>
      </c>
      <c r="AY174" s="698">
        <f t="shared" si="164"/>
        <v>29.369037653864996</v>
      </c>
      <c r="AZ174" s="75"/>
      <c r="BA174" s="591">
        <v>350</v>
      </c>
      <c r="BB174" s="593">
        <v>103.50685607036536</v>
      </c>
      <c r="BC174" s="667">
        <f>(BB190-BB191)/BB172</f>
        <v>1.3041648169492461</v>
      </c>
      <c r="BD174" s="714">
        <f>D174-BB188</f>
        <v>38.329999999999984</v>
      </c>
      <c r="BE174" s="667">
        <f>BB190-BB191</f>
        <v>134.99</v>
      </c>
      <c r="BF174" s="667">
        <f t="shared" si="165"/>
        <v>28.394695903400237</v>
      </c>
      <c r="BG174" s="668">
        <f t="shared" si="166"/>
        <v>37.031363385187476</v>
      </c>
      <c r="BH174" s="591">
        <v>350</v>
      </c>
      <c r="BI174" s="593">
        <v>103.50685607036536</v>
      </c>
      <c r="BJ174" s="667">
        <f>(BI190-BI191)/BI172</f>
        <v>1.3690880525215026</v>
      </c>
      <c r="BK174" s="714">
        <f>I174-BI188</f>
        <v>35.599999999999966</v>
      </c>
      <c r="BL174" s="667">
        <f>BI190-BI191</f>
        <v>141.70999999999998</v>
      </c>
      <c r="BM174" s="667">
        <f t="shared" si="167"/>
        <v>25.121727471596905</v>
      </c>
      <c r="BN174" s="668">
        <f t="shared" si="168"/>
        <v>34.393856940064538</v>
      </c>
      <c r="BO174" s="591">
        <v>350</v>
      </c>
      <c r="BP174" s="679">
        <v>103.50685607036536</v>
      </c>
      <c r="BQ174" s="667">
        <f>(BP190-BP191)/BP172</f>
        <v>1.0382887093676234</v>
      </c>
      <c r="BR174" s="714">
        <f>N174-BP188</f>
        <v>44.42999999999995</v>
      </c>
      <c r="BS174" s="667">
        <f>BP190-BP191</f>
        <v>107.47000000000001</v>
      </c>
      <c r="BT174" s="667">
        <f t="shared" si="169"/>
        <v>41.341769796222152</v>
      </c>
      <c r="BU174" s="710">
        <f t="shared" si="170"/>
        <v>42.924692804692896</v>
      </c>
      <c r="BV174" s="591">
        <v>350</v>
      </c>
      <c r="BW174" s="593">
        <v>103.50685607036536</v>
      </c>
      <c r="BX174" s="667">
        <f>(BW190-BW191)/BW172</f>
        <v>1.269481124136091</v>
      </c>
      <c r="BY174" s="714">
        <f>S174-BW188</f>
        <v>41.699999999999989</v>
      </c>
      <c r="BZ174" s="667">
        <f>BW190-BW191</f>
        <v>131.4</v>
      </c>
      <c r="CA174" s="667">
        <f t="shared" si="171"/>
        <v>31.735159817351587</v>
      </c>
      <c r="CB174" s="668">
        <f t="shared" si="172"/>
        <v>40.287186359570001</v>
      </c>
      <c r="CC174" s="560"/>
    </row>
    <row r="175" spans="1:81" ht="15.75">
      <c r="A175" s="5"/>
      <c r="B175" s="59" t="s">
        <v>116</v>
      </c>
      <c r="C175" s="98">
        <v>450</v>
      </c>
      <c r="D175" s="72">
        <v>459.72</v>
      </c>
      <c r="E175" s="91">
        <v>1.22</v>
      </c>
      <c r="F175" s="91">
        <v>0.79</v>
      </c>
      <c r="G175" s="91">
        <v>0.99</v>
      </c>
      <c r="H175" s="104">
        <v>450</v>
      </c>
      <c r="I175" s="311">
        <v>463.05</v>
      </c>
      <c r="J175" s="91">
        <v>1.26</v>
      </c>
      <c r="K175" s="91">
        <v>1.17</v>
      </c>
      <c r="L175" s="454">
        <v>0.83</v>
      </c>
      <c r="M175" s="104">
        <v>450</v>
      </c>
      <c r="N175" s="315">
        <v>437.57</v>
      </c>
      <c r="O175" s="454">
        <v>0.92</v>
      </c>
      <c r="P175" s="454">
        <v>1.1299999999999999</v>
      </c>
      <c r="Q175" s="454">
        <v>0.77</v>
      </c>
      <c r="R175" s="104">
        <v>450</v>
      </c>
      <c r="S175" s="315">
        <v>458.86</v>
      </c>
      <c r="T175" s="454">
        <v>0</v>
      </c>
      <c r="U175" s="454">
        <v>0</v>
      </c>
      <c r="V175" s="454">
        <v>0</v>
      </c>
      <c r="W175" s="5"/>
      <c r="X175" s="598">
        <v>450</v>
      </c>
      <c r="Y175" s="592">
        <f t="shared" si="149"/>
        <v>0.1</v>
      </c>
      <c r="Z175" s="593">
        <v>9.6440000000000001</v>
      </c>
      <c r="AA175" s="593">
        <v>4.5170000000000003</v>
      </c>
      <c r="AB175" s="593">
        <f t="shared" si="150"/>
        <v>5.0270000000000001</v>
      </c>
      <c r="AC175" s="593">
        <f t="shared" si="151"/>
        <v>33.549000000000007</v>
      </c>
      <c r="AD175" s="653">
        <f t="shared" si="152"/>
        <v>47.744204737185001</v>
      </c>
      <c r="AE175" s="598">
        <v>450</v>
      </c>
      <c r="AF175" s="595">
        <f t="shared" si="153"/>
        <v>0.10866666666666666</v>
      </c>
      <c r="AG175" s="593">
        <v>9.6440000000000001</v>
      </c>
      <c r="AH175" s="593">
        <v>4.5170000000000003</v>
      </c>
      <c r="AI175" s="593">
        <f t="shared" si="154"/>
        <v>5.0183333333333335</v>
      </c>
      <c r="AJ175" s="593">
        <f t="shared" si="155"/>
        <v>33.55766666666667</v>
      </c>
      <c r="AK175" s="653">
        <f t="shared" si="156"/>
        <v>47.674205031824989</v>
      </c>
      <c r="AL175" s="598">
        <v>450</v>
      </c>
      <c r="AM175" s="595">
        <f t="shared" si="157"/>
        <v>9.4E-2</v>
      </c>
      <c r="AN175" s="593">
        <v>9.6440000000000001</v>
      </c>
      <c r="AO175" s="593">
        <v>4.5170000000000003</v>
      </c>
      <c r="AP175" s="593">
        <f t="shared" si="158"/>
        <v>5.0329999999999995</v>
      </c>
      <c r="AQ175" s="593">
        <f t="shared" si="159"/>
        <v>33.543000000000006</v>
      </c>
      <c r="AR175" s="698">
        <f t="shared" si="160"/>
        <v>47.792641159304992</v>
      </c>
      <c r="AS175" s="598">
        <v>450</v>
      </c>
      <c r="AT175" s="595">
        <f t="shared" si="161"/>
        <v>0</v>
      </c>
      <c r="AU175" s="593">
        <v>9.6440000000000001</v>
      </c>
      <c r="AV175" s="593">
        <v>4.5170000000000003</v>
      </c>
      <c r="AW175" s="593">
        <f t="shared" si="162"/>
        <v>5.1269999999999998</v>
      </c>
      <c r="AX175" s="593">
        <f t="shared" si="163"/>
        <v>33.449000000000005</v>
      </c>
      <c r="AY175" s="698">
        <f t="shared" si="164"/>
        <v>48.54881734618499</v>
      </c>
      <c r="AZ175" s="75"/>
      <c r="BA175" s="598">
        <v>450</v>
      </c>
      <c r="BB175" s="593">
        <v>103.50685607036536</v>
      </c>
      <c r="BC175" s="667">
        <f>(BB190-BB191)/BB172</f>
        <v>1.3041648169492461</v>
      </c>
      <c r="BD175" s="714">
        <f>D175-BB188</f>
        <v>37.629999999999995</v>
      </c>
      <c r="BE175" s="667">
        <f>BB190-BB191</f>
        <v>134.99</v>
      </c>
      <c r="BF175" s="667">
        <f t="shared" si="165"/>
        <v>27.876138973257277</v>
      </c>
      <c r="BG175" s="668">
        <f t="shared" si="166"/>
        <v>36.355079681309824</v>
      </c>
      <c r="BH175" s="598">
        <v>450</v>
      </c>
      <c r="BI175" s="593">
        <v>103.50685607036536</v>
      </c>
      <c r="BJ175" s="667">
        <f>(BI190-BI191)/BI172</f>
        <v>1.3690880525215026</v>
      </c>
      <c r="BK175" s="714">
        <f>I175-BI188</f>
        <v>34.449999999999989</v>
      </c>
      <c r="BL175" s="667">
        <f>BI190-BI191</f>
        <v>141.70999999999998</v>
      </c>
      <c r="BM175" s="667">
        <f t="shared" si="167"/>
        <v>24.310210994284095</v>
      </c>
      <c r="BN175" s="668">
        <f t="shared" si="168"/>
        <v>33.282819426551235</v>
      </c>
      <c r="BO175" s="598">
        <v>450</v>
      </c>
      <c r="BP175" s="679">
        <v>103.50685607036536</v>
      </c>
      <c r="BQ175" s="667">
        <f>(BP190-BP191)/BP172</f>
        <v>1.0382887093676234</v>
      </c>
      <c r="BR175" s="714">
        <f>N175-BP188</f>
        <v>43.229999999999961</v>
      </c>
      <c r="BS175" s="667">
        <f>BP190-BP191</f>
        <v>107.47000000000001</v>
      </c>
      <c r="BT175" s="667">
        <f t="shared" si="169"/>
        <v>40.225179119754308</v>
      </c>
      <c r="BU175" s="710">
        <f t="shared" si="170"/>
        <v>41.765349312331175</v>
      </c>
      <c r="BV175" s="598">
        <v>450</v>
      </c>
      <c r="BW175" s="593">
        <v>103.50685607036536</v>
      </c>
      <c r="BX175" s="667">
        <f>(BW190-BW191)/BW172</f>
        <v>1.269481124136091</v>
      </c>
      <c r="BY175" s="714">
        <f>S175-BW188</f>
        <v>40.759999999999991</v>
      </c>
      <c r="BZ175" s="667">
        <f>BW190-BW191</f>
        <v>131.4</v>
      </c>
      <c r="CA175" s="667">
        <f t="shared" si="171"/>
        <v>31.019786910197862</v>
      </c>
      <c r="CB175" s="668">
        <f t="shared" si="172"/>
        <v>39.379033957219981</v>
      </c>
      <c r="CC175" s="560"/>
    </row>
    <row r="176" spans="1:81" ht="15.75">
      <c r="A176" s="5"/>
      <c r="B176" s="59" t="s">
        <v>116</v>
      </c>
      <c r="C176" s="98">
        <v>550</v>
      </c>
      <c r="D176" s="72">
        <v>458.46</v>
      </c>
      <c r="E176" s="91">
        <v>1.63</v>
      </c>
      <c r="F176" s="91">
        <v>1.77</v>
      </c>
      <c r="G176" s="91">
        <v>1.66</v>
      </c>
      <c r="H176" s="104">
        <v>550</v>
      </c>
      <c r="I176" s="315">
        <v>462.17</v>
      </c>
      <c r="J176" s="91">
        <v>1.52</v>
      </c>
      <c r="K176" s="91">
        <v>1.68</v>
      </c>
      <c r="L176" s="454">
        <v>1.33</v>
      </c>
      <c r="M176" s="104">
        <v>550</v>
      </c>
      <c r="N176" s="315">
        <v>436</v>
      </c>
      <c r="O176" s="454">
        <v>1.42</v>
      </c>
      <c r="P176" s="454">
        <v>1.25</v>
      </c>
      <c r="Q176" s="454">
        <v>1.1100000000000001</v>
      </c>
      <c r="R176" s="104">
        <v>550</v>
      </c>
      <c r="S176" s="315">
        <v>457.55</v>
      </c>
      <c r="T176" s="454">
        <v>0</v>
      </c>
      <c r="U176" s="454">
        <v>0</v>
      </c>
      <c r="V176" s="454">
        <v>0</v>
      </c>
      <c r="W176" s="5"/>
      <c r="X176" s="598">
        <v>550</v>
      </c>
      <c r="Y176" s="592">
        <f t="shared" si="149"/>
        <v>0.16866666666666666</v>
      </c>
      <c r="Z176" s="593">
        <v>9.6440000000000001</v>
      </c>
      <c r="AA176" s="593">
        <v>4.5170000000000003</v>
      </c>
      <c r="AB176" s="593">
        <f t="shared" si="150"/>
        <v>4.958333333333333</v>
      </c>
      <c r="AC176" s="593">
        <f t="shared" si="151"/>
        <v>33.617666666666672</v>
      </c>
      <c r="AD176" s="653">
        <f t="shared" si="152"/>
        <v>70.491351427291661</v>
      </c>
      <c r="AE176" s="598">
        <v>550</v>
      </c>
      <c r="AF176" s="595">
        <f t="shared" si="153"/>
        <v>0.151</v>
      </c>
      <c r="AG176" s="593">
        <v>9.6440000000000001</v>
      </c>
      <c r="AH176" s="593">
        <v>4.5170000000000003</v>
      </c>
      <c r="AI176" s="593">
        <f t="shared" si="154"/>
        <v>4.976</v>
      </c>
      <c r="AJ176" s="593">
        <f t="shared" si="155"/>
        <v>33.600000000000009</v>
      </c>
      <c r="AK176" s="653">
        <f t="shared" si="156"/>
        <v>70.705337472000011</v>
      </c>
      <c r="AL176" s="598">
        <v>550</v>
      </c>
      <c r="AM176" s="595">
        <f t="shared" si="157"/>
        <v>0.126</v>
      </c>
      <c r="AN176" s="593">
        <v>9.6440000000000001</v>
      </c>
      <c r="AO176" s="593">
        <v>4.5170000000000003</v>
      </c>
      <c r="AP176" s="593">
        <f t="shared" si="158"/>
        <v>5.0009999999999994</v>
      </c>
      <c r="AQ176" s="593">
        <f t="shared" si="159"/>
        <v>33.575000000000003</v>
      </c>
      <c r="AR176" s="698">
        <f t="shared" si="160"/>
        <v>71.007696824624986</v>
      </c>
      <c r="AS176" s="598">
        <v>550</v>
      </c>
      <c r="AT176" s="595">
        <f t="shared" si="161"/>
        <v>0</v>
      </c>
      <c r="AU176" s="593">
        <v>9.6440000000000001</v>
      </c>
      <c r="AV176" s="593">
        <v>4.5170000000000003</v>
      </c>
      <c r="AW176" s="593">
        <f t="shared" si="162"/>
        <v>5.1269999999999998</v>
      </c>
      <c r="AX176" s="593">
        <f t="shared" si="163"/>
        <v>33.449000000000005</v>
      </c>
      <c r="AY176" s="698">
        <f t="shared" si="164"/>
        <v>72.523541961584996</v>
      </c>
      <c r="AZ176" s="75"/>
      <c r="BA176" s="598">
        <v>550</v>
      </c>
      <c r="BB176" s="593">
        <v>103.50685607036536</v>
      </c>
      <c r="BC176" s="667">
        <f>(BB190-BB191)/BB172</f>
        <v>1.3041648169492461</v>
      </c>
      <c r="BD176" s="714">
        <f>D176-BB188</f>
        <v>36.369999999999948</v>
      </c>
      <c r="BE176" s="667">
        <f>BB190-BB191</f>
        <v>134.99</v>
      </c>
      <c r="BF176" s="667">
        <f t="shared" si="165"/>
        <v>26.942736498999885</v>
      </c>
      <c r="BG176" s="668">
        <f t="shared" si="166"/>
        <v>35.137769014329955</v>
      </c>
      <c r="BH176" s="598">
        <v>550</v>
      </c>
      <c r="BI176" s="593">
        <v>103.50685607036536</v>
      </c>
      <c r="BJ176" s="667">
        <f>(BI190-BI191)/BI172</f>
        <v>1.3690880525215026</v>
      </c>
      <c r="BK176" s="714">
        <f>I176-BI188</f>
        <v>33.569999999999993</v>
      </c>
      <c r="BL176" s="667">
        <f>BI190-BI191</f>
        <v>141.70999999999998</v>
      </c>
      <c r="BM176" s="667">
        <f t="shared" si="167"/>
        <v>23.68922447251429</v>
      </c>
      <c r="BN176" s="668">
        <f t="shared" si="168"/>
        <v>32.432634198819308</v>
      </c>
      <c r="BO176" s="598">
        <v>550</v>
      </c>
      <c r="BP176" s="679">
        <v>103.50685607036536</v>
      </c>
      <c r="BQ176" s="667">
        <f>(BP190-BP191)/BP172</f>
        <v>1.0382887093676234</v>
      </c>
      <c r="BR176" s="714">
        <f>N176-BP188</f>
        <v>41.659999999999968</v>
      </c>
      <c r="BS176" s="667">
        <f>BP190-BP191</f>
        <v>107.47000000000001</v>
      </c>
      <c r="BT176" s="667">
        <f t="shared" si="169"/>
        <v>38.764306318042209</v>
      </c>
      <c r="BU176" s="710">
        <f t="shared" si="170"/>
        <v>40.248541576491256</v>
      </c>
      <c r="BV176" s="598">
        <v>550</v>
      </c>
      <c r="BW176" s="593">
        <v>103.50685607036536</v>
      </c>
      <c r="BX176" s="667">
        <f>(BW190-BW191)/BW172</f>
        <v>1.269481124136091</v>
      </c>
      <c r="BY176" s="714">
        <f>S176-BW188</f>
        <v>39.449999999999989</v>
      </c>
      <c r="BZ176" s="667">
        <f>BW190-BW191</f>
        <v>131.4</v>
      </c>
      <c r="CA176" s="667">
        <f t="shared" si="171"/>
        <v>30.022831050228298</v>
      </c>
      <c r="CB176" s="668">
        <f t="shared" si="172"/>
        <v>38.113417311391757</v>
      </c>
      <c r="CC176" s="560"/>
    </row>
    <row r="177" spans="1:81" ht="15.75">
      <c r="A177" s="5"/>
      <c r="B177" s="59" t="s">
        <v>116</v>
      </c>
      <c r="C177" s="98">
        <v>650</v>
      </c>
      <c r="D177" s="72">
        <v>457.14</v>
      </c>
      <c r="E177" s="91">
        <v>2.2599999999999998</v>
      </c>
      <c r="F177" s="91">
        <v>1.96</v>
      </c>
      <c r="G177" s="91">
        <v>1.89</v>
      </c>
      <c r="H177" s="104">
        <v>650</v>
      </c>
      <c r="I177" s="315">
        <v>461.17</v>
      </c>
      <c r="J177" s="91">
        <v>1.72</v>
      </c>
      <c r="K177" s="91">
        <v>1.67</v>
      </c>
      <c r="L177" s="454">
        <v>1.55</v>
      </c>
      <c r="M177" s="104">
        <v>650</v>
      </c>
      <c r="N177" s="315">
        <v>434.65</v>
      </c>
      <c r="O177" s="454">
        <v>1.61</v>
      </c>
      <c r="P177" s="454">
        <v>1.45</v>
      </c>
      <c r="Q177" s="454">
        <v>1.5</v>
      </c>
      <c r="R177" s="104">
        <v>650</v>
      </c>
      <c r="S177" s="315">
        <v>456.51</v>
      </c>
      <c r="T177" s="454">
        <v>0.79</v>
      </c>
      <c r="U177" s="454">
        <v>0.86</v>
      </c>
      <c r="V177" s="454">
        <v>0.91</v>
      </c>
      <c r="W177" s="5"/>
      <c r="X177" s="598">
        <v>650</v>
      </c>
      <c r="Y177" s="592">
        <f t="shared" si="149"/>
        <v>0.20366666666666666</v>
      </c>
      <c r="Z177" s="593">
        <v>9.6440000000000001</v>
      </c>
      <c r="AA177" s="593">
        <v>4.5170000000000003</v>
      </c>
      <c r="AB177" s="593">
        <f t="shared" si="150"/>
        <v>4.9233333333333329</v>
      </c>
      <c r="AC177" s="593">
        <f t="shared" si="151"/>
        <v>33.652666666666669</v>
      </c>
      <c r="AD177" s="653">
        <f t="shared" si="152"/>
        <v>97.86166693636666</v>
      </c>
      <c r="AE177" s="598">
        <v>650</v>
      </c>
      <c r="AF177" s="595">
        <f t="shared" si="153"/>
        <v>0.16466666666666666</v>
      </c>
      <c r="AG177" s="593">
        <v>9.6440000000000001</v>
      </c>
      <c r="AH177" s="593">
        <v>4.5170000000000003</v>
      </c>
      <c r="AI177" s="593">
        <f t="shared" si="154"/>
        <v>4.9623333333333335</v>
      </c>
      <c r="AJ177" s="593">
        <f t="shared" si="155"/>
        <v>33.613666666666674</v>
      </c>
      <c r="AK177" s="653">
        <f t="shared" si="156"/>
        <v>98.522564400931685</v>
      </c>
      <c r="AL177" s="598">
        <v>650</v>
      </c>
      <c r="AM177" s="595">
        <f t="shared" si="157"/>
        <v>0.15200000000000002</v>
      </c>
      <c r="AN177" s="593">
        <v>9.6440000000000001</v>
      </c>
      <c r="AO177" s="593">
        <v>4.5170000000000003</v>
      </c>
      <c r="AP177" s="593">
        <f t="shared" si="158"/>
        <v>4.9749999999999996</v>
      </c>
      <c r="AQ177" s="593">
        <f t="shared" si="159"/>
        <v>33.601000000000006</v>
      </c>
      <c r="AR177" s="698">
        <f t="shared" si="160"/>
        <v>98.736828308624993</v>
      </c>
      <c r="AS177" s="598">
        <v>650</v>
      </c>
      <c r="AT177" s="595">
        <f t="shared" si="161"/>
        <v>8.5333333333333344E-2</v>
      </c>
      <c r="AU177" s="593">
        <v>9.6440000000000001</v>
      </c>
      <c r="AV177" s="593">
        <v>4.5170000000000003</v>
      </c>
      <c r="AW177" s="593">
        <f t="shared" si="162"/>
        <v>5.0416666666666661</v>
      </c>
      <c r="AX177" s="593">
        <f t="shared" si="163"/>
        <v>33.534333333333336</v>
      </c>
      <c r="AY177" s="698">
        <f t="shared" si="164"/>
        <v>99.861409177291662</v>
      </c>
      <c r="AZ177" s="75"/>
      <c r="BA177" s="598">
        <v>650</v>
      </c>
      <c r="BB177" s="593">
        <v>103.50685607036536</v>
      </c>
      <c r="BC177" s="667">
        <f>(BB190-BB191)/BB172</f>
        <v>1.3041648169492461</v>
      </c>
      <c r="BD177" s="714">
        <f>D177-BB188</f>
        <v>35.049999999999955</v>
      </c>
      <c r="BE177" s="667">
        <f>BB190-BB191</f>
        <v>134.99</v>
      </c>
      <c r="BF177" s="667">
        <f t="shared" si="165"/>
        <v>25.964886287873139</v>
      </c>
      <c r="BG177" s="668">
        <f t="shared" si="166"/>
        <v>33.862491172732064</v>
      </c>
      <c r="BH177" s="598">
        <v>650</v>
      </c>
      <c r="BI177" s="593">
        <v>103.50685607036536</v>
      </c>
      <c r="BJ177" s="667">
        <f>(BI190-BI191)/BI172</f>
        <v>1.3690880525215026</v>
      </c>
      <c r="BK177" s="714">
        <f>I177-BI188</f>
        <v>32.569999999999993</v>
      </c>
      <c r="BL177" s="667">
        <f>BI190-BI191</f>
        <v>141.70999999999998</v>
      </c>
      <c r="BM177" s="667">
        <f t="shared" si="167"/>
        <v>22.983557970503139</v>
      </c>
      <c r="BN177" s="668">
        <f t="shared" si="168"/>
        <v>31.4665146218512</v>
      </c>
      <c r="BO177" s="598">
        <v>650</v>
      </c>
      <c r="BP177" s="679">
        <v>103.50685607036536</v>
      </c>
      <c r="BQ177" s="667">
        <f>(BP190-BP191)/BP172</f>
        <v>1.0382887093676234</v>
      </c>
      <c r="BR177" s="714">
        <f>N177-BP188</f>
        <v>40.309999999999945</v>
      </c>
      <c r="BS177" s="667">
        <f>BP190-BP191</f>
        <v>107.47000000000001</v>
      </c>
      <c r="BT177" s="667">
        <f t="shared" si="169"/>
        <v>37.508141807015853</v>
      </c>
      <c r="BU177" s="710">
        <f t="shared" si="170"/>
        <v>38.944280147584287</v>
      </c>
      <c r="BV177" s="598">
        <v>650</v>
      </c>
      <c r="BW177" s="593">
        <v>103.50685607036536</v>
      </c>
      <c r="BX177" s="667">
        <f>(BW190-BW191)/BW172</f>
        <v>1.269481124136091</v>
      </c>
      <c r="BY177" s="714">
        <f>S177-BW188</f>
        <v>38.409999999999968</v>
      </c>
      <c r="BZ177" s="667">
        <f>BW190-BW191</f>
        <v>131.4</v>
      </c>
      <c r="CA177" s="667">
        <f t="shared" si="171"/>
        <v>29.231354642313523</v>
      </c>
      <c r="CB177" s="668">
        <f t="shared" si="172"/>
        <v>37.108652951344915</v>
      </c>
      <c r="CC177" s="560"/>
    </row>
    <row r="178" spans="1:81" ht="15.75">
      <c r="A178" s="5"/>
      <c r="B178" s="59" t="s">
        <v>116</v>
      </c>
      <c r="C178" s="98">
        <v>750</v>
      </c>
      <c r="D178" s="72">
        <v>455.89</v>
      </c>
      <c r="E178" s="91">
        <v>2.66</v>
      </c>
      <c r="F178" s="91">
        <v>2.72</v>
      </c>
      <c r="G178" s="91">
        <v>2.86</v>
      </c>
      <c r="H178" s="104">
        <v>750</v>
      </c>
      <c r="I178" s="315">
        <v>460.54</v>
      </c>
      <c r="J178" s="91">
        <v>2.56</v>
      </c>
      <c r="K178" s="91">
        <v>2.41</v>
      </c>
      <c r="L178" s="454">
        <v>2.04</v>
      </c>
      <c r="M178" s="104">
        <v>750</v>
      </c>
      <c r="N178" s="315">
        <v>433.41</v>
      </c>
      <c r="O178" s="454">
        <v>2.21</v>
      </c>
      <c r="P178" s="454">
        <v>2.15</v>
      </c>
      <c r="Q178" s="454">
        <v>2</v>
      </c>
      <c r="R178" s="104">
        <v>750</v>
      </c>
      <c r="S178" s="315">
        <v>455.33</v>
      </c>
      <c r="T178" s="454">
        <v>1.33</v>
      </c>
      <c r="U178" s="454">
        <v>1.1000000000000001</v>
      </c>
      <c r="V178" s="454">
        <v>1.25</v>
      </c>
      <c r="W178" s="5"/>
      <c r="X178" s="598">
        <v>750</v>
      </c>
      <c r="Y178" s="592">
        <f t="shared" si="149"/>
        <v>0.27466666666666667</v>
      </c>
      <c r="Z178" s="593">
        <v>9.6440000000000001</v>
      </c>
      <c r="AA178" s="593">
        <v>4.5170000000000003</v>
      </c>
      <c r="AB178" s="593">
        <f t="shared" si="150"/>
        <v>4.8523333333333332</v>
      </c>
      <c r="AC178" s="593">
        <f t="shared" si="151"/>
        <v>33.723666666666674</v>
      </c>
      <c r="AD178" s="653">
        <f t="shared" si="152"/>
        <v>128.68120333162503</v>
      </c>
      <c r="AE178" s="598">
        <v>750</v>
      </c>
      <c r="AF178" s="595">
        <f t="shared" si="153"/>
        <v>0.23366666666666669</v>
      </c>
      <c r="AG178" s="593">
        <v>9.6440000000000001</v>
      </c>
      <c r="AH178" s="593">
        <v>4.5170000000000003</v>
      </c>
      <c r="AI178" s="593">
        <f t="shared" si="154"/>
        <v>4.8933333333333326</v>
      </c>
      <c r="AJ178" s="593">
        <f t="shared" si="155"/>
        <v>33.68266666666667</v>
      </c>
      <c r="AK178" s="653">
        <f t="shared" si="156"/>
        <v>129.61073291999998</v>
      </c>
      <c r="AL178" s="598">
        <v>750</v>
      </c>
      <c r="AM178" s="595">
        <f t="shared" si="157"/>
        <v>0.21199999999999997</v>
      </c>
      <c r="AN178" s="593">
        <v>9.6440000000000001</v>
      </c>
      <c r="AO178" s="593">
        <v>4.5170000000000003</v>
      </c>
      <c r="AP178" s="593">
        <f t="shared" si="158"/>
        <v>4.915</v>
      </c>
      <c r="AQ178" s="593">
        <f t="shared" si="159"/>
        <v>33.661000000000008</v>
      </c>
      <c r="AR178" s="698">
        <f t="shared" si="160"/>
        <v>130.10088002062503</v>
      </c>
      <c r="AS178" s="598">
        <v>750</v>
      </c>
      <c r="AT178" s="595">
        <f t="shared" si="161"/>
        <v>0.12266666666666667</v>
      </c>
      <c r="AU178" s="593">
        <v>9.6440000000000001</v>
      </c>
      <c r="AV178" s="593">
        <v>4.5170000000000003</v>
      </c>
      <c r="AW178" s="593">
        <f t="shared" si="162"/>
        <v>5.0043333333333333</v>
      </c>
      <c r="AX178" s="593">
        <f t="shared" si="163"/>
        <v>33.571666666666673</v>
      </c>
      <c r="AY178" s="698">
        <f t="shared" si="164"/>
        <v>132.11399652562503</v>
      </c>
      <c r="AZ178" s="75"/>
      <c r="BA178" s="598">
        <v>750</v>
      </c>
      <c r="BB178" s="593">
        <v>103.50685607036536</v>
      </c>
      <c r="BC178" s="667">
        <f>(BB190-BB191)/BB172</f>
        <v>1.3041648169492461</v>
      </c>
      <c r="BD178" s="714">
        <f>D178-BB188</f>
        <v>33.799999999999955</v>
      </c>
      <c r="BE178" s="667">
        <f>BB190-BB191</f>
        <v>134.99</v>
      </c>
      <c r="BF178" s="667">
        <f t="shared" si="165"/>
        <v>25.038891769760685</v>
      </c>
      <c r="BG178" s="668">
        <f t="shared" si="166"/>
        <v>32.654841701521931</v>
      </c>
      <c r="BH178" s="598">
        <v>750</v>
      </c>
      <c r="BI178" s="593">
        <v>103.50685607036536</v>
      </c>
      <c r="BJ178" s="667">
        <f>(BI190-BI191)/BI172</f>
        <v>1.3690880525215026</v>
      </c>
      <c r="BK178" s="714">
        <f>I178-BI188</f>
        <v>31.939999999999998</v>
      </c>
      <c r="BL178" s="667">
        <f>BI190-BI191</f>
        <v>141.70999999999998</v>
      </c>
      <c r="BM178" s="667">
        <f t="shared" si="167"/>
        <v>22.538988074236119</v>
      </c>
      <c r="BN178" s="668">
        <f t="shared" si="168"/>
        <v>30.857859288361301</v>
      </c>
      <c r="BO178" s="598">
        <v>750</v>
      </c>
      <c r="BP178" s="679">
        <v>103.50685607036536</v>
      </c>
      <c r="BQ178" s="667">
        <f>(BP190-BP191)/BP172</f>
        <v>1.0382887093676234</v>
      </c>
      <c r="BR178" s="714">
        <f>N178-BP188</f>
        <v>39.069999999999993</v>
      </c>
      <c r="BS178" s="667">
        <f>BP190-BP191</f>
        <v>107.47000000000001</v>
      </c>
      <c r="BT178" s="667">
        <f t="shared" si="169"/>
        <v>36.354331441332455</v>
      </c>
      <c r="BU178" s="710">
        <f t="shared" si="170"/>
        <v>37.746291872143885</v>
      </c>
      <c r="BV178" s="598">
        <v>750</v>
      </c>
      <c r="BW178" s="593">
        <v>103.50685607036536</v>
      </c>
      <c r="BX178" s="667">
        <f>(BW190-BW191)/BW172</f>
        <v>1.269481124136091</v>
      </c>
      <c r="BY178" s="714">
        <f>S178-BW188</f>
        <v>37.229999999999961</v>
      </c>
      <c r="BZ178" s="667">
        <f>BW190-BW191</f>
        <v>131.4</v>
      </c>
      <c r="CA178" s="667">
        <f t="shared" si="171"/>
        <v>28.333333333333304</v>
      </c>
      <c r="CB178" s="668">
        <f t="shared" si="172"/>
        <v>35.968631850522542</v>
      </c>
      <c r="CC178" s="560"/>
    </row>
    <row r="179" spans="1:81" ht="15.75">
      <c r="A179" s="5"/>
      <c r="B179" s="59" t="s">
        <v>116</v>
      </c>
      <c r="C179" s="98">
        <v>850</v>
      </c>
      <c r="D179" s="72">
        <v>454.64</v>
      </c>
      <c r="E179" s="91">
        <v>3.02</v>
      </c>
      <c r="F179" s="91">
        <v>2.69</v>
      </c>
      <c r="G179" s="91">
        <v>2.92</v>
      </c>
      <c r="H179" s="104">
        <v>850</v>
      </c>
      <c r="I179" s="315">
        <v>459.82</v>
      </c>
      <c r="J179" s="91">
        <v>2.39</v>
      </c>
      <c r="K179" s="91">
        <v>2.68</v>
      </c>
      <c r="L179" s="454">
        <v>2.19</v>
      </c>
      <c r="M179" s="104">
        <v>850</v>
      </c>
      <c r="N179" s="315">
        <v>432.41</v>
      </c>
      <c r="O179" s="454">
        <v>2.61</v>
      </c>
      <c r="P179" s="454">
        <v>2.71</v>
      </c>
      <c r="Q179" s="454">
        <v>2.65</v>
      </c>
      <c r="R179" s="104">
        <v>850</v>
      </c>
      <c r="S179" s="315">
        <v>454.29</v>
      </c>
      <c r="T179" s="454">
        <v>1.68</v>
      </c>
      <c r="U179" s="454">
        <v>1.78</v>
      </c>
      <c r="V179" s="454">
        <v>1.47</v>
      </c>
      <c r="W179" s="5"/>
      <c r="X179" s="598">
        <v>850</v>
      </c>
      <c r="Y179" s="592">
        <f t="shared" si="149"/>
        <v>0.28766666666666663</v>
      </c>
      <c r="Z179" s="593">
        <v>9.6440000000000001</v>
      </c>
      <c r="AA179" s="593">
        <v>4.5170000000000003</v>
      </c>
      <c r="AB179" s="593">
        <f t="shared" si="150"/>
        <v>4.8393333333333333</v>
      </c>
      <c r="AC179" s="593">
        <f t="shared" si="151"/>
        <v>33.736666666666672</v>
      </c>
      <c r="AD179" s="653">
        <f t="shared" si="152"/>
        <v>164.90458477476668</v>
      </c>
      <c r="AE179" s="598">
        <v>850</v>
      </c>
      <c r="AF179" s="595">
        <f t="shared" si="153"/>
        <v>0.24199999999999999</v>
      </c>
      <c r="AG179" s="593">
        <v>9.6440000000000001</v>
      </c>
      <c r="AH179" s="593">
        <v>4.5170000000000003</v>
      </c>
      <c r="AI179" s="593">
        <f t="shared" si="154"/>
        <v>4.8849999999999998</v>
      </c>
      <c r="AJ179" s="593">
        <f t="shared" si="155"/>
        <v>33.691000000000003</v>
      </c>
      <c r="AK179" s="653">
        <f t="shared" si="156"/>
        <v>166.23539227942501</v>
      </c>
      <c r="AL179" s="598">
        <v>850</v>
      </c>
      <c r="AM179" s="595">
        <f t="shared" si="157"/>
        <v>0.26566666666666666</v>
      </c>
      <c r="AN179" s="593">
        <v>9.6440000000000001</v>
      </c>
      <c r="AO179" s="593">
        <v>4.5170000000000003</v>
      </c>
      <c r="AP179" s="593">
        <f t="shared" si="158"/>
        <v>4.8613333333333335</v>
      </c>
      <c r="AQ179" s="593">
        <f t="shared" si="159"/>
        <v>33.714666666666673</v>
      </c>
      <c r="AR179" s="698">
        <f t="shared" si="160"/>
        <v>165.54622962058667</v>
      </c>
      <c r="AS179" s="598">
        <v>850</v>
      </c>
      <c r="AT179" s="595">
        <f t="shared" si="161"/>
        <v>0.16433333333333333</v>
      </c>
      <c r="AU179" s="593">
        <v>9.6440000000000001</v>
      </c>
      <c r="AV179" s="593">
        <v>4.5170000000000003</v>
      </c>
      <c r="AW179" s="593">
        <f t="shared" si="162"/>
        <v>4.9626666666666663</v>
      </c>
      <c r="AX179" s="593">
        <f t="shared" si="163"/>
        <v>33.613333333333337</v>
      </c>
      <c r="AY179" s="698">
        <f t="shared" si="164"/>
        <v>168.48906122506668</v>
      </c>
      <c r="AZ179" s="75"/>
      <c r="BA179" s="598">
        <v>850</v>
      </c>
      <c r="BB179" s="593">
        <v>103.50685607036536</v>
      </c>
      <c r="BC179" s="667">
        <f>(BB190-BB191)/BB172</f>
        <v>1.3041648169492461</v>
      </c>
      <c r="BD179" s="714">
        <f>D179-BB188</f>
        <v>32.549999999999955</v>
      </c>
      <c r="BE179" s="667">
        <f>BB190-BB191</f>
        <v>134.99</v>
      </c>
      <c r="BF179" s="667">
        <f t="shared" si="165"/>
        <v>24.112897251648235</v>
      </c>
      <c r="BG179" s="668">
        <f t="shared" si="166"/>
        <v>31.447192230311799</v>
      </c>
      <c r="BH179" s="598">
        <v>850</v>
      </c>
      <c r="BI179" s="593">
        <v>103.50685607036536</v>
      </c>
      <c r="BJ179" s="667">
        <f>(BI190-BI191)/BI172</f>
        <v>1.3690880525215026</v>
      </c>
      <c r="BK179" s="714">
        <f>I179-BI188</f>
        <v>31.21999999999997</v>
      </c>
      <c r="BL179" s="667">
        <f>BI190-BI191</f>
        <v>141.70999999999998</v>
      </c>
      <c r="BM179" s="667">
        <f t="shared" si="167"/>
        <v>22.030908192788072</v>
      </c>
      <c r="BN179" s="668">
        <f t="shared" si="168"/>
        <v>30.162253192944238</v>
      </c>
      <c r="BO179" s="598">
        <v>850</v>
      </c>
      <c r="BP179" s="679">
        <v>103.50685607036536</v>
      </c>
      <c r="BQ179" s="667">
        <f>(BP190-BP191)/BP172</f>
        <v>1.0382887093676234</v>
      </c>
      <c r="BR179" s="714">
        <f>N179-BP188</f>
        <v>38.069999999999993</v>
      </c>
      <c r="BS179" s="667">
        <f>BP190-BP191</f>
        <v>107.47000000000001</v>
      </c>
      <c r="BT179" s="667">
        <f t="shared" si="169"/>
        <v>35.423839210942575</v>
      </c>
      <c r="BU179" s="710">
        <f t="shared" si="170"/>
        <v>36.780172295175774</v>
      </c>
      <c r="BV179" s="598">
        <v>850</v>
      </c>
      <c r="BW179" s="593">
        <v>103.50685607036536</v>
      </c>
      <c r="BX179" s="667">
        <f>(BW190-BW191)/BW172</f>
        <v>1.269481124136091</v>
      </c>
      <c r="BY179" s="714">
        <f>S179-BW188</f>
        <v>36.19</v>
      </c>
      <c r="BZ179" s="667">
        <f>BW190-BW191</f>
        <v>131.4</v>
      </c>
      <c r="CA179" s="667">
        <f t="shared" si="171"/>
        <v>27.541856925418568</v>
      </c>
      <c r="CB179" s="668">
        <f t="shared" si="172"/>
        <v>34.963867490475749</v>
      </c>
      <c r="CC179" s="560"/>
    </row>
    <row r="180" spans="1:81" ht="15.75">
      <c r="A180" s="5"/>
      <c r="B180" s="59" t="s">
        <v>116</v>
      </c>
      <c r="C180" s="98">
        <v>950</v>
      </c>
      <c r="D180" s="72">
        <v>453.11</v>
      </c>
      <c r="E180" s="91">
        <v>3.33</v>
      </c>
      <c r="F180" s="91">
        <v>3.31</v>
      </c>
      <c r="G180" s="91">
        <v>3.34</v>
      </c>
      <c r="H180" s="104">
        <v>950</v>
      </c>
      <c r="I180" s="315">
        <v>458.81</v>
      </c>
      <c r="J180" s="91">
        <v>3.04</v>
      </c>
      <c r="K180" s="91">
        <v>2.67</v>
      </c>
      <c r="L180" s="454">
        <v>2.4</v>
      </c>
      <c r="M180" s="104">
        <v>950</v>
      </c>
      <c r="N180" s="315">
        <v>431.34</v>
      </c>
      <c r="O180" s="454">
        <v>2.4300000000000002</v>
      </c>
      <c r="P180" s="454">
        <v>3.02</v>
      </c>
      <c r="Q180" s="454">
        <v>2.99</v>
      </c>
      <c r="R180" s="104">
        <v>950</v>
      </c>
      <c r="S180" s="315">
        <v>453.22</v>
      </c>
      <c r="T180" s="454">
        <v>1.87</v>
      </c>
      <c r="U180" s="454">
        <v>2</v>
      </c>
      <c r="V180" s="454">
        <v>2.0299999999999998</v>
      </c>
      <c r="W180" s="5"/>
      <c r="X180" s="598">
        <v>950</v>
      </c>
      <c r="Y180" s="592">
        <f t="shared" si="149"/>
        <v>0.33266666666666667</v>
      </c>
      <c r="Z180" s="593">
        <v>9.6440000000000001</v>
      </c>
      <c r="AA180" s="593">
        <v>4.5170000000000003</v>
      </c>
      <c r="AB180" s="593">
        <f t="shared" si="150"/>
        <v>4.7943333333333333</v>
      </c>
      <c r="AC180" s="593">
        <f t="shared" si="151"/>
        <v>33.781666666666673</v>
      </c>
      <c r="AD180" s="653">
        <f t="shared" si="152"/>
        <v>204.34484206709169</v>
      </c>
      <c r="AE180" s="598">
        <v>950</v>
      </c>
      <c r="AF180" s="595">
        <f t="shared" si="153"/>
        <v>0.27033333333333331</v>
      </c>
      <c r="AG180" s="593">
        <v>9.6440000000000001</v>
      </c>
      <c r="AH180" s="593">
        <v>4.5170000000000003</v>
      </c>
      <c r="AI180" s="593">
        <f t="shared" si="154"/>
        <v>4.8566666666666665</v>
      </c>
      <c r="AJ180" s="593">
        <f t="shared" si="155"/>
        <v>33.719333333333338</v>
      </c>
      <c r="AK180" s="653">
        <f t="shared" si="156"/>
        <v>206.61966763796667</v>
      </c>
      <c r="AL180" s="598">
        <v>950</v>
      </c>
      <c r="AM180" s="595">
        <f t="shared" si="157"/>
        <v>0.28133333333333338</v>
      </c>
      <c r="AN180" s="593">
        <v>9.6440000000000001</v>
      </c>
      <c r="AO180" s="593">
        <v>4.5170000000000003</v>
      </c>
      <c r="AP180" s="593">
        <f t="shared" si="158"/>
        <v>4.8456666666666663</v>
      </c>
      <c r="AQ180" s="593">
        <f t="shared" si="159"/>
        <v>33.730333333333341</v>
      </c>
      <c r="AR180" s="698">
        <f t="shared" si="160"/>
        <v>206.21894026845169</v>
      </c>
      <c r="AS180" s="598">
        <v>950</v>
      </c>
      <c r="AT180" s="595">
        <f t="shared" si="161"/>
        <v>0.19666666666666668</v>
      </c>
      <c r="AU180" s="593">
        <v>9.6440000000000001</v>
      </c>
      <c r="AV180" s="593">
        <v>4.5170000000000003</v>
      </c>
      <c r="AW180" s="593">
        <f t="shared" si="162"/>
        <v>4.9303333333333335</v>
      </c>
      <c r="AX180" s="593">
        <f t="shared" si="163"/>
        <v>33.645666666666671</v>
      </c>
      <c r="AY180" s="698">
        <f t="shared" si="164"/>
        <v>209.29545735645166</v>
      </c>
      <c r="AZ180" s="75"/>
      <c r="BA180" s="598">
        <v>950</v>
      </c>
      <c r="BB180" s="593">
        <v>103.50685607036536</v>
      </c>
      <c r="BC180" s="667">
        <f>(BB190-BB191)/BB172</f>
        <v>1.3041648169492461</v>
      </c>
      <c r="BD180" s="714">
        <f>D180-BB188</f>
        <v>31.019999999999982</v>
      </c>
      <c r="BE180" s="667">
        <f>BB190-BB191</f>
        <v>134.99</v>
      </c>
      <c r="BF180" s="667">
        <f t="shared" si="165"/>
        <v>22.979479961478614</v>
      </c>
      <c r="BG180" s="668">
        <f t="shared" si="166"/>
        <v>29.969029277550625</v>
      </c>
      <c r="BH180" s="598">
        <v>950</v>
      </c>
      <c r="BI180" s="593">
        <v>103.50685607036536</v>
      </c>
      <c r="BJ180" s="667">
        <f>(BI190-BI191)/BI172</f>
        <v>1.3690880525215026</v>
      </c>
      <c r="BK180" s="714">
        <f>I180-BI188</f>
        <v>30.20999999999998</v>
      </c>
      <c r="BL180" s="667">
        <f>BI190-BI191</f>
        <v>141.70999999999998</v>
      </c>
      <c r="BM180" s="667">
        <f t="shared" si="167"/>
        <v>21.318185025756815</v>
      </c>
      <c r="BN180" s="668">
        <f t="shared" si="168"/>
        <v>29.186472420206456</v>
      </c>
      <c r="BO180" s="598">
        <v>950</v>
      </c>
      <c r="BP180" s="679">
        <v>103.50685607036536</v>
      </c>
      <c r="BQ180" s="667">
        <f>(BP190-BP191)/BP172</f>
        <v>1.0382887093676234</v>
      </c>
      <c r="BR180" s="714">
        <f>N180-BP188</f>
        <v>36.999999999999943</v>
      </c>
      <c r="BS180" s="667">
        <f>BP190-BP191</f>
        <v>107.47000000000001</v>
      </c>
      <c r="BT180" s="667">
        <f t="shared" si="169"/>
        <v>34.428212524425369</v>
      </c>
      <c r="BU180" s="710">
        <f t="shared" si="170"/>
        <v>35.746424347819861</v>
      </c>
      <c r="BV180" s="598">
        <v>950</v>
      </c>
      <c r="BW180" s="593">
        <v>103.50685607036536</v>
      </c>
      <c r="BX180" s="667">
        <f>(BW190-BW191)/BW172</f>
        <v>1.269481124136091</v>
      </c>
      <c r="BY180" s="714">
        <f>S180-BW188</f>
        <v>35.120000000000005</v>
      </c>
      <c r="BZ180" s="667">
        <f>BW190-BW191</f>
        <v>131.4</v>
      </c>
      <c r="CA180" s="667">
        <f t="shared" si="171"/>
        <v>26.727549467275498</v>
      </c>
      <c r="CB180" s="668">
        <f t="shared" si="172"/>
        <v>33.930119543119879</v>
      </c>
      <c r="CC180" s="560"/>
    </row>
    <row r="181" spans="1:81" ht="15.75">
      <c r="A181" s="5"/>
      <c r="B181" s="59" t="s">
        <v>116</v>
      </c>
      <c r="C181" s="98">
        <v>1000</v>
      </c>
      <c r="D181" s="72">
        <v>452.01</v>
      </c>
      <c r="E181" s="91">
        <v>3.49</v>
      </c>
      <c r="F181" s="91">
        <v>3.47</v>
      </c>
      <c r="G181" s="91">
        <v>3.41</v>
      </c>
      <c r="H181" s="104">
        <v>1000</v>
      </c>
      <c r="I181" s="315">
        <v>457.99</v>
      </c>
      <c r="J181" s="454">
        <v>3.09</v>
      </c>
      <c r="K181" s="454">
        <v>3.19</v>
      </c>
      <c r="L181" s="454">
        <v>2.4700000000000002</v>
      </c>
      <c r="M181" s="104">
        <v>1000</v>
      </c>
      <c r="N181" s="315">
        <v>430.57</v>
      </c>
      <c r="O181" s="454">
        <v>2.88</v>
      </c>
      <c r="P181" s="454">
        <v>3.06</v>
      </c>
      <c r="Q181" s="454">
        <v>3.09</v>
      </c>
      <c r="R181" s="104">
        <v>1000</v>
      </c>
      <c r="S181" s="315">
        <v>452.27</v>
      </c>
      <c r="T181" s="454">
        <v>2.21</v>
      </c>
      <c r="U181" s="454">
        <v>2.14</v>
      </c>
      <c r="V181" s="454">
        <v>2.08</v>
      </c>
      <c r="W181" s="5"/>
      <c r="X181" s="598">
        <v>1000</v>
      </c>
      <c r="Y181" s="592">
        <f t="shared" si="149"/>
        <v>0.34566666666666668</v>
      </c>
      <c r="Z181" s="593">
        <v>9.6440000000000001</v>
      </c>
      <c r="AA181" s="593">
        <v>4.5170000000000003</v>
      </c>
      <c r="AB181" s="593">
        <f t="shared" si="150"/>
        <v>4.7813333333333334</v>
      </c>
      <c r="AC181" s="593">
        <f t="shared" si="151"/>
        <v>33.794666666666672</v>
      </c>
      <c r="AD181" s="653">
        <f t="shared" si="152"/>
        <v>225.89382557866665</v>
      </c>
      <c r="AE181" s="598">
        <v>1000</v>
      </c>
      <c r="AF181" s="595">
        <f t="shared" si="153"/>
        <v>0.29166666666666663</v>
      </c>
      <c r="AG181" s="593">
        <v>9.6440000000000001</v>
      </c>
      <c r="AH181" s="593">
        <v>4.5170000000000003</v>
      </c>
      <c r="AI181" s="593">
        <f t="shared" si="154"/>
        <v>4.8353333333333328</v>
      </c>
      <c r="AJ181" s="593">
        <f t="shared" si="155"/>
        <v>33.740666666666669</v>
      </c>
      <c r="AK181" s="653">
        <f t="shared" si="156"/>
        <v>228.08002357066661</v>
      </c>
      <c r="AL181" s="598">
        <v>1000</v>
      </c>
      <c r="AM181" s="595">
        <f t="shared" si="157"/>
        <v>0.30099999999999999</v>
      </c>
      <c r="AN181" s="593">
        <v>9.6440000000000001</v>
      </c>
      <c r="AO181" s="593">
        <v>4.5170000000000003</v>
      </c>
      <c r="AP181" s="593">
        <f t="shared" si="158"/>
        <v>4.8259999999999996</v>
      </c>
      <c r="AQ181" s="593">
        <f t="shared" si="159"/>
        <v>33.750000000000007</v>
      </c>
      <c r="AR181" s="698">
        <f t="shared" si="160"/>
        <v>227.70274499999996</v>
      </c>
      <c r="AS181" s="598">
        <v>1000</v>
      </c>
      <c r="AT181" s="595">
        <f t="shared" si="161"/>
        <v>0.21433333333333332</v>
      </c>
      <c r="AU181" s="593">
        <v>9.6440000000000001</v>
      </c>
      <c r="AV181" s="593">
        <v>4.5170000000000003</v>
      </c>
      <c r="AW181" s="593">
        <f t="shared" si="162"/>
        <v>4.9126666666666665</v>
      </c>
      <c r="AX181" s="593">
        <f t="shared" si="163"/>
        <v>33.663333333333341</v>
      </c>
      <c r="AY181" s="698">
        <f t="shared" si="164"/>
        <v>231.19667630666666</v>
      </c>
      <c r="AZ181" s="75"/>
      <c r="BA181" s="598">
        <v>1000</v>
      </c>
      <c r="BB181" s="593">
        <v>103.50685607036536</v>
      </c>
      <c r="BC181" s="667">
        <f>(BB190-BB191)/BB172</f>
        <v>1.3041648169492461</v>
      </c>
      <c r="BD181" s="714">
        <f>D181-BB188</f>
        <v>29.919999999999959</v>
      </c>
      <c r="BE181" s="667">
        <f>BB190-BB191</f>
        <v>134.99</v>
      </c>
      <c r="BF181" s="667">
        <f t="shared" si="165"/>
        <v>22.164604785539638</v>
      </c>
      <c r="BG181" s="668">
        <f t="shared" si="166"/>
        <v>28.906297742885688</v>
      </c>
      <c r="BH181" s="598">
        <v>1000</v>
      </c>
      <c r="BI181" s="593">
        <v>103.50685607036536</v>
      </c>
      <c r="BJ181" s="667">
        <f>(BI190-BI191)/BI172</f>
        <v>1.3690880525215026</v>
      </c>
      <c r="BK181" s="714">
        <f>I181-BI188</f>
        <v>29.389999999999986</v>
      </c>
      <c r="BL181" s="667">
        <f>BI190-BI191</f>
        <v>141.70999999999998</v>
      </c>
      <c r="BM181" s="667">
        <f t="shared" si="167"/>
        <v>20.739538494107677</v>
      </c>
      <c r="BN181" s="668">
        <f t="shared" si="168"/>
        <v>28.394254367092614</v>
      </c>
      <c r="BO181" s="598">
        <v>1000</v>
      </c>
      <c r="BP181" s="679">
        <v>103.50685607036536</v>
      </c>
      <c r="BQ181" s="667">
        <f>(BP190-BP191)/BP172</f>
        <v>1.0382887093676234</v>
      </c>
      <c r="BR181" s="714">
        <f>N181-BP188</f>
        <v>36.229999999999961</v>
      </c>
      <c r="BS181" s="667">
        <f>BP190-BP191</f>
        <v>107.47000000000001</v>
      </c>
      <c r="BT181" s="667">
        <f t="shared" si="169"/>
        <v>33.71173350702518</v>
      </c>
      <c r="BU181" s="710">
        <f t="shared" si="170"/>
        <v>35.002512273554437</v>
      </c>
      <c r="BV181" s="598">
        <v>1000</v>
      </c>
      <c r="BW181" s="593">
        <v>103.50685607036536</v>
      </c>
      <c r="BX181" s="667">
        <f>(BW190-BW191)/BW172</f>
        <v>1.269481124136091</v>
      </c>
      <c r="BY181" s="714">
        <f>S181-BW188</f>
        <v>34.169999999999959</v>
      </c>
      <c r="BZ181" s="667">
        <f>BW190-BW191</f>
        <v>131.4</v>
      </c>
      <c r="CA181" s="667">
        <f t="shared" si="171"/>
        <v>26.004566210045631</v>
      </c>
      <c r="CB181" s="668">
        <f t="shared" si="172"/>
        <v>33.012305945000136</v>
      </c>
      <c r="CC181" s="560"/>
    </row>
    <row r="182" spans="1:81" ht="15.75">
      <c r="A182" s="5"/>
      <c r="B182" s="59" t="s">
        <v>116</v>
      </c>
      <c r="C182" s="98">
        <v>1350</v>
      </c>
      <c r="D182" s="72">
        <v>448.19</v>
      </c>
      <c r="E182" s="91">
        <v>3.84</v>
      </c>
      <c r="F182" s="91">
        <v>3.55</v>
      </c>
      <c r="G182" s="91">
        <v>3.93</v>
      </c>
      <c r="H182" s="104">
        <v>1350</v>
      </c>
      <c r="I182" s="315">
        <v>455.14</v>
      </c>
      <c r="J182" s="454">
        <v>3.76</v>
      </c>
      <c r="K182" s="454">
        <v>3.92</v>
      </c>
      <c r="L182" s="454">
        <v>3.09</v>
      </c>
      <c r="M182" s="104">
        <v>1350</v>
      </c>
      <c r="N182" s="315">
        <v>427.7</v>
      </c>
      <c r="O182" s="454">
        <v>3.95</v>
      </c>
      <c r="P182" s="454">
        <v>3.83</v>
      </c>
      <c r="Q182" s="454">
        <v>3.83</v>
      </c>
      <c r="R182" s="104">
        <v>1350</v>
      </c>
      <c r="S182" s="315">
        <v>449.08</v>
      </c>
      <c r="T182" s="454">
        <v>2.92</v>
      </c>
      <c r="U182" s="454">
        <v>3.02</v>
      </c>
      <c r="V182" s="454">
        <v>2.82</v>
      </c>
      <c r="W182" s="5"/>
      <c r="X182" s="598">
        <v>1350</v>
      </c>
      <c r="Y182" s="592">
        <f t="shared" si="149"/>
        <v>0.37733333333333335</v>
      </c>
      <c r="Z182" s="593">
        <v>9.6440000000000001</v>
      </c>
      <c r="AA182" s="593">
        <v>4.5170000000000003</v>
      </c>
      <c r="AB182" s="593">
        <f t="shared" si="150"/>
        <v>4.7496666666666663</v>
      </c>
      <c r="AC182" s="593">
        <f t="shared" si="151"/>
        <v>33.826333333333338</v>
      </c>
      <c r="AD182" s="653">
        <f t="shared" si="152"/>
        <v>409.34808624874501</v>
      </c>
      <c r="AE182" s="598">
        <v>1350</v>
      </c>
      <c r="AF182" s="595">
        <f t="shared" si="153"/>
        <v>0.35899999999999999</v>
      </c>
      <c r="AG182" s="593">
        <v>9.6440000000000001</v>
      </c>
      <c r="AH182" s="593">
        <v>4.5170000000000003</v>
      </c>
      <c r="AI182" s="593">
        <f t="shared" si="154"/>
        <v>4.7679999999999998</v>
      </c>
      <c r="AJ182" s="593">
        <f t="shared" si="155"/>
        <v>33.808000000000007</v>
      </c>
      <c r="AK182" s="653">
        <f t="shared" si="156"/>
        <v>410.70542061312005</v>
      </c>
      <c r="AL182" s="598">
        <v>1350</v>
      </c>
      <c r="AM182" s="595">
        <f t="shared" si="157"/>
        <v>0.38699999999999996</v>
      </c>
      <c r="AN182" s="593">
        <v>9.6440000000000001</v>
      </c>
      <c r="AO182" s="593">
        <v>4.5170000000000003</v>
      </c>
      <c r="AP182" s="593">
        <f t="shared" si="158"/>
        <v>4.74</v>
      </c>
      <c r="AQ182" s="593">
        <f t="shared" si="159"/>
        <v>33.836000000000006</v>
      </c>
      <c r="AR182" s="698">
        <f t="shared" si="160"/>
        <v>408.63171123720002</v>
      </c>
      <c r="AS182" s="598">
        <v>1350</v>
      </c>
      <c r="AT182" s="595">
        <f t="shared" si="161"/>
        <v>0.29199999999999998</v>
      </c>
      <c r="AU182" s="593">
        <v>9.6440000000000001</v>
      </c>
      <c r="AV182" s="593">
        <v>4.5170000000000003</v>
      </c>
      <c r="AW182" s="593">
        <f t="shared" si="162"/>
        <v>4.835</v>
      </c>
      <c r="AX182" s="593">
        <f t="shared" si="163"/>
        <v>33.741000000000007</v>
      </c>
      <c r="AY182" s="698">
        <f t="shared" si="164"/>
        <v>415.65129380842501</v>
      </c>
      <c r="AZ182" s="75"/>
      <c r="BA182" s="598">
        <v>1350</v>
      </c>
      <c r="BB182" s="593">
        <v>103.50685607036536</v>
      </c>
      <c r="BC182" s="667">
        <f>(BB190-BB191)/BB172</f>
        <v>1.3041648169492461</v>
      </c>
      <c r="BD182" s="714">
        <f>D182-BB188</f>
        <v>26.099999999999966</v>
      </c>
      <c r="BE182" s="667">
        <f>BB190-BB191</f>
        <v>134.99</v>
      </c>
      <c r="BF182" s="667">
        <f t="shared" si="165"/>
        <v>19.334765538187987</v>
      </c>
      <c r="BG182" s="668">
        <f t="shared" si="166"/>
        <v>25.215720958867529</v>
      </c>
      <c r="BH182" s="598">
        <v>1350</v>
      </c>
      <c r="BI182" s="593">
        <v>103.50685607036536</v>
      </c>
      <c r="BJ182" s="667">
        <f>(BI190-BI191)/BI172</f>
        <v>1.3690880525215026</v>
      </c>
      <c r="BK182" s="714">
        <f>I182-BI188</f>
        <v>26.539999999999964</v>
      </c>
      <c r="BL182" s="667">
        <f>BI190-BI191</f>
        <v>141.70999999999998</v>
      </c>
      <c r="BM182" s="667">
        <f t="shared" si="167"/>
        <v>18.728388963375885</v>
      </c>
      <c r="BN182" s="668">
        <f t="shared" si="168"/>
        <v>25.640813572733492</v>
      </c>
      <c r="BO182" s="598">
        <v>1350</v>
      </c>
      <c r="BP182" s="679">
        <v>103.50685607036536</v>
      </c>
      <c r="BQ182" s="667">
        <f>(BP190-BP191)/BP172</f>
        <v>1.0382887093676234</v>
      </c>
      <c r="BR182" s="714">
        <f>N182-BP188</f>
        <v>33.359999999999957</v>
      </c>
      <c r="BS182" s="667">
        <f>BP190-BP191</f>
        <v>107.47000000000001</v>
      </c>
      <c r="BT182" s="667">
        <f t="shared" si="169"/>
        <v>31.04122080580623</v>
      </c>
      <c r="BU182" s="710">
        <f t="shared" si="170"/>
        <v>32.229749087655968</v>
      </c>
      <c r="BV182" s="598">
        <v>1350</v>
      </c>
      <c r="BW182" s="593">
        <v>103.50685607036536</v>
      </c>
      <c r="BX182" s="667">
        <f>(BW190-BW191)/BW172</f>
        <v>1.269481124136091</v>
      </c>
      <c r="BY182" s="714">
        <f>S182-BW188</f>
        <v>30.979999999999961</v>
      </c>
      <c r="BZ182" s="667">
        <f>BW190-BW191</f>
        <v>131.4</v>
      </c>
      <c r="CA182" s="667">
        <f t="shared" si="171"/>
        <v>23.576864535768614</v>
      </c>
      <c r="CB182" s="668">
        <f t="shared" si="172"/>
        <v>29.930384494471877</v>
      </c>
      <c r="CC182" s="560"/>
    </row>
    <row r="183" spans="1:81" ht="15.75">
      <c r="A183" s="5"/>
      <c r="B183" s="59" t="s">
        <v>116</v>
      </c>
      <c r="C183" s="98">
        <v>2500</v>
      </c>
      <c r="D183" s="72">
        <v>441.65</v>
      </c>
      <c r="E183" s="91">
        <v>5.05</v>
      </c>
      <c r="F183" s="91">
        <v>5.18</v>
      </c>
      <c r="G183" s="91">
        <v>5.18</v>
      </c>
      <c r="H183" s="104">
        <v>2500</v>
      </c>
      <c r="I183" s="315">
        <v>449.29</v>
      </c>
      <c r="J183" s="454">
        <v>4.12</v>
      </c>
      <c r="K183" s="454">
        <v>4.76</v>
      </c>
      <c r="L183" s="454">
        <v>4.13</v>
      </c>
      <c r="M183" s="104">
        <v>2500</v>
      </c>
      <c r="N183" s="315">
        <v>421.88</v>
      </c>
      <c r="O183" s="454">
        <v>6.22</v>
      </c>
      <c r="P183" s="454">
        <v>5.79</v>
      </c>
      <c r="Q183" s="454">
        <v>5.51</v>
      </c>
      <c r="R183" s="104">
        <v>2500</v>
      </c>
      <c r="S183" s="315">
        <v>443.88</v>
      </c>
      <c r="T183" s="454">
        <v>4.22</v>
      </c>
      <c r="U183" s="454">
        <v>4.26</v>
      </c>
      <c r="V183" s="454">
        <v>3.68</v>
      </c>
      <c r="W183" s="5"/>
      <c r="X183" s="598">
        <v>2500</v>
      </c>
      <c r="Y183" s="592">
        <f t="shared" si="149"/>
        <v>0.51366666666666672</v>
      </c>
      <c r="Z183" s="593">
        <v>9.6440000000000001</v>
      </c>
      <c r="AA183" s="593">
        <v>4.5170000000000003</v>
      </c>
      <c r="AB183" s="593">
        <f t="shared" si="150"/>
        <v>4.6133333333333333</v>
      </c>
      <c r="AC183" s="593">
        <f t="shared" si="151"/>
        <v>33.962666666666671</v>
      </c>
      <c r="AD183" s="653">
        <f t="shared" si="152"/>
        <v>1369.0011306666668</v>
      </c>
      <c r="AE183" s="598">
        <v>2500</v>
      </c>
      <c r="AF183" s="595">
        <f t="shared" si="153"/>
        <v>0.43366666666666659</v>
      </c>
      <c r="AG183" s="593">
        <v>9.6440000000000001</v>
      </c>
      <c r="AH183" s="593">
        <v>4.5170000000000003</v>
      </c>
      <c r="AI183" s="593">
        <f t="shared" si="154"/>
        <v>4.6933333333333334</v>
      </c>
      <c r="AJ183" s="593">
        <f t="shared" si="155"/>
        <v>33.882666666666672</v>
      </c>
      <c r="AK183" s="653">
        <f t="shared" si="156"/>
        <v>1389.4603946666668</v>
      </c>
      <c r="AL183" s="598">
        <v>2500</v>
      </c>
      <c r="AM183" s="595">
        <f t="shared" si="157"/>
        <v>0.58399999999999996</v>
      </c>
      <c r="AN183" s="593">
        <v>9.6440000000000001</v>
      </c>
      <c r="AO183" s="593">
        <v>4.5170000000000003</v>
      </c>
      <c r="AP183" s="593">
        <f t="shared" si="158"/>
        <v>4.5430000000000001</v>
      </c>
      <c r="AQ183" s="593">
        <f t="shared" si="159"/>
        <v>34.033000000000008</v>
      </c>
      <c r="AR183" s="698">
        <f t="shared" si="160"/>
        <v>1350.9216422625002</v>
      </c>
      <c r="AS183" s="598">
        <v>2500</v>
      </c>
      <c r="AT183" s="595">
        <f t="shared" si="161"/>
        <v>0.40533333333333338</v>
      </c>
      <c r="AU183" s="593">
        <v>9.6440000000000001</v>
      </c>
      <c r="AV183" s="593">
        <v>4.5170000000000003</v>
      </c>
      <c r="AW183" s="593">
        <f t="shared" si="162"/>
        <v>4.7216666666666667</v>
      </c>
      <c r="AX183" s="593">
        <f t="shared" si="163"/>
        <v>33.854333333333336</v>
      </c>
      <c r="AY183" s="698">
        <f t="shared" si="164"/>
        <v>1396.6795647291667</v>
      </c>
      <c r="AZ183" s="75"/>
      <c r="BA183" s="598">
        <v>2500</v>
      </c>
      <c r="BB183" s="593">
        <v>103.50685607036536</v>
      </c>
      <c r="BC183" s="667">
        <f>(BB190-BB191)/BB172</f>
        <v>1.3041648169492461</v>
      </c>
      <c r="BD183" s="714">
        <f>D183-BB188</f>
        <v>19.559999999999945</v>
      </c>
      <c r="BE183" s="667">
        <f>BB190-BB191</f>
        <v>134.99</v>
      </c>
      <c r="BF183" s="667">
        <f t="shared" si="165"/>
        <v>14.489962219423619</v>
      </c>
      <c r="BG183" s="668">
        <f t="shared" si="166"/>
        <v>18.897298925496095</v>
      </c>
      <c r="BH183" s="598">
        <v>2500</v>
      </c>
      <c r="BI183" s="593">
        <v>103.50685607036536</v>
      </c>
      <c r="BJ183" s="667">
        <f>(BI190-BI191)/BI172</f>
        <v>1.3690880525215026</v>
      </c>
      <c r="BK183" s="714">
        <f>I183-BI188</f>
        <v>20.689999999999998</v>
      </c>
      <c r="BL183" s="667">
        <f>BI190-BI191</f>
        <v>141.70999999999998</v>
      </c>
      <c r="BM183" s="667">
        <f t="shared" si="167"/>
        <v>14.600239926610683</v>
      </c>
      <c r="BN183" s="668">
        <f t="shared" si="168"/>
        <v>19.989014047470107</v>
      </c>
      <c r="BO183" s="598">
        <v>2500</v>
      </c>
      <c r="BP183" s="679">
        <v>103.50685607036536</v>
      </c>
      <c r="BQ183" s="667">
        <f>(BP190-BP191)/BP172</f>
        <v>1.0382887093676234</v>
      </c>
      <c r="BR183" s="714">
        <f>N183-BP188</f>
        <v>27.539999999999964</v>
      </c>
      <c r="BS183" s="667">
        <f>BP190-BP191</f>
        <v>107.47000000000001</v>
      </c>
      <c r="BT183" s="667">
        <f t="shared" si="169"/>
        <v>25.625756024937157</v>
      </c>
      <c r="BU183" s="710">
        <f t="shared" si="170"/>
        <v>26.6069331497016</v>
      </c>
      <c r="BV183" s="598">
        <v>2500</v>
      </c>
      <c r="BW183" s="593">
        <v>103.50685607036536</v>
      </c>
      <c r="BX183" s="667">
        <f>(BW190-BW191)/BW172</f>
        <v>1.269481124136091</v>
      </c>
      <c r="BY183" s="714">
        <f>S183-BW188</f>
        <v>25.779999999999973</v>
      </c>
      <c r="BZ183" s="667">
        <f>BW190-BW191</f>
        <v>131.4</v>
      </c>
      <c r="CA183" s="667">
        <f t="shared" si="171"/>
        <v>19.619482496194802</v>
      </c>
      <c r="CB183" s="668">
        <f t="shared" si="172"/>
        <v>24.906562694237738</v>
      </c>
      <c r="CC183" s="560"/>
    </row>
    <row r="184" spans="1:81" ht="15.75">
      <c r="A184" s="5"/>
      <c r="B184" s="59" t="s">
        <v>116</v>
      </c>
      <c r="C184" s="98">
        <v>5000</v>
      </c>
      <c r="D184" s="72">
        <v>437.21</v>
      </c>
      <c r="E184" s="91">
        <v>6.34</v>
      </c>
      <c r="F184" s="91">
        <v>6.25</v>
      </c>
      <c r="G184" s="91">
        <v>6.75</v>
      </c>
      <c r="H184" s="104">
        <v>5000</v>
      </c>
      <c r="I184" s="315">
        <v>444.65</v>
      </c>
      <c r="J184" s="454">
        <v>6.36</v>
      </c>
      <c r="K184" s="454">
        <v>6.52</v>
      </c>
      <c r="L184" s="454">
        <v>5.5</v>
      </c>
      <c r="M184" s="104">
        <v>5000</v>
      </c>
      <c r="N184" s="315">
        <v>416.52</v>
      </c>
      <c r="O184" s="454">
        <v>9.83</v>
      </c>
      <c r="P184" s="454">
        <v>9.7899999999999991</v>
      </c>
      <c r="Q184" s="454">
        <v>9.33</v>
      </c>
      <c r="R184" s="104">
        <v>5000</v>
      </c>
      <c r="S184" s="315">
        <v>439.25</v>
      </c>
      <c r="T184" s="454">
        <v>6.76</v>
      </c>
      <c r="U184" s="454">
        <v>6.49</v>
      </c>
      <c r="V184" s="454">
        <v>6.14</v>
      </c>
      <c r="W184" s="5"/>
      <c r="X184" s="598">
        <v>5000</v>
      </c>
      <c r="Y184" s="592">
        <f t="shared" si="149"/>
        <v>0.64466666666666661</v>
      </c>
      <c r="Z184" s="593">
        <v>9.6440000000000001</v>
      </c>
      <c r="AA184" s="593">
        <v>4.5170000000000003</v>
      </c>
      <c r="AB184" s="593">
        <f t="shared" si="150"/>
        <v>4.4823333333333331</v>
      </c>
      <c r="AC184" s="593">
        <f t="shared" si="151"/>
        <v>34.093666666666671</v>
      </c>
      <c r="AD184" s="653">
        <f t="shared" si="152"/>
        <v>5341.0302905166664</v>
      </c>
      <c r="AE184" s="598">
        <v>5000</v>
      </c>
      <c r="AF184" s="595">
        <f t="shared" si="153"/>
        <v>0.61266666666666658</v>
      </c>
      <c r="AG184" s="593">
        <v>9.6440000000000001</v>
      </c>
      <c r="AH184" s="593">
        <v>4.5170000000000003</v>
      </c>
      <c r="AI184" s="593">
        <f t="shared" si="154"/>
        <v>4.5143333333333331</v>
      </c>
      <c r="AJ184" s="593">
        <f t="shared" si="155"/>
        <v>34.061666666666675</v>
      </c>
      <c r="AK184" s="653">
        <f t="shared" si="156"/>
        <v>5374.1118169166666</v>
      </c>
      <c r="AL184" s="598">
        <v>5000</v>
      </c>
      <c r="AM184" s="595">
        <f t="shared" si="157"/>
        <v>0.96499999999999986</v>
      </c>
      <c r="AN184" s="593">
        <v>9.6440000000000001</v>
      </c>
      <c r="AO184" s="593">
        <v>4.5170000000000003</v>
      </c>
      <c r="AP184" s="593">
        <f t="shared" si="158"/>
        <v>4.1619999999999999</v>
      </c>
      <c r="AQ184" s="593">
        <f t="shared" si="159"/>
        <v>34.414000000000001</v>
      </c>
      <c r="AR184" s="698">
        <f t="shared" si="160"/>
        <v>5005.9258265999997</v>
      </c>
      <c r="AS184" s="598">
        <v>5000</v>
      </c>
      <c r="AT184" s="595">
        <f t="shared" si="161"/>
        <v>0.64633333333333343</v>
      </c>
      <c r="AU184" s="593">
        <v>9.6440000000000001</v>
      </c>
      <c r="AV184" s="593">
        <v>4.5170000000000003</v>
      </c>
      <c r="AW184" s="593">
        <f t="shared" si="162"/>
        <v>4.4806666666666661</v>
      </c>
      <c r="AX184" s="593">
        <f t="shared" si="163"/>
        <v>34.095333333333336</v>
      </c>
      <c r="AY184" s="698">
        <f t="shared" si="164"/>
        <v>5339.3053332666659</v>
      </c>
      <c r="AZ184" s="75"/>
      <c r="BA184" s="598">
        <v>5000</v>
      </c>
      <c r="BB184" s="593">
        <v>103.50685607036536</v>
      </c>
      <c r="BC184" s="667">
        <f>(BB190-BB191)/BB172</f>
        <v>1.3041648169492461</v>
      </c>
      <c r="BD184" s="714">
        <f>D184-BB188</f>
        <v>15.119999999999948</v>
      </c>
      <c r="BE184" s="667">
        <f>BB190-BB191</f>
        <v>134.99</v>
      </c>
      <c r="BF184" s="667">
        <f t="shared" si="165"/>
        <v>11.20082969108819</v>
      </c>
      <c r="BG184" s="668">
        <f t="shared" si="166"/>
        <v>14.60772800375771</v>
      </c>
      <c r="BH184" s="598">
        <v>5000</v>
      </c>
      <c r="BI184" s="593">
        <v>103.50685607036536</v>
      </c>
      <c r="BJ184" s="667">
        <f>(BI190-BI191)/BI172</f>
        <v>1.3690880525215026</v>
      </c>
      <c r="BK184" s="714">
        <f>I184-BI188</f>
        <v>16.049999999999955</v>
      </c>
      <c r="BL184" s="667">
        <f>BI190-BI191</f>
        <v>141.70999999999998</v>
      </c>
      <c r="BM184" s="667">
        <f t="shared" si="167"/>
        <v>11.325947357278919</v>
      </c>
      <c r="BN184" s="668">
        <f t="shared" si="168"/>
        <v>15.506219210338053</v>
      </c>
      <c r="BO184" s="598">
        <v>5000</v>
      </c>
      <c r="BP184" s="679">
        <v>103.50685607036536</v>
      </c>
      <c r="BQ184" s="667">
        <f>(BP190-BP191)/BP172</f>
        <v>1.0382887093676234</v>
      </c>
      <c r="BR184" s="714">
        <f>N184-BP188</f>
        <v>22.17999999999995</v>
      </c>
      <c r="BS184" s="667">
        <f>BP190-BP191</f>
        <v>107.47000000000001</v>
      </c>
      <c r="BT184" s="667">
        <f t="shared" si="169"/>
        <v>20.638317670047407</v>
      </c>
      <c r="BU184" s="710">
        <f t="shared" si="170"/>
        <v>21.42853221715254</v>
      </c>
      <c r="BV184" s="598">
        <v>5000</v>
      </c>
      <c r="BW184" s="593">
        <v>103.50685607036536</v>
      </c>
      <c r="BX184" s="667">
        <f>(BW190-BW191)/BW172</f>
        <v>1.269481124136091</v>
      </c>
      <c r="BY184" s="714">
        <f>S184-BW188</f>
        <v>21.149999999999977</v>
      </c>
      <c r="BZ184" s="667">
        <f>BW190-BW191</f>
        <v>131.4</v>
      </c>
      <c r="CA184" s="667">
        <f t="shared" si="171"/>
        <v>16.095890410958884</v>
      </c>
      <c r="CB184" s="668">
        <f t="shared" si="172"/>
        <v>20.433429052875411</v>
      </c>
      <c r="CC184" s="560"/>
    </row>
    <row r="185" spans="1:81" ht="15.75">
      <c r="A185" s="5"/>
      <c r="B185" s="59" t="s">
        <v>116</v>
      </c>
      <c r="C185" s="98">
        <v>7000</v>
      </c>
      <c r="D185" s="72">
        <v>435.22</v>
      </c>
      <c r="E185" s="91">
        <v>8.31</v>
      </c>
      <c r="F185" s="91">
        <v>7.9</v>
      </c>
      <c r="G185" s="91">
        <v>7.81</v>
      </c>
      <c r="H185" s="104">
        <v>7000</v>
      </c>
      <c r="I185" s="315">
        <v>442.5</v>
      </c>
      <c r="J185" s="454">
        <v>7.42</v>
      </c>
      <c r="K185" s="454">
        <v>7.84</v>
      </c>
      <c r="L185" s="454">
        <v>6.9</v>
      </c>
      <c r="M185" s="104">
        <v>7000</v>
      </c>
      <c r="N185" s="315">
        <v>413.86</v>
      </c>
      <c r="O185" s="454">
        <v>11.85</v>
      </c>
      <c r="P185" s="454">
        <v>11.8</v>
      </c>
      <c r="Q185" s="454">
        <v>10.53</v>
      </c>
      <c r="R185" s="104">
        <v>7000</v>
      </c>
      <c r="S185" s="315">
        <v>436.84</v>
      </c>
      <c r="T185" s="454">
        <v>7.96</v>
      </c>
      <c r="U185" s="454">
        <v>8.14</v>
      </c>
      <c r="V185" s="454">
        <v>7.7</v>
      </c>
      <c r="W185" s="5"/>
      <c r="X185" s="598">
        <v>7000</v>
      </c>
      <c r="Y185" s="592">
        <f t="shared" si="149"/>
        <v>0.80066666666666664</v>
      </c>
      <c r="Z185" s="593">
        <v>9.6440000000000001</v>
      </c>
      <c r="AA185" s="593">
        <v>4.5170000000000003</v>
      </c>
      <c r="AB185" s="593">
        <f t="shared" si="150"/>
        <v>4.3263333333333334</v>
      </c>
      <c r="AC185" s="593">
        <f t="shared" si="151"/>
        <v>34.24966666666667</v>
      </c>
      <c r="AD185" s="653">
        <f t="shared" si="152"/>
        <v>10150.316358004668</v>
      </c>
      <c r="AE185" s="598">
        <v>7000</v>
      </c>
      <c r="AF185" s="595">
        <f t="shared" si="153"/>
        <v>0.73866666666666669</v>
      </c>
      <c r="AG185" s="593">
        <v>9.6440000000000001</v>
      </c>
      <c r="AH185" s="593">
        <v>4.5170000000000003</v>
      </c>
      <c r="AI185" s="593">
        <f t="shared" si="154"/>
        <v>4.3883333333333328</v>
      </c>
      <c r="AJ185" s="593">
        <f t="shared" si="155"/>
        <v>34.187666666666672</v>
      </c>
      <c r="AK185" s="653">
        <f t="shared" si="156"/>
        <v>10277.141143476665</v>
      </c>
      <c r="AL185" s="598">
        <v>7000</v>
      </c>
      <c r="AM185" s="595">
        <f t="shared" si="157"/>
        <v>1.1393333333333333</v>
      </c>
      <c r="AN185" s="593">
        <v>9.6440000000000001</v>
      </c>
      <c r="AO185" s="593">
        <v>4.5170000000000003</v>
      </c>
      <c r="AP185" s="593">
        <f t="shared" si="158"/>
        <v>3.9876666666666667</v>
      </c>
      <c r="AQ185" s="593">
        <f t="shared" si="159"/>
        <v>34.588333333333338</v>
      </c>
      <c r="AR185" s="698">
        <f t="shared" si="160"/>
        <v>9448.257809876668</v>
      </c>
      <c r="AS185" s="598">
        <v>7000</v>
      </c>
      <c r="AT185" s="595">
        <f t="shared" si="161"/>
        <v>0.79333333333333333</v>
      </c>
      <c r="AU185" s="593">
        <v>9.6440000000000001</v>
      </c>
      <c r="AV185" s="593">
        <v>4.5170000000000003</v>
      </c>
      <c r="AW185" s="593">
        <f t="shared" si="162"/>
        <v>4.3336666666666668</v>
      </c>
      <c r="AX185" s="593">
        <f t="shared" si="163"/>
        <v>34.242333333333342</v>
      </c>
      <c r="AY185" s="698">
        <f t="shared" si="164"/>
        <v>10165.344600772669</v>
      </c>
      <c r="AZ185" s="75"/>
      <c r="BA185" s="598">
        <v>7000</v>
      </c>
      <c r="BB185" s="593">
        <v>103.50685607036536</v>
      </c>
      <c r="BC185" s="667">
        <f>(BB190-BB191)/BB172</f>
        <v>1.3041648169492461</v>
      </c>
      <c r="BD185" s="714">
        <f>D185-BB188</f>
        <v>13.129999999999995</v>
      </c>
      <c r="BE185" s="667">
        <f>BB190-BB191</f>
        <v>134.99</v>
      </c>
      <c r="BF185" s="667">
        <f t="shared" si="165"/>
        <v>9.7266464182531998</v>
      </c>
      <c r="BG185" s="668">
        <f t="shared" si="166"/>
        <v>12.685150045591225</v>
      </c>
      <c r="BH185" s="598">
        <v>7000</v>
      </c>
      <c r="BI185" s="593">
        <v>103.50685607036536</v>
      </c>
      <c r="BJ185" s="667">
        <f>(BI190-BI191)/BI172</f>
        <v>1.3690880525215026</v>
      </c>
      <c r="BK185" s="714">
        <f>I185-BI188</f>
        <v>13.899999999999977</v>
      </c>
      <c r="BL185" s="667">
        <f>BI190-BI191</f>
        <v>141.70999999999998</v>
      </c>
      <c r="BM185" s="667">
        <f t="shared" si="167"/>
        <v>9.8087643779549634</v>
      </c>
      <c r="BN185" s="668">
        <f t="shared" si="168"/>
        <v>13.429062119856649</v>
      </c>
      <c r="BO185" s="598">
        <v>7000</v>
      </c>
      <c r="BP185" s="679">
        <v>103.50685607036536</v>
      </c>
      <c r="BQ185" s="667">
        <f>(BP190-BP191)/BP172</f>
        <v>1.0382887093676234</v>
      </c>
      <c r="BR185" s="714">
        <f>N185-BP188</f>
        <v>19.519999999999982</v>
      </c>
      <c r="BS185" s="667">
        <f>BP190-BP191</f>
        <v>107.47000000000001</v>
      </c>
      <c r="BT185" s="667">
        <f t="shared" si="169"/>
        <v>18.163208337210364</v>
      </c>
      <c r="BU185" s="710">
        <f t="shared" si="170"/>
        <v>18.858654142417407</v>
      </c>
      <c r="BV185" s="598">
        <v>7000</v>
      </c>
      <c r="BW185" s="593">
        <v>103.50685607036536</v>
      </c>
      <c r="BX185" s="667">
        <f>(BW190-BW191)/BW172</f>
        <v>1.269481124136091</v>
      </c>
      <c r="BY185" s="714">
        <f>S185-BW188</f>
        <v>18.739999999999952</v>
      </c>
      <c r="BZ185" s="667">
        <f>BW190-BW191</f>
        <v>131.4</v>
      </c>
      <c r="CA185" s="667">
        <f t="shared" si="171"/>
        <v>14.261796042617924</v>
      </c>
      <c r="CB185" s="668">
        <f t="shared" si="172"/>
        <v>18.105080872382256</v>
      </c>
      <c r="CC185" s="560"/>
    </row>
    <row r="186" spans="1:81" ht="15.75">
      <c r="A186" s="5"/>
      <c r="B186" s="59" t="s">
        <v>116</v>
      </c>
      <c r="C186" s="98">
        <v>9000</v>
      </c>
      <c r="D186" s="72">
        <v>433.84</v>
      </c>
      <c r="E186" s="27">
        <v>8.76</v>
      </c>
      <c r="F186" s="27">
        <v>8.68</v>
      </c>
      <c r="G186" s="27">
        <v>8.94</v>
      </c>
      <c r="H186" s="104">
        <v>9000</v>
      </c>
      <c r="I186" s="315">
        <v>441.02</v>
      </c>
      <c r="J186" s="454">
        <v>8.5500000000000007</v>
      </c>
      <c r="K186" s="454">
        <v>8.06</v>
      </c>
      <c r="L186" s="454">
        <v>7.43</v>
      </c>
      <c r="M186" s="104">
        <v>9000</v>
      </c>
      <c r="N186" s="315">
        <v>411.91</v>
      </c>
      <c r="O186" s="454">
        <v>13.85</v>
      </c>
      <c r="P186" s="454">
        <v>13.17</v>
      </c>
      <c r="Q186" s="454">
        <v>12.48</v>
      </c>
      <c r="R186" s="104">
        <v>9000</v>
      </c>
      <c r="S186" s="315">
        <v>435.18</v>
      </c>
      <c r="T186" s="454">
        <v>9.14</v>
      </c>
      <c r="U186" s="454">
        <v>9.3800000000000008</v>
      </c>
      <c r="V186" s="454">
        <v>8.57</v>
      </c>
      <c r="W186" s="5"/>
      <c r="X186" s="598">
        <v>9000</v>
      </c>
      <c r="Y186" s="592">
        <f t="shared" si="149"/>
        <v>0.87933333333333308</v>
      </c>
      <c r="Z186" s="593">
        <v>9.6440000000000001</v>
      </c>
      <c r="AA186" s="593">
        <v>4.5170000000000003</v>
      </c>
      <c r="AB186" s="593">
        <f t="shared" si="150"/>
        <v>4.2476666666666665</v>
      </c>
      <c r="AC186" s="593">
        <f t="shared" si="151"/>
        <v>34.32833333333334</v>
      </c>
      <c r="AD186" s="653">
        <f t="shared" si="152"/>
        <v>16511.83489161</v>
      </c>
      <c r="AE186" s="598">
        <v>9000</v>
      </c>
      <c r="AF186" s="595">
        <f t="shared" si="153"/>
        <v>0.80133333333333334</v>
      </c>
      <c r="AG186" s="593">
        <v>9.6440000000000001</v>
      </c>
      <c r="AH186" s="593">
        <v>4.5170000000000003</v>
      </c>
      <c r="AI186" s="593">
        <f t="shared" si="154"/>
        <v>4.3256666666666668</v>
      </c>
      <c r="AJ186" s="593">
        <f t="shared" si="155"/>
        <v>34.250333333333337</v>
      </c>
      <c r="AK186" s="653">
        <f t="shared" si="156"/>
        <v>16776.835365113999</v>
      </c>
      <c r="AL186" s="598">
        <v>9000</v>
      </c>
      <c r="AM186" s="595">
        <f t="shared" si="157"/>
        <v>1.3166666666666667</v>
      </c>
      <c r="AN186" s="593">
        <v>9.6440000000000001</v>
      </c>
      <c r="AO186" s="593">
        <v>4.5170000000000003</v>
      </c>
      <c r="AP186" s="593">
        <f t="shared" si="158"/>
        <v>3.8103333333333333</v>
      </c>
      <c r="AQ186" s="593">
        <f t="shared" si="159"/>
        <v>34.765666666666675</v>
      </c>
      <c r="AR186" s="698">
        <f t="shared" si="160"/>
        <v>15000.499546074003</v>
      </c>
      <c r="AS186" s="598">
        <v>9000</v>
      </c>
      <c r="AT186" s="595">
        <f t="shared" si="161"/>
        <v>0.90300000000000014</v>
      </c>
      <c r="AU186" s="593">
        <v>9.6440000000000001</v>
      </c>
      <c r="AV186" s="593">
        <v>4.5170000000000003</v>
      </c>
      <c r="AW186" s="593">
        <f t="shared" si="162"/>
        <v>4.2239999999999993</v>
      </c>
      <c r="AX186" s="593">
        <f t="shared" si="163"/>
        <v>34.352000000000004</v>
      </c>
      <c r="AY186" s="698">
        <f t="shared" si="164"/>
        <v>16431.156301823998</v>
      </c>
      <c r="AZ186" s="75"/>
      <c r="BA186" s="598">
        <v>9000</v>
      </c>
      <c r="BB186" s="593">
        <v>103.50685607036536</v>
      </c>
      <c r="BC186" s="667">
        <f>(BB190-BB191)/BB172</f>
        <v>1.3041648169492461</v>
      </c>
      <c r="BD186" s="714">
        <f>D186-BB188</f>
        <v>11.749999999999943</v>
      </c>
      <c r="BE186" s="667">
        <f>BB190-BB191</f>
        <v>134.99</v>
      </c>
      <c r="BF186" s="667">
        <f t="shared" si="165"/>
        <v>8.7043484702570133</v>
      </c>
      <c r="BG186" s="668">
        <f t="shared" si="166"/>
        <v>11.351905029375189</v>
      </c>
      <c r="BH186" s="598">
        <v>9000</v>
      </c>
      <c r="BI186" s="593">
        <v>103.50685607036536</v>
      </c>
      <c r="BJ186" s="667">
        <f>(BI190-BI191)/BI172</f>
        <v>1.3690880525215026</v>
      </c>
      <c r="BK186" s="714">
        <f>I186-BI188</f>
        <v>12.419999999999959</v>
      </c>
      <c r="BL186" s="667">
        <f>BI190-BI191</f>
        <v>141.70999999999998</v>
      </c>
      <c r="BM186" s="667">
        <f t="shared" si="167"/>
        <v>8.7643779549784497</v>
      </c>
      <c r="BN186" s="668">
        <f t="shared" si="168"/>
        <v>11.999205145943835</v>
      </c>
      <c r="BO186" s="598">
        <v>9000</v>
      </c>
      <c r="BP186" s="679">
        <v>103.50685607036536</v>
      </c>
      <c r="BQ186" s="667">
        <f>(BP190-BP191)/BP172</f>
        <v>1.0382887093676234</v>
      </c>
      <c r="BR186" s="714">
        <f>N186-BP188</f>
        <v>17.569999999999993</v>
      </c>
      <c r="BS186" s="667">
        <f>BP190-BP191</f>
        <v>107.47000000000001</v>
      </c>
      <c r="BT186" s="667">
        <f t="shared" si="169"/>
        <v>16.348748487950118</v>
      </c>
      <c r="BU186" s="710">
        <f t="shared" si="170"/>
        <v>16.974720967329613</v>
      </c>
      <c r="BV186" s="598">
        <v>9000</v>
      </c>
      <c r="BW186" s="593">
        <v>103.50685607036536</v>
      </c>
      <c r="BX186" s="667">
        <f>(BW190-BW191)/BW172</f>
        <v>1.269481124136091</v>
      </c>
      <c r="BY186" s="714">
        <f>S186-BW188</f>
        <v>17.079999999999984</v>
      </c>
      <c r="BZ186" s="667">
        <f>BW190-BW191</f>
        <v>131.4</v>
      </c>
      <c r="CA186" s="667">
        <f t="shared" si="171"/>
        <v>12.998477929984768</v>
      </c>
      <c r="CB186" s="668">
        <f t="shared" si="172"/>
        <v>16.501322374615231</v>
      </c>
      <c r="CC186" s="560"/>
    </row>
    <row r="187" spans="1:81" ht="15.75">
      <c r="A187" s="5"/>
      <c r="B187" s="60" t="s">
        <v>116</v>
      </c>
      <c r="C187" s="99">
        <v>10000</v>
      </c>
      <c r="D187" s="72">
        <v>433.05</v>
      </c>
      <c r="E187" s="95">
        <v>9.42</v>
      </c>
      <c r="F187" s="95">
        <v>9.5299999999999994</v>
      </c>
      <c r="G187" s="96">
        <v>9.15</v>
      </c>
      <c r="H187" s="105">
        <v>10000</v>
      </c>
      <c r="I187" s="315">
        <v>440.15</v>
      </c>
      <c r="J187" s="454">
        <v>8.86</v>
      </c>
      <c r="K187" s="454">
        <v>8.6199999999999992</v>
      </c>
      <c r="L187" s="454">
        <v>7.98</v>
      </c>
      <c r="M187" s="105">
        <v>10000</v>
      </c>
      <c r="N187" s="315">
        <v>410.69</v>
      </c>
      <c r="O187" s="315">
        <v>14.08</v>
      </c>
      <c r="P187" s="315">
        <v>14.02</v>
      </c>
      <c r="Q187" s="315">
        <v>13.22</v>
      </c>
      <c r="R187" s="105">
        <v>10000</v>
      </c>
      <c r="S187" s="315">
        <v>434.06</v>
      </c>
      <c r="T187" s="315">
        <v>9.52</v>
      </c>
      <c r="U187" s="315">
        <v>10.029999999999999</v>
      </c>
      <c r="V187" s="315">
        <v>9.61</v>
      </c>
      <c r="W187" s="5"/>
      <c r="X187" s="607">
        <v>10000</v>
      </c>
      <c r="Y187" s="608">
        <f t="shared" si="149"/>
        <v>0.93666666666666676</v>
      </c>
      <c r="Z187" s="609">
        <v>9.6440000000000001</v>
      </c>
      <c r="AA187" s="609">
        <v>4.5170000000000003</v>
      </c>
      <c r="AB187" s="609">
        <f t="shared" si="150"/>
        <v>4.1903333333333332</v>
      </c>
      <c r="AC187" s="609">
        <f t="shared" si="151"/>
        <v>34.385666666666673</v>
      </c>
      <c r="AD187" s="702">
        <f t="shared" si="152"/>
        <v>20143.419250066669</v>
      </c>
      <c r="AE187" s="607">
        <v>10000</v>
      </c>
      <c r="AF187" s="602">
        <f t="shared" si="153"/>
        <v>0.84866666666666668</v>
      </c>
      <c r="AG187" s="609">
        <v>9.6440000000000001</v>
      </c>
      <c r="AH187" s="609">
        <v>4.5170000000000003</v>
      </c>
      <c r="AI187" s="609">
        <f t="shared" si="154"/>
        <v>4.2783333333333333</v>
      </c>
      <c r="AJ187" s="609">
        <f t="shared" si="155"/>
        <v>34.297666666666672</v>
      </c>
      <c r="AK187" s="702">
        <f t="shared" si="156"/>
        <v>20513.811707666664</v>
      </c>
      <c r="AL187" s="607">
        <v>10000</v>
      </c>
      <c r="AM187" s="602">
        <f t="shared" si="157"/>
        <v>1.3773333333333333</v>
      </c>
      <c r="AN187" s="609">
        <v>9.6440000000000001</v>
      </c>
      <c r="AO187" s="609">
        <v>4.5170000000000003</v>
      </c>
      <c r="AP187" s="609">
        <f t="shared" si="158"/>
        <v>3.7496666666666663</v>
      </c>
      <c r="AQ187" s="609">
        <f t="shared" si="159"/>
        <v>34.826333333333338</v>
      </c>
      <c r="AR187" s="699">
        <f t="shared" si="160"/>
        <v>18256.082342866666</v>
      </c>
      <c r="AS187" s="607">
        <v>10000</v>
      </c>
      <c r="AT187" s="602">
        <f t="shared" si="161"/>
        <v>0.97199999999999986</v>
      </c>
      <c r="AU187" s="609">
        <v>9.6440000000000001</v>
      </c>
      <c r="AV187" s="609">
        <v>4.5170000000000003</v>
      </c>
      <c r="AW187" s="609">
        <f t="shared" si="162"/>
        <v>4.1550000000000002</v>
      </c>
      <c r="AX187" s="609">
        <f t="shared" si="163"/>
        <v>34.421000000000006</v>
      </c>
      <c r="AY187" s="699">
        <f t="shared" si="164"/>
        <v>19994.091849</v>
      </c>
      <c r="AZ187" s="75"/>
      <c r="BA187" s="607">
        <v>10000</v>
      </c>
      <c r="BB187" s="609">
        <v>103.50685607036536</v>
      </c>
      <c r="BC187" s="667">
        <f>(BB190-BB191)/BB172</f>
        <v>1.3041648169492461</v>
      </c>
      <c r="BD187" s="714">
        <f>D187-BB188</f>
        <v>10.95999999999998</v>
      </c>
      <c r="BE187" s="682">
        <f>BB190-BB191</f>
        <v>134.99</v>
      </c>
      <c r="BF187" s="682">
        <f t="shared" si="165"/>
        <v>8.1191199348099712</v>
      </c>
      <c r="BG187" s="683">
        <f t="shared" si="166"/>
        <v>10.588670563570421</v>
      </c>
      <c r="BH187" s="607">
        <v>10000</v>
      </c>
      <c r="BI187" s="609">
        <v>103.50685607036536</v>
      </c>
      <c r="BJ187" s="667">
        <f>(BI190-BI191)/BI172</f>
        <v>1.3690880525215026</v>
      </c>
      <c r="BK187" s="714">
        <f>I187-BI188</f>
        <v>11.549999999999955</v>
      </c>
      <c r="BL187" s="682">
        <f>BI190-BI191</f>
        <v>141.70999999999998</v>
      </c>
      <c r="BM187" s="682">
        <f t="shared" si="167"/>
        <v>8.1504480982287468</v>
      </c>
      <c r="BN187" s="683">
        <f t="shared" si="168"/>
        <v>11.158681113981579</v>
      </c>
      <c r="BO187" s="607">
        <v>10000</v>
      </c>
      <c r="BP187" s="684">
        <v>103.50685607036536</v>
      </c>
      <c r="BQ187" s="667">
        <f>(BP190-BP191)/BP172</f>
        <v>1.0382887093676234</v>
      </c>
      <c r="BR187" s="714">
        <f>N187-BP188</f>
        <v>16.349999999999966</v>
      </c>
      <c r="BS187" s="682">
        <f>BP190-BP191</f>
        <v>107.47000000000001</v>
      </c>
      <c r="BT187" s="682">
        <f t="shared" si="169"/>
        <v>15.213547966874444</v>
      </c>
      <c r="BU187" s="711">
        <f t="shared" si="170"/>
        <v>15.796055083428497</v>
      </c>
      <c r="BV187" s="607">
        <v>10000</v>
      </c>
      <c r="BW187" s="609">
        <v>103.50685607036536</v>
      </c>
      <c r="BX187" s="667">
        <f>(BW190-BW191)/BW172</f>
        <v>1.269481124136091</v>
      </c>
      <c r="BY187" s="714">
        <f>S187-BW188</f>
        <v>15.95999999999998</v>
      </c>
      <c r="BZ187" s="682">
        <f>BW190-BW191</f>
        <v>131.4</v>
      </c>
      <c r="CA187" s="682">
        <f t="shared" si="171"/>
        <v>12.146118721461171</v>
      </c>
      <c r="CB187" s="683">
        <f t="shared" si="172"/>
        <v>15.419268448410948</v>
      </c>
      <c r="CC187" s="560"/>
    </row>
    <row r="188" spans="1:81" ht="45">
      <c r="X188" s="560"/>
      <c r="Y188" s="560"/>
      <c r="Z188" s="560"/>
      <c r="AA188" s="560"/>
      <c r="AB188" s="560"/>
      <c r="AC188" s="560"/>
      <c r="AD188" s="560"/>
      <c r="AE188" s="559"/>
      <c r="AF188" s="559"/>
      <c r="AG188" s="559"/>
      <c r="AH188" s="559"/>
      <c r="AI188" s="559"/>
      <c r="AJ188" s="559"/>
      <c r="AK188" s="559"/>
      <c r="AL188" s="560"/>
      <c r="AM188" s="560"/>
      <c r="AN188" s="559"/>
      <c r="AO188" s="559"/>
      <c r="AP188" s="560"/>
      <c r="AQ188" s="560"/>
      <c r="AR188" s="560"/>
      <c r="AS188" s="560"/>
      <c r="AT188" s="560"/>
      <c r="AU188" s="560"/>
      <c r="AV188" s="560"/>
      <c r="AW188" s="560"/>
      <c r="AX188" s="560"/>
      <c r="AY188" s="560"/>
      <c r="AZ188" s="791" t="s">
        <v>144</v>
      </c>
      <c r="BA188" s="709" t="s">
        <v>1047</v>
      </c>
      <c r="BB188" s="565">
        <f>BB190+BB189</f>
        <v>422.09000000000003</v>
      </c>
      <c r="BC188" s="559"/>
      <c r="BD188" s="559"/>
      <c r="BE188" s="559"/>
      <c r="BF188" s="559"/>
      <c r="BG188" s="559"/>
      <c r="BH188" s="709" t="s">
        <v>1047</v>
      </c>
      <c r="BI188" s="565">
        <f>BI190+BI189</f>
        <v>428.6</v>
      </c>
      <c r="BJ188" s="559"/>
      <c r="BK188" s="569"/>
      <c r="BL188" s="569"/>
      <c r="BM188" s="569"/>
      <c r="BN188" s="569"/>
      <c r="BO188" s="709" t="s">
        <v>1047</v>
      </c>
      <c r="BP188" s="697">
        <f>BP189+BP190</f>
        <v>394.34000000000003</v>
      </c>
      <c r="BQ188" s="560"/>
      <c r="BR188" s="559"/>
      <c r="BS188" s="559"/>
      <c r="BT188" s="559"/>
      <c r="BU188" s="559"/>
      <c r="BV188" s="709" t="s">
        <v>1047</v>
      </c>
      <c r="BW188" s="564">
        <f>BW189+BW190</f>
        <v>418.1</v>
      </c>
      <c r="BX188" s="560"/>
      <c r="BY188" s="560"/>
      <c r="BZ188" s="560"/>
      <c r="CA188" s="560"/>
      <c r="CB188" s="560"/>
      <c r="CC188" s="560"/>
    </row>
    <row r="189" spans="1:81">
      <c r="X189" s="560"/>
      <c r="Y189" s="560"/>
      <c r="Z189" s="560"/>
      <c r="AA189" s="560"/>
      <c r="AB189" s="560"/>
      <c r="AC189" s="560"/>
      <c r="AD189" s="560"/>
      <c r="AE189" s="559"/>
      <c r="AF189" s="559"/>
      <c r="AG189" s="559"/>
      <c r="AH189" s="559"/>
      <c r="AI189" s="559"/>
      <c r="AJ189" s="559"/>
      <c r="AK189" s="559"/>
      <c r="AL189" s="560"/>
      <c r="AM189" s="560"/>
      <c r="AN189" s="559"/>
      <c r="AO189" s="559"/>
      <c r="AP189" s="560"/>
      <c r="AQ189" s="560"/>
      <c r="AR189" s="560"/>
      <c r="AS189" s="560"/>
      <c r="AT189" s="560"/>
      <c r="AU189" s="560"/>
      <c r="AV189" s="560"/>
      <c r="AW189" s="560"/>
      <c r="AX189" s="560"/>
      <c r="AY189" s="560"/>
      <c r="AZ189" s="791"/>
      <c r="BA189" s="655" t="s">
        <v>1048</v>
      </c>
      <c r="BB189" s="569">
        <v>215.12</v>
      </c>
      <c r="BC189" s="559"/>
      <c r="BD189" s="559"/>
      <c r="BE189" s="559"/>
      <c r="BF189" s="559"/>
      <c r="BG189" s="559"/>
      <c r="BH189" s="655" t="s">
        <v>1048</v>
      </c>
      <c r="BI189" s="569">
        <v>215.03</v>
      </c>
      <c r="BJ189" s="559"/>
      <c r="BK189" s="569"/>
      <c r="BL189" s="569"/>
      <c r="BM189" s="569"/>
      <c r="BN189" s="569"/>
      <c r="BO189" s="655" t="s">
        <v>1048</v>
      </c>
      <c r="BP189" s="559">
        <v>214.88</v>
      </c>
      <c r="BQ189" s="560"/>
      <c r="BR189" s="559"/>
      <c r="BS189" s="559"/>
      <c r="BT189" s="620"/>
      <c r="BU189" s="620"/>
      <c r="BV189" s="655" t="s">
        <v>1048</v>
      </c>
      <c r="BW189" s="560">
        <v>214.58</v>
      </c>
      <c r="BX189" s="560"/>
      <c r="BY189" s="560"/>
      <c r="BZ189" s="560"/>
      <c r="CA189" s="560"/>
      <c r="CB189" s="560"/>
      <c r="CC189" s="560"/>
    </row>
    <row r="190" spans="1:81">
      <c r="X190" s="560"/>
      <c r="Y190" s="560"/>
      <c r="Z190" s="560"/>
      <c r="AA190" s="560"/>
      <c r="AB190" s="560"/>
      <c r="AC190" s="560"/>
      <c r="AD190" s="560"/>
      <c r="AE190" s="559"/>
      <c r="AF190" s="559"/>
      <c r="AG190" s="559"/>
      <c r="AH190" s="559"/>
      <c r="AI190" s="559"/>
      <c r="AJ190" s="559"/>
      <c r="AK190" s="559"/>
      <c r="AL190" s="560"/>
      <c r="AM190" s="560"/>
      <c r="AN190" s="559"/>
      <c r="AO190" s="559"/>
      <c r="AP190" s="560"/>
      <c r="AQ190" s="560"/>
      <c r="AR190" s="560"/>
      <c r="AS190" s="560"/>
      <c r="AT190" s="560"/>
      <c r="AU190" s="560"/>
      <c r="AV190" s="560"/>
      <c r="AW190" s="560"/>
      <c r="AX190" s="560"/>
      <c r="AY190" s="560"/>
      <c r="AZ190" s="791"/>
      <c r="BA190" s="655" t="s">
        <v>1049</v>
      </c>
      <c r="BB190" s="713">
        <v>206.97</v>
      </c>
      <c r="BC190" s="559"/>
      <c r="BD190" s="559"/>
      <c r="BE190" s="559"/>
      <c r="BF190" s="559"/>
      <c r="BG190" s="559"/>
      <c r="BH190" s="655" t="s">
        <v>1049</v>
      </c>
      <c r="BI190" s="565">
        <v>213.57</v>
      </c>
      <c r="BJ190" s="559"/>
      <c r="BK190" s="569"/>
      <c r="BL190" s="569"/>
      <c r="BM190" s="569"/>
      <c r="BN190" s="569"/>
      <c r="BO190" s="655" t="s">
        <v>1049</v>
      </c>
      <c r="BP190" s="697">
        <v>179.46</v>
      </c>
      <c r="BQ190" s="560"/>
      <c r="BR190" s="559"/>
      <c r="BS190" s="559"/>
      <c r="BT190" s="620"/>
      <c r="BU190" s="620"/>
      <c r="BV190" s="655" t="s">
        <v>1049</v>
      </c>
      <c r="BW190" s="697">
        <v>203.52</v>
      </c>
      <c r="BX190" s="560"/>
      <c r="BY190" s="560"/>
      <c r="BZ190" s="560"/>
      <c r="CA190" s="560"/>
      <c r="CB190" s="560"/>
      <c r="CC190" s="560"/>
    </row>
    <row r="191" spans="1:81">
      <c r="X191" s="560"/>
      <c r="Y191" s="560"/>
      <c r="Z191" s="560"/>
      <c r="AA191" s="560"/>
      <c r="AB191" s="560"/>
      <c r="AC191" s="560"/>
      <c r="AD191" s="560"/>
      <c r="AE191" s="559"/>
      <c r="AF191" s="559"/>
      <c r="AG191" s="559"/>
      <c r="AH191" s="559"/>
      <c r="AI191" s="559"/>
      <c r="AJ191" s="559"/>
      <c r="AK191" s="559"/>
      <c r="AL191" s="560"/>
      <c r="AM191" s="560"/>
      <c r="AN191" s="559"/>
      <c r="AO191" s="559"/>
      <c r="AP191" s="560"/>
      <c r="AQ191" s="560"/>
      <c r="AR191" s="560"/>
      <c r="AS191" s="560"/>
      <c r="AT191" s="560"/>
      <c r="AU191" s="560"/>
      <c r="AV191" s="560"/>
      <c r="AW191" s="560"/>
      <c r="AX191" s="560"/>
      <c r="AY191" s="560"/>
      <c r="AZ191" s="791"/>
      <c r="BA191" s="655" t="s">
        <v>1050</v>
      </c>
      <c r="BB191" s="569">
        <v>71.98</v>
      </c>
      <c r="BC191" s="559"/>
      <c r="BD191" s="560"/>
      <c r="BE191" s="560"/>
      <c r="BF191" s="560"/>
      <c r="BG191" s="560"/>
      <c r="BH191" s="655" t="s">
        <v>1050</v>
      </c>
      <c r="BI191" s="569">
        <v>71.86</v>
      </c>
      <c r="BJ191" s="559"/>
      <c r="BK191" s="560"/>
      <c r="BL191" s="560"/>
      <c r="BM191" s="560"/>
      <c r="BN191" s="560"/>
      <c r="BO191" s="655" t="s">
        <v>1050</v>
      </c>
      <c r="BP191" s="559">
        <v>71.989999999999995</v>
      </c>
      <c r="BQ191" s="560"/>
      <c r="BR191" s="560"/>
      <c r="BS191" s="560"/>
      <c r="BT191" s="560"/>
      <c r="BU191" s="560"/>
      <c r="BV191" s="655" t="s">
        <v>1050</v>
      </c>
      <c r="BW191" s="560">
        <v>72.12</v>
      </c>
      <c r="BX191" s="560"/>
      <c r="BY191" s="560"/>
      <c r="BZ191" s="560"/>
      <c r="CA191" s="560"/>
      <c r="CB191" s="560"/>
      <c r="CC191" s="560"/>
    </row>
    <row r="192" spans="1:81" ht="18.75">
      <c r="A192" s="70" t="s">
        <v>168</v>
      </c>
      <c r="B192" s="71"/>
      <c r="X192" s="560"/>
      <c r="Y192" s="560"/>
      <c r="Z192" s="560"/>
      <c r="AA192" s="560"/>
      <c r="AB192" s="560"/>
      <c r="AC192" s="560"/>
      <c r="AD192" s="560"/>
      <c r="AE192" s="559"/>
      <c r="AF192" s="559"/>
      <c r="AG192" s="559"/>
      <c r="AH192" s="559"/>
      <c r="AI192" s="559"/>
      <c r="AJ192" s="559"/>
      <c r="AK192" s="559"/>
      <c r="AL192" s="560"/>
      <c r="AM192" s="560"/>
      <c r="AN192" s="559"/>
      <c r="AO192" s="559"/>
      <c r="AP192" s="560"/>
      <c r="AQ192" s="560"/>
      <c r="AR192" s="560"/>
      <c r="AS192" s="560"/>
      <c r="AT192" s="560"/>
      <c r="AU192" s="560"/>
      <c r="AV192" s="560"/>
      <c r="AW192" s="560"/>
      <c r="AX192" s="560"/>
      <c r="AY192" s="560"/>
      <c r="BA192" s="560"/>
      <c r="BB192" s="560"/>
      <c r="BC192" s="559"/>
      <c r="BD192" s="560"/>
      <c r="BE192" s="560"/>
      <c r="BF192" s="560"/>
      <c r="BG192" s="560"/>
      <c r="BH192" s="560"/>
      <c r="BI192" s="560"/>
      <c r="BJ192" s="559"/>
      <c r="BK192" s="560"/>
      <c r="BL192" s="560"/>
      <c r="BM192" s="560"/>
      <c r="BN192" s="560"/>
      <c r="BO192" s="560"/>
      <c r="BP192" s="560"/>
      <c r="BQ192" s="560"/>
      <c r="BR192" s="560"/>
      <c r="BS192" s="560"/>
      <c r="BT192" s="560"/>
      <c r="BU192" s="560"/>
      <c r="BV192" s="560"/>
      <c r="BW192" s="560"/>
      <c r="BX192" s="560"/>
      <c r="BY192" s="560"/>
      <c r="BZ192" s="560"/>
      <c r="CA192" s="560"/>
      <c r="CB192" s="560"/>
      <c r="CC192" s="560"/>
    </row>
    <row r="193" spans="1:81" ht="18.75">
      <c r="A193" s="804" t="s">
        <v>162</v>
      </c>
      <c r="B193" s="804"/>
      <c r="C193" s="804"/>
      <c r="D193" s="804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89"/>
      <c r="P193" s="89"/>
      <c r="Q193" s="89"/>
      <c r="R193" s="90"/>
      <c r="S193" s="90"/>
      <c r="T193" s="90"/>
      <c r="U193" s="90"/>
      <c r="V193" s="90"/>
      <c r="W193" s="90"/>
      <c r="X193" s="613"/>
      <c r="Y193" s="613"/>
      <c r="Z193" s="613"/>
      <c r="AA193" s="613"/>
      <c r="AB193" s="613"/>
      <c r="AC193" s="613"/>
      <c r="AD193" s="613"/>
      <c r="AE193" s="614"/>
      <c r="AF193" s="614"/>
      <c r="AG193" s="614"/>
      <c r="AH193" s="614"/>
      <c r="AI193" s="614"/>
      <c r="AJ193" s="614"/>
      <c r="AK193" s="614"/>
      <c r="AL193" s="613"/>
      <c r="AM193" s="613"/>
      <c r="AN193" s="614"/>
      <c r="AO193" s="614"/>
      <c r="AP193" s="613"/>
      <c r="AQ193" s="613"/>
      <c r="AR193" s="613"/>
      <c r="AS193" s="613"/>
      <c r="AT193" s="613"/>
      <c r="AU193" s="613"/>
      <c r="AV193" s="613"/>
      <c r="AW193" s="613"/>
      <c r="AX193" s="613"/>
      <c r="AY193" s="613"/>
      <c r="AZ193" s="89"/>
      <c r="BA193" s="613"/>
      <c r="BB193" s="613"/>
      <c r="BC193" s="614"/>
      <c r="BD193" s="613"/>
      <c r="BE193" s="613"/>
      <c r="BF193" s="613"/>
      <c r="BG193" s="613"/>
      <c r="BH193" s="613"/>
      <c r="BI193" s="613"/>
      <c r="BJ193" s="614"/>
      <c r="BK193" s="613"/>
      <c r="BL193" s="613"/>
      <c r="BM193" s="613"/>
      <c r="BN193" s="613"/>
      <c r="BO193" s="613"/>
      <c r="BP193" s="613"/>
      <c r="BQ193" s="613"/>
      <c r="BR193" s="613"/>
      <c r="BS193" s="613"/>
      <c r="BT193" s="613"/>
      <c r="BU193" s="613"/>
      <c r="BV193" s="613"/>
      <c r="BW193" s="613"/>
      <c r="BX193" s="613"/>
      <c r="BY193" s="613"/>
      <c r="BZ193" s="613"/>
      <c r="CA193" s="613"/>
      <c r="CB193" s="613"/>
      <c r="CC193" s="560"/>
    </row>
    <row r="194" spans="1:81">
      <c r="X194" s="560"/>
      <c r="Y194" s="560"/>
      <c r="Z194" s="560"/>
      <c r="AA194" s="560"/>
      <c r="AB194" s="560"/>
      <c r="AC194" s="560"/>
      <c r="AD194" s="560"/>
      <c r="AE194" s="559"/>
      <c r="AF194" s="559"/>
      <c r="AG194" s="559"/>
      <c r="AH194" s="559"/>
      <c r="AI194" s="559"/>
      <c r="AJ194" s="559"/>
      <c r="AK194" s="559"/>
      <c r="AL194" s="560"/>
      <c r="AM194" s="560"/>
      <c r="AN194" s="559"/>
      <c r="AO194" s="559"/>
      <c r="AP194" s="560"/>
      <c r="AQ194" s="560"/>
      <c r="AR194" s="560"/>
      <c r="AS194" s="560"/>
      <c r="AT194" s="560"/>
      <c r="AU194" s="560"/>
      <c r="AV194" s="560"/>
      <c r="AW194" s="560"/>
      <c r="AX194" s="560"/>
      <c r="AY194" s="560"/>
      <c r="BA194" s="560"/>
      <c r="BB194" s="560"/>
      <c r="BC194" s="559"/>
      <c r="BD194" s="560"/>
      <c r="BE194" s="560"/>
      <c r="BF194" s="560"/>
      <c r="BG194" s="560"/>
      <c r="BH194" s="560"/>
      <c r="BI194" s="560"/>
      <c r="BJ194" s="559"/>
      <c r="BK194" s="560"/>
      <c r="BL194" s="560"/>
      <c r="BM194" s="560"/>
      <c r="BN194" s="560"/>
      <c r="BO194" s="560"/>
      <c r="BP194" s="560"/>
      <c r="BQ194" s="560"/>
      <c r="BR194" s="560"/>
      <c r="BS194" s="560"/>
      <c r="BT194" s="560"/>
      <c r="BU194" s="560"/>
      <c r="BV194" s="560"/>
      <c r="BW194" s="560"/>
      <c r="BX194" s="560"/>
      <c r="BY194" s="560"/>
      <c r="BZ194" s="560"/>
      <c r="CA194" s="560"/>
      <c r="CB194" s="560"/>
      <c r="CC194" s="560"/>
    </row>
    <row r="195" spans="1:81">
      <c r="A195" s="447" t="s">
        <v>134</v>
      </c>
      <c r="B195" s="76" t="s">
        <v>124</v>
      </c>
      <c r="C195" s="61" t="s">
        <v>119</v>
      </c>
      <c r="D195" s="77" t="s">
        <v>111</v>
      </c>
      <c r="E195" s="73"/>
      <c r="F195" s="73"/>
      <c r="G195" s="78"/>
      <c r="H195" s="76" t="s">
        <v>124</v>
      </c>
      <c r="I195" s="77" t="s">
        <v>119</v>
      </c>
      <c r="J195" s="77" t="s">
        <v>111</v>
      </c>
      <c r="K195" s="73"/>
      <c r="L195" s="73"/>
      <c r="M195" s="79" t="s">
        <v>124</v>
      </c>
      <c r="N195" s="77" t="s">
        <v>119</v>
      </c>
      <c r="O195" s="61" t="s">
        <v>111</v>
      </c>
      <c r="P195" s="63"/>
      <c r="Q195" s="63"/>
      <c r="R195" s="79" t="s">
        <v>124</v>
      </c>
      <c r="S195" s="77" t="s">
        <v>119</v>
      </c>
      <c r="T195" s="77" t="s">
        <v>111</v>
      </c>
      <c r="U195" s="73"/>
      <c r="V195" s="73"/>
      <c r="W195" s="447" t="s">
        <v>133</v>
      </c>
      <c r="X195" s="571" t="s">
        <v>124</v>
      </c>
      <c r="Y195" s="568" t="s">
        <v>119</v>
      </c>
      <c r="Z195" s="568" t="s">
        <v>111</v>
      </c>
      <c r="AA195" s="569"/>
      <c r="AB195" s="569"/>
      <c r="AC195" s="665"/>
      <c r="AD195" s="570"/>
      <c r="AE195" s="566" t="s">
        <v>124</v>
      </c>
      <c r="AF195" s="568" t="s">
        <v>119</v>
      </c>
      <c r="AG195" s="568" t="s">
        <v>111</v>
      </c>
      <c r="AH195" s="665"/>
      <c r="AI195" s="665"/>
      <c r="AJ195" s="665"/>
      <c r="AK195" s="570"/>
      <c r="AL195" s="571" t="s">
        <v>124</v>
      </c>
      <c r="AM195" s="568" t="s">
        <v>119</v>
      </c>
      <c r="AN195" s="568" t="s">
        <v>111</v>
      </c>
      <c r="AO195" s="665"/>
      <c r="AP195" s="569"/>
      <c r="AQ195" s="569"/>
      <c r="AR195" s="700"/>
      <c r="AS195" s="571" t="s">
        <v>124</v>
      </c>
      <c r="AT195" s="568" t="s">
        <v>119</v>
      </c>
      <c r="AU195" s="568" t="s">
        <v>111</v>
      </c>
      <c r="AV195" s="569"/>
      <c r="AW195" s="569"/>
      <c r="AX195" s="569"/>
      <c r="AY195" s="700"/>
      <c r="AZ195" s="447" t="s">
        <v>141</v>
      </c>
      <c r="BA195" s="566" t="s">
        <v>124</v>
      </c>
      <c r="BB195" s="568" t="s">
        <v>119</v>
      </c>
      <c r="BC195" s="568" t="s">
        <v>111</v>
      </c>
      <c r="BD195" s="569"/>
      <c r="BE195" s="569"/>
      <c r="BF195" s="569"/>
      <c r="BG195" s="665"/>
      <c r="BH195" s="566" t="s">
        <v>124</v>
      </c>
      <c r="BI195" s="567" t="s">
        <v>119</v>
      </c>
      <c r="BJ195" s="567" t="s">
        <v>111</v>
      </c>
      <c r="BK195" s="665"/>
      <c r="BL195" s="665"/>
      <c r="BM195" s="665"/>
      <c r="BN195" s="665"/>
      <c r="BO195" s="571" t="s">
        <v>124</v>
      </c>
      <c r="BP195" s="568" t="s">
        <v>119</v>
      </c>
      <c r="BQ195" s="568" t="s">
        <v>111</v>
      </c>
      <c r="BR195" s="560"/>
      <c r="BS195" s="665"/>
      <c r="BT195" s="569"/>
      <c r="BU195" s="569"/>
      <c r="BV195" s="672" t="s">
        <v>124</v>
      </c>
      <c r="BW195" s="567" t="s">
        <v>119</v>
      </c>
      <c r="BX195" s="567" t="s">
        <v>111</v>
      </c>
      <c r="BY195" s="559"/>
      <c r="BZ195" s="559"/>
      <c r="CA195" s="559"/>
      <c r="CB195" s="570"/>
      <c r="CC195" s="560"/>
    </row>
    <row r="196" spans="1:81">
      <c r="A196" s="80"/>
      <c r="B196" s="81" t="s">
        <v>63</v>
      </c>
      <c r="C196" s="86" t="s">
        <v>36</v>
      </c>
      <c r="D196" s="82" t="s">
        <v>112</v>
      </c>
      <c r="E196" s="73"/>
      <c r="F196" s="73"/>
      <c r="G196" s="78"/>
      <c r="H196" s="76" t="s">
        <v>63</v>
      </c>
      <c r="I196" s="86" t="s">
        <v>36</v>
      </c>
      <c r="J196" s="83" t="s">
        <v>114</v>
      </c>
      <c r="K196" s="73"/>
      <c r="L196" s="73"/>
      <c r="M196" s="79" t="s">
        <v>63</v>
      </c>
      <c r="N196" s="86" t="s">
        <v>34</v>
      </c>
      <c r="O196" s="64" t="s">
        <v>4</v>
      </c>
      <c r="P196" s="63"/>
      <c r="Q196" s="63"/>
      <c r="R196" s="79" t="s">
        <v>63</v>
      </c>
      <c r="S196" s="86" t="s">
        <v>34</v>
      </c>
      <c r="T196" s="83" t="s">
        <v>114</v>
      </c>
      <c r="U196" s="805"/>
      <c r="V196" s="805"/>
      <c r="W196" s="80"/>
      <c r="X196" s="578" t="s">
        <v>63</v>
      </c>
      <c r="Y196" s="573" t="s">
        <v>36</v>
      </c>
      <c r="Z196" s="574" t="s">
        <v>112</v>
      </c>
      <c r="AA196" s="569"/>
      <c r="AB196" s="569"/>
      <c r="AC196" s="665"/>
      <c r="AD196" s="570"/>
      <c r="AE196" s="566" t="s">
        <v>63</v>
      </c>
      <c r="AF196" s="573" t="s">
        <v>36</v>
      </c>
      <c r="AG196" s="575" t="s">
        <v>114</v>
      </c>
      <c r="AH196" s="665"/>
      <c r="AI196" s="677"/>
      <c r="AJ196" s="665"/>
      <c r="AK196" s="570"/>
      <c r="AL196" s="571" t="s">
        <v>63</v>
      </c>
      <c r="AM196" s="573" t="s">
        <v>34</v>
      </c>
      <c r="AN196" s="575" t="s">
        <v>112</v>
      </c>
      <c r="AO196" s="665"/>
      <c r="AP196" s="677"/>
      <c r="AQ196" s="569"/>
      <c r="AR196" s="700"/>
      <c r="AS196" s="571" t="s">
        <v>63</v>
      </c>
      <c r="AT196" s="573" t="s">
        <v>34</v>
      </c>
      <c r="AU196" s="705" t="s">
        <v>12</v>
      </c>
      <c r="AV196" s="802"/>
      <c r="AW196" s="802"/>
      <c r="AX196" s="569"/>
      <c r="AY196" s="700"/>
      <c r="AZ196" s="80"/>
      <c r="BA196" s="566" t="s">
        <v>63</v>
      </c>
      <c r="BB196" s="573" t="s">
        <v>36</v>
      </c>
      <c r="BC196" s="575" t="s">
        <v>112</v>
      </c>
      <c r="BD196" s="665"/>
      <c r="BE196" s="569"/>
      <c r="BF196" s="673"/>
      <c r="BG196" s="676"/>
      <c r="BH196" s="566" t="s">
        <v>63</v>
      </c>
      <c r="BI196" s="573" t="s">
        <v>36</v>
      </c>
      <c r="BJ196" s="615" t="s">
        <v>114</v>
      </c>
      <c r="BK196" s="665" t="s">
        <v>143</v>
      </c>
      <c r="BL196" s="665"/>
      <c r="BM196" s="665"/>
      <c r="BN196" s="665"/>
      <c r="BO196" s="571" t="s">
        <v>63</v>
      </c>
      <c r="BP196" s="573" t="s">
        <v>34</v>
      </c>
      <c r="BQ196" s="615" t="s">
        <v>4</v>
      </c>
      <c r="BR196" s="560"/>
      <c r="BS196" s="665"/>
      <c r="BT196" s="677"/>
      <c r="BU196" s="569"/>
      <c r="BV196" s="672" t="s">
        <v>63</v>
      </c>
      <c r="BW196" s="573" t="s">
        <v>34</v>
      </c>
      <c r="BX196" s="615" t="s">
        <v>114</v>
      </c>
      <c r="BY196" s="806"/>
      <c r="BZ196" s="806"/>
      <c r="CA196" s="559"/>
      <c r="CB196" s="570"/>
      <c r="CC196" s="560"/>
    </row>
    <row r="197" spans="1:81" ht="63">
      <c r="A197" s="5"/>
      <c r="B197" s="448" t="s">
        <v>122</v>
      </c>
      <c r="C197" s="449" t="s">
        <v>121</v>
      </c>
      <c r="D197" s="450" t="s">
        <v>125</v>
      </c>
      <c r="E197" s="811" t="s">
        <v>113</v>
      </c>
      <c r="F197" s="811"/>
      <c r="G197" s="812"/>
      <c r="H197" s="451" t="s">
        <v>121</v>
      </c>
      <c r="I197" s="450" t="s">
        <v>125</v>
      </c>
      <c r="J197" s="312"/>
      <c r="K197" s="312"/>
      <c r="L197" s="313"/>
      <c r="M197" s="451" t="s">
        <v>121</v>
      </c>
      <c r="N197" s="450" t="s">
        <v>125</v>
      </c>
      <c r="O197" s="807" t="s">
        <v>149</v>
      </c>
      <c r="P197" s="807"/>
      <c r="Q197" s="808"/>
      <c r="R197" s="451" t="s">
        <v>121</v>
      </c>
      <c r="S197" s="450" t="s">
        <v>125</v>
      </c>
      <c r="T197" s="807" t="s">
        <v>149</v>
      </c>
      <c r="U197" s="807"/>
      <c r="V197" s="808"/>
      <c r="W197" s="5"/>
      <c r="X197" s="582" t="s">
        <v>121</v>
      </c>
      <c r="Y197" s="584" t="s">
        <v>126</v>
      </c>
      <c r="Z197" s="583" t="s">
        <v>127</v>
      </c>
      <c r="AA197" s="583" t="s">
        <v>128</v>
      </c>
      <c r="AB197" s="694" t="s">
        <v>129</v>
      </c>
      <c r="AC197" s="583" t="s">
        <v>130</v>
      </c>
      <c r="AD197" s="701" t="s">
        <v>131</v>
      </c>
      <c r="AE197" s="582" t="s">
        <v>121</v>
      </c>
      <c r="AF197" s="694" t="s">
        <v>126</v>
      </c>
      <c r="AG197" s="583" t="s">
        <v>127</v>
      </c>
      <c r="AH197" s="583" t="s">
        <v>128</v>
      </c>
      <c r="AI197" s="694" t="s">
        <v>129</v>
      </c>
      <c r="AJ197" s="583" t="s">
        <v>130</v>
      </c>
      <c r="AK197" s="701" t="s">
        <v>131</v>
      </c>
      <c r="AL197" s="582" t="s">
        <v>121</v>
      </c>
      <c r="AM197" s="694" t="s">
        <v>126</v>
      </c>
      <c r="AN197" s="583" t="s">
        <v>127</v>
      </c>
      <c r="AO197" s="583" t="s">
        <v>128</v>
      </c>
      <c r="AP197" s="694" t="s">
        <v>129</v>
      </c>
      <c r="AQ197" s="583" t="s">
        <v>130</v>
      </c>
      <c r="AR197" s="696" t="s">
        <v>131</v>
      </c>
      <c r="AS197" s="582" t="s">
        <v>121</v>
      </c>
      <c r="AT197" s="694" t="s">
        <v>126</v>
      </c>
      <c r="AU197" s="695" t="s">
        <v>127</v>
      </c>
      <c r="AV197" s="695" t="s">
        <v>128</v>
      </c>
      <c r="AW197" s="694" t="s">
        <v>129</v>
      </c>
      <c r="AX197" s="583" t="s">
        <v>130</v>
      </c>
      <c r="AY197" s="696" t="s">
        <v>131</v>
      </c>
      <c r="AZ197" s="75"/>
      <c r="BA197" s="648" t="s">
        <v>121</v>
      </c>
      <c r="BB197" s="583" t="s">
        <v>143</v>
      </c>
      <c r="BC197" s="583" t="s">
        <v>888</v>
      </c>
      <c r="BD197" s="583" t="s">
        <v>1045</v>
      </c>
      <c r="BE197" s="583" t="s">
        <v>1044</v>
      </c>
      <c r="BF197" s="666" t="s">
        <v>1051</v>
      </c>
      <c r="BG197" s="666" t="s">
        <v>1052</v>
      </c>
      <c r="BH197" s="648" t="s">
        <v>121</v>
      </c>
      <c r="BI197" s="583" t="s">
        <v>143</v>
      </c>
      <c r="BJ197" s="583" t="s">
        <v>888</v>
      </c>
      <c r="BK197" s="583" t="s">
        <v>1045</v>
      </c>
      <c r="BL197" s="583" t="s">
        <v>1044</v>
      </c>
      <c r="BM197" s="666" t="s">
        <v>1051</v>
      </c>
      <c r="BN197" s="666" t="s">
        <v>1052</v>
      </c>
      <c r="BO197" s="648" t="s">
        <v>121</v>
      </c>
      <c r="BP197" s="583" t="s">
        <v>143</v>
      </c>
      <c r="BQ197" s="583" t="s">
        <v>888</v>
      </c>
      <c r="BR197" s="583" t="s">
        <v>1045</v>
      </c>
      <c r="BS197" s="583" t="s">
        <v>1044</v>
      </c>
      <c r="BT197" s="666" t="s">
        <v>1051</v>
      </c>
      <c r="BU197" s="666" t="s">
        <v>1052</v>
      </c>
      <c r="BV197" s="648" t="s">
        <v>121</v>
      </c>
      <c r="BW197" s="583" t="s">
        <v>143</v>
      </c>
      <c r="BX197" s="583" t="s">
        <v>888</v>
      </c>
      <c r="BY197" s="583" t="s">
        <v>1045</v>
      </c>
      <c r="BZ197" s="583" t="s">
        <v>1044</v>
      </c>
      <c r="CA197" s="666" t="s">
        <v>1051</v>
      </c>
      <c r="CB197" s="666" t="s">
        <v>1052</v>
      </c>
      <c r="CC197" s="560"/>
    </row>
    <row r="198" spans="1:81" ht="15.75">
      <c r="A198" s="5"/>
      <c r="B198" s="452" t="s">
        <v>120</v>
      </c>
      <c r="C198" s="454">
        <v>0</v>
      </c>
      <c r="D198" s="314">
        <v>461.26</v>
      </c>
      <c r="E198" s="93">
        <v>0</v>
      </c>
      <c r="F198" s="93">
        <v>0</v>
      </c>
      <c r="G198" s="94">
        <v>0</v>
      </c>
      <c r="H198" s="453">
        <v>0</v>
      </c>
      <c r="I198" s="314">
        <v>466.03</v>
      </c>
      <c r="J198" s="93">
        <v>0</v>
      </c>
      <c r="K198" s="93">
        <v>0</v>
      </c>
      <c r="L198" s="94">
        <v>0</v>
      </c>
      <c r="M198" s="453">
        <v>0</v>
      </c>
      <c r="N198" s="315">
        <v>454.55</v>
      </c>
      <c r="O198" s="27">
        <v>0</v>
      </c>
      <c r="P198" s="27">
        <v>0</v>
      </c>
      <c r="Q198" s="454">
        <v>0</v>
      </c>
      <c r="R198" s="453">
        <v>0</v>
      </c>
      <c r="S198" s="315">
        <v>465.97</v>
      </c>
      <c r="T198" s="27">
        <v>0</v>
      </c>
      <c r="U198" s="27">
        <v>0</v>
      </c>
      <c r="V198" s="454">
        <v>0</v>
      </c>
      <c r="W198" s="5"/>
      <c r="X198" s="591">
        <v>0</v>
      </c>
      <c r="Y198" s="592">
        <f t="shared" ref="Y198:Y213" si="173">AVERAGE(E198:G198)/10</f>
        <v>0</v>
      </c>
      <c r="Z198" s="593">
        <v>9.6440000000000001</v>
      </c>
      <c r="AA198" s="593">
        <v>4.5170000000000003</v>
      </c>
      <c r="AB198" s="593">
        <f t="shared" ref="AB198:AB213" si="174">Z198-(AA198+Y198)</f>
        <v>5.1269999999999998</v>
      </c>
      <c r="AC198" s="593">
        <f t="shared" ref="AC198:AC213" si="175">3*Z198+AA198+Y198</f>
        <v>33.449000000000005</v>
      </c>
      <c r="AD198" s="653">
        <f t="shared" ref="AD198:AD213" si="176">1.398*(10^-6)*(X198^2)*AB198*AC198</f>
        <v>0</v>
      </c>
      <c r="AE198" s="591">
        <v>0</v>
      </c>
      <c r="AF198" s="595">
        <f t="shared" ref="AF198:AF213" si="177">AVERAGE(J198:L198)/10</f>
        <v>0</v>
      </c>
      <c r="AG198" s="593">
        <v>9.6440000000000001</v>
      </c>
      <c r="AH198" s="593">
        <v>4.5170000000000003</v>
      </c>
      <c r="AI198" s="593">
        <f t="shared" ref="AI198:AI213" si="178">AG198-(AH198+AF198)</f>
        <v>5.1269999999999998</v>
      </c>
      <c r="AJ198" s="593">
        <f t="shared" ref="AJ198:AJ213" si="179">3*AG198+AH198+AF198</f>
        <v>33.449000000000005</v>
      </c>
      <c r="AK198" s="653">
        <f t="shared" ref="AK198:AK213" si="180">1.398*(10^-6)*(AE198^2)*AI198*AJ198</f>
        <v>0</v>
      </c>
      <c r="AL198" s="591">
        <v>0</v>
      </c>
      <c r="AM198" s="595">
        <f t="shared" ref="AM198:AM213" si="181">AVERAGE(O198:Q198)/10</f>
        <v>0</v>
      </c>
      <c r="AN198" s="593">
        <v>9.6440000000000001</v>
      </c>
      <c r="AO198" s="593">
        <v>4.5170000000000003</v>
      </c>
      <c r="AP198" s="593">
        <f t="shared" ref="AP198:AP213" si="182">AN198-(AO198+AM198)</f>
        <v>5.1269999999999998</v>
      </c>
      <c r="AQ198" s="593">
        <f t="shared" ref="AQ198:AQ213" si="183">3*AN198+AO198+AM198</f>
        <v>33.449000000000005</v>
      </c>
      <c r="AR198" s="698">
        <f t="shared" ref="AR198:AR213" si="184">1.398*(10^-6)*(AL198^2)*AP198*AQ198</f>
        <v>0</v>
      </c>
      <c r="AS198" s="591">
        <v>0</v>
      </c>
      <c r="AT198" s="595">
        <f t="shared" ref="AT198:AT213" si="185">AVERAGE(T198:V198)/10</f>
        <v>0</v>
      </c>
      <c r="AU198" s="593">
        <v>9.6440000000000001</v>
      </c>
      <c r="AV198" s="593">
        <v>4.5170000000000003</v>
      </c>
      <c r="AW198" s="593">
        <f t="shared" ref="AW198:AW213" si="186">AU198-(AV198+AT198)</f>
        <v>5.1269999999999998</v>
      </c>
      <c r="AX198" s="593">
        <f t="shared" ref="AX198:AX213" si="187">3*AU198+AV198+AT198</f>
        <v>33.449000000000005</v>
      </c>
      <c r="AY198" s="698">
        <f t="shared" ref="AY198:AY213" si="188">1.398*(10^-6)*(AS198^2)*AW198*AX198</f>
        <v>0</v>
      </c>
      <c r="AZ198" s="75"/>
      <c r="BA198" s="591">
        <v>0</v>
      </c>
      <c r="BB198" s="593">
        <v>103.50685607036536</v>
      </c>
      <c r="BC198" s="667">
        <f>(BB216-BB217)/BB198</f>
        <v>1.2645539142935536</v>
      </c>
      <c r="BD198" s="714">
        <f>D198-BB214</f>
        <v>42.829999999999984</v>
      </c>
      <c r="BE198" s="667">
        <f>BB216-BB217</f>
        <v>130.88999999999999</v>
      </c>
      <c r="BF198" s="667">
        <f t="shared" ref="BF198:BF213" si="189">BD198/BE198*100</f>
        <v>32.722133088853226</v>
      </c>
      <c r="BG198" s="668">
        <f t="shared" ref="BG198:BG213" si="190">BF198*BC198</f>
        <v>41.378901481543956</v>
      </c>
      <c r="BH198" s="591">
        <v>0</v>
      </c>
      <c r="BI198" s="593">
        <v>103.50685607036536</v>
      </c>
      <c r="BJ198" s="667">
        <f>(BI216-BI217)/BI198</f>
        <v>1.3427129880702737</v>
      </c>
      <c r="BK198" s="714">
        <f>I198-BI214</f>
        <v>40.189999999999941</v>
      </c>
      <c r="BL198" s="667">
        <f>BI216-BI217</f>
        <v>138.98000000000002</v>
      </c>
      <c r="BM198" s="667">
        <f t="shared" ref="BM198:BM213" si="191">BK198/BL198*100</f>
        <v>28.917829903583204</v>
      </c>
      <c r="BN198" s="668">
        <f t="shared" ref="BN198:BN213" si="192">BM198*BJ198</f>
        <v>38.828345798348117</v>
      </c>
      <c r="BO198" s="591">
        <v>0</v>
      </c>
      <c r="BP198" s="679">
        <v>103.50685607036536</v>
      </c>
      <c r="BQ198" s="667">
        <f>(BP216-BP217)/BP198</f>
        <v>1.2039782168176534</v>
      </c>
      <c r="BR198" s="714">
        <f>N198-BP214</f>
        <v>43.000000000000057</v>
      </c>
      <c r="BS198" s="667">
        <f>BP216-BP217</f>
        <v>124.61999999999999</v>
      </c>
      <c r="BT198" s="667">
        <f t="shared" ref="BT198:BT213" si="193">BR198/BS198*100</f>
        <v>34.504894880436574</v>
      </c>
      <c r="BU198" s="710">
        <f t="shared" ref="BU198:BU213" si="194">BT198*BQ198</f>
        <v>41.543141809628601</v>
      </c>
      <c r="BV198" s="591">
        <v>0</v>
      </c>
      <c r="BW198" s="593">
        <v>103.50685607036536</v>
      </c>
      <c r="BX198" s="667">
        <f>(BW216-BW217)/BW198</f>
        <v>1.3630014991866035</v>
      </c>
      <c r="BY198" s="714">
        <f>S198-BW214</f>
        <v>38.480000000000018</v>
      </c>
      <c r="BZ198" s="667">
        <f>BW216-BW217</f>
        <v>141.07999999999998</v>
      </c>
      <c r="CA198" s="667">
        <f t="shared" ref="CA198:CA213" si="195">BY198/BZ198*100</f>
        <v>27.275304791607613</v>
      </c>
      <c r="CB198" s="668">
        <f t="shared" ref="CB198:CB213" si="196">CA198*BX198</f>
        <v>37.176281321732731</v>
      </c>
      <c r="CC198" s="560"/>
    </row>
    <row r="199" spans="1:81" ht="15.75">
      <c r="A199" s="5"/>
      <c r="B199" s="59" t="s">
        <v>116</v>
      </c>
      <c r="C199" s="97">
        <v>300</v>
      </c>
      <c r="D199" s="314">
        <v>461.26</v>
      </c>
      <c r="E199" s="93">
        <v>0</v>
      </c>
      <c r="F199" s="93">
        <v>0</v>
      </c>
      <c r="G199" s="94">
        <v>0</v>
      </c>
      <c r="H199" s="103">
        <v>300</v>
      </c>
      <c r="I199" s="63">
        <v>466.03</v>
      </c>
      <c r="J199" s="93">
        <v>0</v>
      </c>
      <c r="K199" s="93">
        <v>0</v>
      </c>
      <c r="L199" s="94">
        <v>0</v>
      </c>
      <c r="M199" s="103">
        <v>300</v>
      </c>
      <c r="N199" s="315">
        <v>452.8</v>
      </c>
      <c r="O199" s="27">
        <v>0</v>
      </c>
      <c r="P199" s="27">
        <v>0</v>
      </c>
      <c r="Q199" s="454">
        <v>0</v>
      </c>
      <c r="R199" s="103">
        <v>300</v>
      </c>
      <c r="S199" s="315">
        <v>465.63</v>
      </c>
      <c r="T199" s="27">
        <v>0</v>
      </c>
      <c r="U199" s="27">
        <v>0</v>
      </c>
      <c r="V199" s="454">
        <v>0</v>
      </c>
      <c r="W199" s="5"/>
      <c r="X199" s="591">
        <v>300</v>
      </c>
      <c r="Y199" s="592">
        <f t="shared" si="173"/>
        <v>0</v>
      </c>
      <c r="Z199" s="593">
        <v>9.6440000000000001</v>
      </c>
      <c r="AA199" s="593">
        <v>4.5170000000000003</v>
      </c>
      <c r="AB199" s="593">
        <f t="shared" si="174"/>
        <v>5.1269999999999998</v>
      </c>
      <c r="AC199" s="593">
        <f t="shared" si="175"/>
        <v>33.449000000000005</v>
      </c>
      <c r="AD199" s="653">
        <f t="shared" si="176"/>
        <v>21.577252153859998</v>
      </c>
      <c r="AE199" s="591">
        <v>300</v>
      </c>
      <c r="AF199" s="595">
        <f t="shared" si="177"/>
        <v>0</v>
      </c>
      <c r="AG199" s="593">
        <v>9.6440000000000001</v>
      </c>
      <c r="AH199" s="593">
        <v>4.5170000000000003</v>
      </c>
      <c r="AI199" s="593">
        <f t="shared" si="178"/>
        <v>5.1269999999999998</v>
      </c>
      <c r="AJ199" s="593">
        <f t="shared" si="179"/>
        <v>33.449000000000005</v>
      </c>
      <c r="AK199" s="653">
        <f t="shared" si="180"/>
        <v>21.577252153859998</v>
      </c>
      <c r="AL199" s="591">
        <v>300</v>
      </c>
      <c r="AM199" s="595">
        <f t="shared" si="181"/>
        <v>0</v>
      </c>
      <c r="AN199" s="593">
        <v>9.6440000000000001</v>
      </c>
      <c r="AO199" s="593">
        <v>4.5170000000000003</v>
      </c>
      <c r="AP199" s="593">
        <f t="shared" si="182"/>
        <v>5.1269999999999998</v>
      </c>
      <c r="AQ199" s="593">
        <f t="shared" si="183"/>
        <v>33.449000000000005</v>
      </c>
      <c r="AR199" s="698">
        <f t="shared" si="184"/>
        <v>21.577252153859998</v>
      </c>
      <c r="AS199" s="591">
        <v>300</v>
      </c>
      <c r="AT199" s="595">
        <f t="shared" si="185"/>
        <v>0</v>
      </c>
      <c r="AU199" s="593">
        <v>9.6440000000000001</v>
      </c>
      <c r="AV199" s="593">
        <v>4.5170000000000003</v>
      </c>
      <c r="AW199" s="593">
        <f t="shared" si="186"/>
        <v>5.1269999999999998</v>
      </c>
      <c r="AX199" s="593">
        <f t="shared" si="187"/>
        <v>33.449000000000005</v>
      </c>
      <c r="AY199" s="698">
        <f t="shared" si="188"/>
        <v>21.577252153859998</v>
      </c>
      <c r="AZ199" s="75"/>
      <c r="BA199" s="591">
        <v>300</v>
      </c>
      <c r="BB199" s="593">
        <v>103.50685607036536</v>
      </c>
      <c r="BC199" s="667">
        <f>(BB216-BB217)/BB198</f>
        <v>1.2645539142935536</v>
      </c>
      <c r="BD199" s="714">
        <f>D199-BB214</f>
        <v>42.829999999999984</v>
      </c>
      <c r="BE199" s="667">
        <f>BB216-BB217</f>
        <v>130.88999999999999</v>
      </c>
      <c r="BF199" s="667">
        <f t="shared" si="189"/>
        <v>32.722133088853226</v>
      </c>
      <c r="BG199" s="668">
        <f t="shared" si="190"/>
        <v>41.378901481543956</v>
      </c>
      <c r="BH199" s="591">
        <v>300</v>
      </c>
      <c r="BI199" s="593">
        <v>103.50685607036536</v>
      </c>
      <c r="BJ199" s="667">
        <f>(BI216-BI217)/BI198</f>
        <v>1.3427129880702737</v>
      </c>
      <c r="BK199" s="714">
        <f>I199-BI214</f>
        <v>40.189999999999941</v>
      </c>
      <c r="BL199" s="667">
        <f>BI216-BI217</f>
        <v>138.98000000000002</v>
      </c>
      <c r="BM199" s="667">
        <f t="shared" si="191"/>
        <v>28.917829903583204</v>
      </c>
      <c r="BN199" s="668">
        <f t="shared" si="192"/>
        <v>38.828345798348117</v>
      </c>
      <c r="BO199" s="591">
        <v>300</v>
      </c>
      <c r="BP199" s="679">
        <v>103.50685607036536</v>
      </c>
      <c r="BQ199" s="667">
        <f>(BP216-BP217)/BP198</f>
        <v>1.2039782168176534</v>
      </c>
      <c r="BR199" s="714">
        <f>N199-BP214</f>
        <v>41.250000000000057</v>
      </c>
      <c r="BS199" s="667">
        <f>BP216-BP217</f>
        <v>124.61999999999999</v>
      </c>
      <c r="BT199" s="667">
        <f t="shared" si="193"/>
        <v>33.10062590274439</v>
      </c>
      <c r="BU199" s="710">
        <f t="shared" si="194"/>
        <v>39.85243254993442</v>
      </c>
      <c r="BV199" s="591">
        <v>300</v>
      </c>
      <c r="BW199" s="593">
        <v>103.50685607036536</v>
      </c>
      <c r="BX199" s="667">
        <f>(BW216-BW217)/BW198</f>
        <v>1.3630014991866035</v>
      </c>
      <c r="BY199" s="714">
        <f>S199-BW214</f>
        <v>38.139999999999986</v>
      </c>
      <c r="BZ199" s="667">
        <f>BW216-BW217</f>
        <v>141.07999999999998</v>
      </c>
      <c r="CA199" s="667">
        <f t="shared" si="195"/>
        <v>27.034306776297129</v>
      </c>
      <c r="CB199" s="668">
        <f t="shared" si="196"/>
        <v>36.84780066556354</v>
      </c>
      <c r="CC199" s="560"/>
    </row>
    <row r="200" spans="1:81" ht="15.75">
      <c r="A200" s="5"/>
      <c r="B200" s="59" t="s">
        <v>116</v>
      </c>
      <c r="C200" s="97">
        <v>350</v>
      </c>
      <c r="D200" s="63">
        <v>460.45</v>
      </c>
      <c r="E200" s="91">
        <v>0.91</v>
      </c>
      <c r="F200" s="91">
        <v>0.61</v>
      </c>
      <c r="G200" s="92">
        <v>0.7</v>
      </c>
      <c r="H200" s="103">
        <v>350</v>
      </c>
      <c r="I200" s="63">
        <v>466.01</v>
      </c>
      <c r="J200" s="93">
        <v>0</v>
      </c>
      <c r="K200" s="93">
        <v>0</v>
      </c>
      <c r="L200" s="94">
        <v>0</v>
      </c>
      <c r="M200" s="103">
        <v>350</v>
      </c>
      <c r="N200" s="315">
        <v>451.97</v>
      </c>
      <c r="O200" s="27">
        <v>0.61</v>
      </c>
      <c r="P200" s="27">
        <v>0.5</v>
      </c>
      <c r="Q200" s="454">
        <v>0.81</v>
      </c>
      <c r="R200" s="103">
        <v>350</v>
      </c>
      <c r="S200" s="315">
        <v>464.91</v>
      </c>
      <c r="T200" s="27">
        <v>0</v>
      </c>
      <c r="U200" s="27">
        <v>0</v>
      </c>
      <c r="V200" s="454">
        <v>0</v>
      </c>
      <c r="W200" s="5"/>
      <c r="X200" s="591">
        <v>350</v>
      </c>
      <c r="Y200" s="592">
        <f t="shared" si="173"/>
        <v>7.3999999999999982E-2</v>
      </c>
      <c r="Z200" s="593">
        <v>9.6440000000000001</v>
      </c>
      <c r="AA200" s="593">
        <v>4.5170000000000003</v>
      </c>
      <c r="AB200" s="593">
        <f t="shared" si="174"/>
        <v>5.0529999999999999</v>
      </c>
      <c r="AC200" s="593">
        <f t="shared" si="175"/>
        <v>33.523000000000003</v>
      </c>
      <c r="AD200" s="653">
        <f t="shared" si="176"/>
        <v>29.009178837344997</v>
      </c>
      <c r="AE200" s="591">
        <v>350</v>
      </c>
      <c r="AF200" s="595">
        <f t="shared" si="177"/>
        <v>0</v>
      </c>
      <c r="AG200" s="593">
        <v>9.6440000000000001</v>
      </c>
      <c r="AH200" s="593">
        <v>4.5170000000000003</v>
      </c>
      <c r="AI200" s="593">
        <f t="shared" si="178"/>
        <v>5.1269999999999998</v>
      </c>
      <c r="AJ200" s="593">
        <f t="shared" si="179"/>
        <v>33.449000000000005</v>
      </c>
      <c r="AK200" s="653">
        <f t="shared" si="180"/>
        <v>29.369037653864996</v>
      </c>
      <c r="AL200" s="591">
        <v>350</v>
      </c>
      <c r="AM200" s="595">
        <f t="shared" si="181"/>
        <v>6.4000000000000001E-2</v>
      </c>
      <c r="AN200" s="593">
        <v>9.6440000000000001</v>
      </c>
      <c r="AO200" s="593">
        <v>4.5170000000000003</v>
      </c>
      <c r="AP200" s="593">
        <f t="shared" si="182"/>
        <v>5.0629999999999997</v>
      </c>
      <c r="AQ200" s="593">
        <f t="shared" si="183"/>
        <v>33.513000000000005</v>
      </c>
      <c r="AR200" s="698">
        <f t="shared" si="184"/>
        <v>29.057918010344999</v>
      </c>
      <c r="AS200" s="591">
        <v>350</v>
      </c>
      <c r="AT200" s="595">
        <f t="shared" si="185"/>
        <v>0</v>
      </c>
      <c r="AU200" s="593">
        <v>9.6440000000000001</v>
      </c>
      <c r="AV200" s="593">
        <v>4.5170000000000003</v>
      </c>
      <c r="AW200" s="593">
        <f t="shared" si="186"/>
        <v>5.1269999999999998</v>
      </c>
      <c r="AX200" s="593">
        <f t="shared" si="187"/>
        <v>33.449000000000005</v>
      </c>
      <c r="AY200" s="698">
        <f t="shared" si="188"/>
        <v>29.369037653864996</v>
      </c>
      <c r="AZ200" s="75"/>
      <c r="BA200" s="591">
        <v>350</v>
      </c>
      <c r="BB200" s="593">
        <v>103.50685607036536</v>
      </c>
      <c r="BC200" s="667">
        <f>(BB216-BB217)/BB198</f>
        <v>1.2645539142935536</v>
      </c>
      <c r="BD200" s="714">
        <f>D200-BB214</f>
        <v>42.019999999999982</v>
      </c>
      <c r="BE200" s="667">
        <f>BB216-BB217</f>
        <v>130.88999999999999</v>
      </c>
      <c r="BF200" s="667">
        <f t="shared" si="189"/>
        <v>32.103292841317128</v>
      </c>
      <c r="BG200" s="668">
        <f t="shared" si="190"/>
        <v>40.596344624199794</v>
      </c>
      <c r="BH200" s="591">
        <v>350</v>
      </c>
      <c r="BI200" s="593">
        <v>103.50685607036536</v>
      </c>
      <c r="BJ200" s="667">
        <f>(BI216-BI217)/BI198</f>
        <v>1.3427129880702737</v>
      </c>
      <c r="BK200" s="714">
        <f>I200-BI214</f>
        <v>40.169999999999959</v>
      </c>
      <c r="BL200" s="667">
        <f>BI216-BI217</f>
        <v>138.98000000000002</v>
      </c>
      <c r="BM200" s="667">
        <f t="shared" si="191"/>
        <v>28.903439343790438</v>
      </c>
      <c r="BN200" s="668">
        <f t="shared" si="192"/>
        <v>38.80902340680877</v>
      </c>
      <c r="BO200" s="591">
        <v>350</v>
      </c>
      <c r="BP200" s="679">
        <v>103.50685607036536</v>
      </c>
      <c r="BQ200" s="667">
        <f>(BP216-BP217)/BP198</f>
        <v>1.2039782168176534</v>
      </c>
      <c r="BR200" s="714">
        <f>N200-BP214</f>
        <v>40.420000000000073</v>
      </c>
      <c r="BS200" s="667">
        <f>BP216-BP217</f>
        <v>124.61999999999999</v>
      </c>
      <c r="BT200" s="667">
        <f t="shared" si="193"/>
        <v>32.434601187610397</v>
      </c>
      <c r="BU200" s="710">
        <f t="shared" si="194"/>
        <v>39.050553301050911</v>
      </c>
      <c r="BV200" s="591">
        <v>350</v>
      </c>
      <c r="BW200" s="593">
        <v>103.50685607036536</v>
      </c>
      <c r="BX200" s="667">
        <f>(BW216-BW217)/BW198</f>
        <v>1.3630014991866035</v>
      </c>
      <c r="BY200" s="714">
        <f>S200-BW214</f>
        <v>37.420000000000016</v>
      </c>
      <c r="BZ200" s="667">
        <f>BW216-BW217</f>
        <v>141.07999999999998</v>
      </c>
      <c r="CA200" s="667">
        <f t="shared" si="195"/>
        <v>26.523958037992639</v>
      </c>
      <c r="CB200" s="668">
        <f t="shared" si="196"/>
        <v>36.152194570146527</v>
      </c>
      <c r="CC200" s="560"/>
    </row>
    <row r="201" spans="1:81" ht="15.75">
      <c r="A201" s="5"/>
      <c r="B201" s="59" t="s">
        <v>116</v>
      </c>
      <c r="C201" s="98">
        <v>450</v>
      </c>
      <c r="D201" s="67">
        <v>459.41</v>
      </c>
      <c r="E201" s="91">
        <v>1.59</v>
      </c>
      <c r="F201" s="91">
        <v>1.26</v>
      </c>
      <c r="G201" s="92">
        <v>1.42</v>
      </c>
      <c r="H201" s="104">
        <v>450</v>
      </c>
      <c r="I201" s="314">
        <v>466.01</v>
      </c>
      <c r="J201" s="91">
        <v>0.86</v>
      </c>
      <c r="K201" s="91">
        <v>0.99</v>
      </c>
      <c r="L201" s="456">
        <v>0.56000000000000005</v>
      </c>
      <c r="M201" s="104">
        <v>450</v>
      </c>
      <c r="N201" s="315">
        <v>450.84</v>
      </c>
      <c r="O201" s="454">
        <v>1.33</v>
      </c>
      <c r="P201" s="454">
        <v>1.1399999999999999</v>
      </c>
      <c r="Q201" s="454">
        <v>1.53</v>
      </c>
      <c r="R201" s="104">
        <v>450</v>
      </c>
      <c r="S201" s="315">
        <v>464.19</v>
      </c>
      <c r="T201" s="454">
        <v>0.63</v>
      </c>
      <c r="U201" s="454">
        <v>0.69</v>
      </c>
      <c r="V201" s="454">
        <v>0.72</v>
      </c>
      <c r="W201" s="5"/>
      <c r="X201" s="598">
        <v>450</v>
      </c>
      <c r="Y201" s="592">
        <f t="shared" si="173"/>
        <v>0.14233333333333331</v>
      </c>
      <c r="Z201" s="593">
        <v>9.6440000000000001</v>
      </c>
      <c r="AA201" s="593">
        <v>4.5170000000000003</v>
      </c>
      <c r="AB201" s="593">
        <f t="shared" si="174"/>
        <v>4.9846666666666666</v>
      </c>
      <c r="AC201" s="593">
        <f t="shared" si="175"/>
        <v>33.591333333333338</v>
      </c>
      <c r="AD201" s="653">
        <f t="shared" si="176"/>
        <v>47.401879626179998</v>
      </c>
      <c r="AE201" s="598">
        <v>450</v>
      </c>
      <c r="AF201" s="595">
        <f t="shared" si="177"/>
        <v>8.033333333333334E-2</v>
      </c>
      <c r="AG201" s="593">
        <v>9.6440000000000001</v>
      </c>
      <c r="AH201" s="593">
        <v>4.5170000000000003</v>
      </c>
      <c r="AI201" s="593">
        <f t="shared" si="178"/>
        <v>5.0466666666666669</v>
      </c>
      <c r="AJ201" s="593">
        <f t="shared" si="179"/>
        <v>33.529333333333341</v>
      </c>
      <c r="AK201" s="653">
        <f t="shared" si="180"/>
        <v>47.902892475600005</v>
      </c>
      <c r="AL201" s="598">
        <v>450</v>
      </c>
      <c r="AM201" s="595">
        <f t="shared" si="181"/>
        <v>0.13333333333333333</v>
      </c>
      <c r="AN201" s="593">
        <v>9.6440000000000001</v>
      </c>
      <c r="AO201" s="593">
        <v>4.5170000000000003</v>
      </c>
      <c r="AP201" s="593">
        <f t="shared" si="182"/>
        <v>4.993666666666666</v>
      </c>
      <c r="AQ201" s="593">
        <f t="shared" si="183"/>
        <v>33.582333333333338</v>
      </c>
      <c r="AR201" s="698">
        <f t="shared" si="184"/>
        <v>47.474742334184988</v>
      </c>
      <c r="AS201" s="598">
        <v>450</v>
      </c>
      <c r="AT201" s="595">
        <f t="shared" si="185"/>
        <v>6.8000000000000005E-2</v>
      </c>
      <c r="AU201" s="593">
        <v>9.6440000000000001</v>
      </c>
      <c r="AV201" s="593">
        <v>4.5170000000000003</v>
      </c>
      <c r="AW201" s="593">
        <f t="shared" si="186"/>
        <v>5.0590000000000002</v>
      </c>
      <c r="AX201" s="593">
        <f t="shared" si="187"/>
        <v>33.517000000000003</v>
      </c>
      <c r="AY201" s="698">
        <f t="shared" si="188"/>
        <v>48.002296786784996</v>
      </c>
      <c r="AZ201" s="75"/>
      <c r="BA201" s="598">
        <v>450</v>
      </c>
      <c r="BB201" s="593">
        <v>103.50685607036536</v>
      </c>
      <c r="BC201" s="667">
        <f>(BB216-BB217)/BB198</f>
        <v>1.2645539142935536</v>
      </c>
      <c r="BD201" s="714">
        <f>D201-BB214</f>
        <v>40.980000000000018</v>
      </c>
      <c r="BE201" s="667">
        <f>BB216-BB217</f>
        <v>130.88999999999999</v>
      </c>
      <c r="BF201" s="667">
        <f t="shared" si="189"/>
        <v>31.308732523493028</v>
      </c>
      <c r="BG201" s="668">
        <f t="shared" si="190"/>
        <v>39.591580264152995</v>
      </c>
      <c r="BH201" s="598">
        <v>450</v>
      </c>
      <c r="BI201" s="593">
        <v>103.50685607036536</v>
      </c>
      <c r="BJ201" s="667">
        <f>(BI216-BI217)/BI198</f>
        <v>1.3427129880702737</v>
      </c>
      <c r="BK201" s="714">
        <f>I201-BI214</f>
        <v>40.169999999999959</v>
      </c>
      <c r="BL201" s="667">
        <f>BI216-BI217</f>
        <v>138.98000000000002</v>
      </c>
      <c r="BM201" s="667">
        <f t="shared" si="191"/>
        <v>28.903439343790438</v>
      </c>
      <c r="BN201" s="668">
        <f t="shared" si="192"/>
        <v>38.80902340680877</v>
      </c>
      <c r="BO201" s="598">
        <v>450</v>
      </c>
      <c r="BP201" s="679">
        <v>103.50685607036536</v>
      </c>
      <c r="BQ201" s="667">
        <f>(BP216-BP217)/BP198</f>
        <v>1.2039782168176534</v>
      </c>
      <c r="BR201" s="714">
        <f>N201-BP214</f>
        <v>39.29000000000002</v>
      </c>
      <c r="BS201" s="667">
        <f>BP216-BP217</f>
        <v>124.61999999999999</v>
      </c>
      <c r="BT201" s="667">
        <f t="shared" si="193"/>
        <v>31.527844647729115</v>
      </c>
      <c r="BU201" s="710">
        <f t="shared" si="194"/>
        <v>37.958838179076899</v>
      </c>
      <c r="BV201" s="598">
        <v>450</v>
      </c>
      <c r="BW201" s="593">
        <v>103.50685607036536</v>
      </c>
      <c r="BX201" s="667">
        <f>(BW216-BW217)/BW198</f>
        <v>1.3630014991866035</v>
      </c>
      <c r="BY201" s="714">
        <f>S201-BW214</f>
        <v>36.699999999999989</v>
      </c>
      <c r="BZ201" s="667">
        <f>BW216-BW217</f>
        <v>141.07999999999998</v>
      </c>
      <c r="CA201" s="667">
        <f t="shared" si="195"/>
        <v>26.013609299688117</v>
      </c>
      <c r="CB201" s="668">
        <f t="shared" si="196"/>
        <v>35.456588474729472</v>
      </c>
      <c r="CC201" s="560"/>
    </row>
    <row r="202" spans="1:81" ht="15.75">
      <c r="A202" s="5"/>
      <c r="B202" s="59" t="s">
        <v>116</v>
      </c>
      <c r="C202" s="98">
        <v>550</v>
      </c>
      <c r="D202" s="67">
        <v>458.26</v>
      </c>
      <c r="E202" s="91">
        <v>1.98</v>
      </c>
      <c r="F202" s="91">
        <v>1.37</v>
      </c>
      <c r="G202" s="92">
        <v>2.0099999999999998</v>
      </c>
      <c r="H202" s="104">
        <v>550</v>
      </c>
      <c r="I202" s="63">
        <v>464.96</v>
      </c>
      <c r="J202" s="91">
        <v>1.04</v>
      </c>
      <c r="K202" s="91">
        <v>1.43</v>
      </c>
      <c r="L202" s="456">
        <v>1.1399999999999999</v>
      </c>
      <c r="M202" s="104">
        <v>550</v>
      </c>
      <c r="N202" s="315">
        <v>449.65</v>
      </c>
      <c r="O202" s="454">
        <v>1.54</v>
      </c>
      <c r="P202" s="454">
        <v>1.61</v>
      </c>
      <c r="Q202" s="454">
        <v>1.88</v>
      </c>
      <c r="R202" s="104">
        <v>550</v>
      </c>
      <c r="S202" s="315">
        <v>463.43</v>
      </c>
      <c r="T202" s="454">
        <v>1.06</v>
      </c>
      <c r="U202" s="454">
        <v>1.1499999999999999</v>
      </c>
      <c r="V202" s="454">
        <v>1.19</v>
      </c>
      <c r="W202" s="5"/>
      <c r="X202" s="598">
        <v>550</v>
      </c>
      <c r="Y202" s="592">
        <f t="shared" si="173"/>
        <v>0.17866666666666664</v>
      </c>
      <c r="Z202" s="593">
        <v>9.6440000000000001</v>
      </c>
      <c r="AA202" s="593">
        <v>4.5170000000000003</v>
      </c>
      <c r="AB202" s="593">
        <f t="shared" si="174"/>
        <v>4.9483333333333333</v>
      </c>
      <c r="AC202" s="593">
        <f t="shared" si="175"/>
        <v>33.62766666666667</v>
      </c>
      <c r="AD202" s="653">
        <f t="shared" si="176"/>
        <v>70.370110250091656</v>
      </c>
      <c r="AE202" s="598">
        <v>550</v>
      </c>
      <c r="AF202" s="595">
        <f t="shared" si="177"/>
        <v>0.12033333333333332</v>
      </c>
      <c r="AG202" s="593">
        <v>9.6440000000000001</v>
      </c>
      <c r="AH202" s="593">
        <v>4.5170000000000003</v>
      </c>
      <c r="AI202" s="593">
        <f t="shared" si="178"/>
        <v>5.0066666666666668</v>
      </c>
      <c r="AJ202" s="593">
        <f t="shared" si="179"/>
        <v>33.56933333333334</v>
      </c>
      <c r="AK202" s="653">
        <f t="shared" si="180"/>
        <v>71.076158121466676</v>
      </c>
      <c r="AL202" s="598">
        <v>550</v>
      </c>
      <c r="AM202" s="595">
        <f t="shared" si="181"/>
        <v>0.16766666666666669</v>
      </c>
      <c r="AN202" s="593">
        <v>9.6440000000000001</v>
      </c>
      <c r="AO202" s="593">
        <v>4.5170000000000003</v>
      </c>
      <c r="AP202" s="593">
        <f t="shared" si="182"/>
        <v>4.9593333333333334</v>
      </c>
      <c r="AQ202" s="593">
        <f t="shared" si="183"/>
        <v>33.616666666666674</v>
      </c>
      <c r="AR202" s="698">
        <f t="shared" si="184"/>
        <v>70.503470893166678</v>
      </c>
      <c r="AS202" s="598">
        <v>550</v>
      </c>
      <c r="AT202" s="595">
        <f t="shared" si="185"/>
        <v>0.11333333333333333</v>
      </c>
      <c r="AU202" s="593">
        <v>9.6440000000000001</v>
      </c>
      <c r="AV202" s="593">
        <v>4.5170000000000003</v>
      </c>
      <c r="AW202" s="593">
        <f t="shared" si="186"/>
        <v>5.0136666666666665</v>
      </c>
      <c r="AX202" s="593">
        <f t="shared" si="187"/>
        <v>33.562333333333342</v>
      </c>
      <c r="AY202" s="698">
        <f t="shared" si="188"/>
        <v>71.160690462051662</v>
      </c>
      <c r="AZ202" s="75"/>
      <c r="BA202" s="598">
        <v>550</v>
      </c>
      <c r="BB202" s="593">
        <v>103.50685607036536</v>
      </c>
      <c r="BC202" s="667">
        <f>(BB216-BB217)/BB198</f>
        <v>1.2645539142935536</v>
      </c>
      <c r="BD202" s="714">
        <f>D202-BB214</f>
        <v>39.829999999999984</v>
      </c>
      <c r="BE202" s="667">
        <f>BB216-BB217</f>
        <v>130.88999999999999</v>
      </c>
      <c r="BF202" s="667">
        <f t="shared" si="189"/>
        <v>30.430132172052858</v>
      </c>
      <c r="BG202" s="668">
        <f t="shared" si="190"/>
        <v>38.480542750639636</v>
      </c>
      <c r="BH202" s="598">
        <v>550</v>
      </c>
      <c r="BI202" s="593">
        <v>103.50685607036536</v>
      </c>
      <c r="BJ202" s="667">
        <f>(BI216-BI217)/BI198</f>
        <v>1.3427129880702737</v>
      </c>
      <c r="BK202" s="714">
        <f>I202-BI214</f>
        <v>39.119999999999948</v>
      </c>
      <c r="BL202" s="667">
        <f>BI216-BI217</f>
        <v>138.98000000000002</v>
      </c>
      <c r="BM202" s="667">
        <f t="shared" si="191"/>
        <v>28.147934954669694</v>
      </c>
      <c r="BN202" s="668">
        <f t="shared" si="192"/>
        <v>37.794597850992247</v>
      </c>
      <c r="BO202" s="598">
        <v>550</v>
      </c>
      <c r="BP202" s="679">
        <v>103.50685607036536</v>
      </c>
      <c r="BQ202" s="667">
        <f>(BP216-BP217)/BP198</f>
        <v>1.2039782168176534</v>
      </c>
      <c r="BR202" s="714">
        <f>N202-BP214</f>
        <v>38.100000000000023</v>
      </c>
      <c r="BS202" s="667">
        <f>BP216-BP217</f>
        <v>124.61999999999999</v>
      </c>
      <c r="BT202" s="667">
        <f t="shared" si="193"/>
        <v>30.572941742898429</v>
      </c>
      <c r="BU202" s="710">
        <f t="shared" si="194"/>
        <v>36.809155882484852</v>
      </c>
      <c r="BV202" s="598">
        <v>550</v>
      </c>
      <c r="BW202" s="593">
        <v>103.50685607036536</v>
      </c>
      <c r="BX202" s="667">
        <f>(BW216-BW217)/BW198</f>
        <v>1.3630014991866035</v>
      </c>
      <c r="BY202" s="714">
        <f>S202-BW214</f>
        <v>35.94</v>
      </c>
      <c r="BZ202" s="667">
        <f>BW216-BW217</f>
        <v>141.07999999999998</v>
      </c>
      <c r="CA202" s="667">
        <f t="shared" si="195"/>
        <v>25.474907853700028</v>
      </c>
      <c r="CB202" s="668">
        <f t="shared" si="196"/>
        <v>34.722337596233722</v>
      </c>
      <c r="CC202" s="560"/>
    </row>
    <row r="203" spans="1:81" ht="15.75">
      <c r="A203" s="5"/>
      <c r="B203" s="59" t="s">
        <v>116</v>
      </c>
      <c r="C203" s="98">
        <v>650</v>
      </c>
      <c r="D203" s="67">
        <v>457.52</v>
      </c>
      <c r="E203" s="91">
        <v>2.4</v>
      </c>
      <c r="F203" s="91">
        <v>2.19</v>
      </c>
      <c r="G203" s="92">
        <v>2.3199999999999998</v>
      </c>
      <c r="H203" s="104">
        <v>650</v>
      </c>
      <c r="I203" s="63">
        <v>464.01</v>
      </c>
      <c r="J203" s="91">
        <v>1.69</v>
      </c>
      <c r="K203" s="91">
        <v>1.98</v>
      </c>
      <c r="L203" s="456">
        <v>1.75</v>
      </c>
      <c r="M203" s="104">
        <v>650</v>
      </c>
      <c r="N203" s="315">
        <v>448.63</v>
      </c>
      <c r="O203" s="454">
        <v>1.83</v>
      </c>
      <c r="P203" s="454">
        <v>1.65</v>
      </c>
      <c r="Q203" s="454">
        <v>2.52</v>
      </c>
      <c r="R203" s="104">
        <v>650</v>
      </c>
      <c r="S203" s="315">
        <v>462.78</v>
      </c>
      <c r="T203" s="454">
        <v>1.41</v>
      </c>
      <c r="U203" s="454">
        <v>1.56</v>
      </c>
      <c r="V203" s="454">
        <v>1.43</v>
      </c>
      <c r="W203" s="5"/>
      <c r="X203" s="598">
        <v>650</v>
      </c>
      <c r="Y203" s="592">
        <f t="shared" si="173"/>
        <v>0.23033333333333333</v>
      </c>
      <c r="Z203" s="593">
        <v>9.6440000000000001</v>
      </c>
      <c r="AA203" s="593">
        <v>4.5170000000000003</v>
      </c>
      <c r="AB203" s="593">
        <f t="shared" si="174"/>
        <v>4.8966666666666665</v>
      </c>
      <c r="AC203" s="593">
        <f t="shared" si="175"/>
        <v>33.679333333333339</v>
      </c>
      <c r="AD203" s="653">
        <f t="shared" si="176"/>
        <v>97.408736931566679</v>
      </c>
      <c r="AE203" s="598">
        <v>650</v>
      </c>
      <c r="AF203" s="595">
        <f t="shared" si="177"/>
        <v>0.18066666666666667</v>
      </c>
      <c r="AG203" s="593">
        <v>9.6440000000000001</v>
      </c>
      <c r="AH203" s="593">
        <v>4.5170000000000003</v>
      </c>
      <c r="AI203" s="593">
        <f t="shared" si="178"/>
        <v>4.9463333333333335</v>
      </c>
      <c r="AJ203" s="593">
        <f t="shared" si="179"/>
        <v>33.629666666666672</v>
      </c>
      <c r="AK203" s="653">
        <f t="shared" si="180"/>
        <v>98.251644340611676</v>
      </c>
      <c r="AL203" s="598">
        <v>650</v>
      </c>
      <c r="AM203" s="595">
        <f t="shared" si="181"/>
        <v>0.2</v>
      </c>
      <c r="AN203" s="593">
        <v>9.6440000000000001</v>
      </c>
      <c r="AO203" s="593">
        <v>4.5170000000000003</v>
      </c>
      <c r="AP203" s="593">
        <f t="shared" si="182"/>
        <v>4.9269999999999996</v>
      </c>
      <c r="AQ203" s="593">
        <f t="shared" si="183"/>
        <v>33.649000000000008</v>
      </c>
      <c r="AR203" s="698">
        <f t="shared" si="184"/>
        <v>97.923879118065003</v>
      </c>
      <c r="AS203" s="598">
        <v>650</v>
      </c>
      <c r="AT203" s="595">
        <f t="shared" si="185"/>
        <v>0.14666666666666667</v>
      </c>
      <c r="AU203" s="593">
        <v>9.6440000000000001</v>
      </c>
      <c r="AV203" s="593">
        <v>4.5170000000000003</v>
      </c>
      <c r="AW203" s="593">
        <f t="shared" si="186"/>
        <v>4.9803333333333333</v>
      </c>
      <c r="AX203" s="593">
        <f t="shared" si="187"/>
        <v>33.595666666666673</v>
      </c>
      <c r="AY203" s="698">
        <f t="shared" si="188"/>
        <v>98.826987987931673</v>
      </c>
      <c r="AZ203" s="75"/>
      <c r="BA203" s="598">
        <v>650</v>
      </c>
      <c r="BB203" s="593">
        <v>103.50685607036536</v>
      </c>
      <c r="BC203" s="667">
        <f>(BB216-BB217)/BB198</f>
        <v>1.2645539142935536</v>
      </c>
      <c r="BD203" s="714">
        <f>D203-BB214</f>
        <v>39.089999999999975</v>
      </c>
      <c r="BE203" s="667">
        <f>BB216-BB217</f>
        <v>130.88999999999999</v>
      </c>
      <c r="BF203" s="667">
        <f t="shared" si="189"/>
        <v>29.864771945908764</v>
      </c>
      <c r="BG203" s="668">
        <f t="shared" si="190"/>
        <v>37.765614263683233</v>
      </c>
      <c r="BH203" s="598">
        <v>650</v>
      </c>
      <c r="BI203" s="593">
        <v>103.50685607036536</v>
      </c>
      <c r="BJ203" s="667">
        <f>(BI216-BI217)/BI198</f>
        <v>1.3427129880702737</v>
      </c>
      <c r="BK203" s="714">
        <f>I203-BI214</f>
        <v>38.169999999999959</v>
      </c>
      <c r="BL203" s="667">
        <f>BI216-BI217</f>
        <v>138.98000000000002</v>
      </c>
      <c r="BM203" s="667">
        <f t="shared" si="191"/>
        <v>27.464383364512845</v>
      </c>
      <c r="BN203" s="668">
        <f t="shared" si="192"/>
        <v>36.876784252872561</v>
      </c>
      <c r="BO203" s="598">
        <v>650</v>
      </c>
      <c r="BP203" s="679">
        <v>103.50685607036536</v>
      </c>
      <c r="BQ203" s="667">
        <f>(BP216-BP217)/BP198</f>
        <v>1.2039782168176534</v>
      </c>
      <c r="BR203" s="714">
        <f>N203-BP214</f>
        <v>37.080000000000041</v>
      </c>
      <c r="BS203" s="667">
        <f>BP216-BP217</f>
        <v>124.61999999999999</v>
      </c>
      <c r="BT203" s="667">
        <f t="shared" si="193"/>
        <v>29.754453538757858</v>
      </c>
      <c r="BU203" s="710">
        <f t="shared" si="194"/>
        <v>35.8237139139774</v>
      </c>
      <c r="BV203" s="598">
        <v>650</v>
      </c>
      <c r="BW203" s="593">
        <v>103.50685607036536</v>
      </c>
      <c r="BX203" s="667">
        <f>(BW216-BW217)/BW198</f>
        <v>1.3630014991866035</v>
      </c>
      <c r="BY203" s="714">
        <f>S203-BW214</f>
        <v>35.289999999999964</v>
      </c>
      <c r="BZ203" s="667">
        <f>BW216-BW217</f>
        <v>141.07999999999998</v>
      </c>
      <c r="CA203" s="667">
        <f t="shared" si="195"/>
        <v>25.014176353841773</v>
      </c>
      <c r="CB203" s="668">
        <f t="shared" si="196"/>
        <v>34.094359871204425</v>
      </c>
      <c r="CC203" s="560"/>
    </row>
    <row r="204" spans="1:81" ht="15.75">
      <c r="A204" s="5"/>
      <c r="B204" s="59" t="s">
        <v>116</v>
      </c>
      <c r="C204" s="98">
        <v>750</v>
      </c>
      <c r="D204" s="67">
        <v>456.63</v>
      </c>
      <c r="E204" s="91">
        <v>2.54</v>
      </c>
      <c r="F204" s="91">
        <v>2.21</v>
      </c>
      <c r="G204" s="92">
        <v>2.92</v>
      </c>
      <c r="H204" s="104">
        <v>750</v>
      </c>
      <c r="I204" s="63">
        <v>463.17</v>
      </c>
      <c r="J204" s="91">
        <v>2.06</v>
      </c>
      <c r="K204" s="91">
        <v>2.68</v>
      </c>
      <c r="L204" s="456">
        <v>2.4300000000000002</v>
      </c>
      <c r="M204" s="104">
        <v>750</v>
      </c>
      <c r="N204" s="315">
        <v>447.55</v>
      </c>
      <c r="O204" s="454">
        <v>2.15</v>
      </c>
      <c r="P204" s="454">
        <v>2.2400000000000002</v>
      </c>
      <c r="Q204" s="454">
        <v>2.91</v>
      </c>
      <c r="R204" s="104">
        <v>750</v>
      </c>
      <c r="S204" s="315">
        <v>462.07</v>
      </c>
      <c r="T204" s="454">
        <v>1.7</v>
      </c>
      <c r="U204" s="454">
        <v>1.83</v>
      </c>
      <c r="V204" s="454">
        <v>2</v>
      </c>
      <c r="W204" s="5"/>
      <c r="X204" s="598">
        <v>750</v>
      </c>
      <c r="Y204" s="592">
        <f t="shared" si="173"/>
        <v>0.25566666666666665</v>
      </c>
      <c r="Z204" s="593">
        <v>9.6440000000000001</v>
      </c>
      <c r="AA204" s="593">
        <v>4.5170000000000003</v>
      </c>
      <c r="AB204" s="593">
        <f t="shared" si="174"/>
        <v>4.8713333333333333</v>
      </c>
      <c r="AC204" s="593">
        <f t="shared" si="175"/>
        <v>33.704666666666675</v>
      </c>
      <c r="AD204" s="653">
        <f t="shared" si="176"/>
        <v>129.11228965050003</v>
      </c>
      <c r="AE204" s="598">
        <v>750</v>
      </c>
      <c r="AF204" s="595">
        <f t="shared" si="177"/>
        <v>0.23900000000000002</v>
      </c>
      <c r="AG204" s="593">
        <v>9.6440000000000001</v>
      </c>
      <c r="AH204" s="593">
        <v>4.5170000000000003</v>
      </c>
      <c r="AI204" s="593">
        <f t="shared" si="178"/>
        <v>4.8879999999999999</v>
      </c>
      <c r="AJ204" s="593">
        <f t="shared" si="179"/>
        <v>33.688000000000002</v>
      </c>
      <c r="AK204" s="653">
        <f t="shared" si="180"/>
        <v>129.48996808799998</v>
      </c>
      <c r="AL204" s="598">
        <v>750</v>
      </c>
      <c r="AM204" s="595">
        <f t="shared" si="181"/>
        <v>0.24333333333333335</v>
      </c>
      <c r="AN204" s="593">
        <v>9.6440000000000001</v>
      </c>
      <c r="AO204" s="593">
        <v>4.5170000000000003</v>
      </c>
      <c r="AP204" s="593">
        <f t="shared" si="182"/>
        <v>4.8836666666666666</v>
      </c>
      <c r="AQ204" s="593">
        <f t="shared" si="183"/>
        <v>33.692333333333337</v>
      </c>
      <c r="AR204" s="698">
        <f t="shared" si="184"/>
        <v>129.391813721625</v>
      </c>
      <c r="AS204" s="598">
        <v>750</v>
      </c>
      <c r="AT204" s="595">
        <f t="shared" si="185"/>
        <v>0.18433333333333335</v>
      </c>
      <c r="AU204" s="593">
        <v>9.6440000000000001</v>
      </c>
      <c r="AV204" s="593">
        <v>4.5170000000000003</v>
      </c>
      <c r="AW204" s="593">
        <f t="shared" si="186"/>
        <v>4.9426666666666668</v>
      </c>
      <c r="AX204" s="593">
        <f t="shared" si="187"/>
        <v>33.63333333333334</v>
      </c>
      <c r="AY204" s="698">
        <f t="shared" si="188"/>
        <v>130.72568685000002</v>
      </c>
      <c r="AZ204" s="75"/>
      <c r="BA204" s="598">
        <v>750</v>
      </c>
      <c r="BB204" s="593">
        <v>103.50685607036536</v>
      </c>
      <c r="BC204" s="667">
        <f>(BB216-BB217)/BB198</f>
        <v>1.2645539142935536</v>
      </c>
      <c r="BD204" s="714">
        <f>D204-BB214</f>
        <v>38.199999999999989</v>
      </c>
      <c r="BE204" s="667">
        <f>BB216-BB217</f>
        <v>130.88999999999999</v>
      </c>
      <c r="BF204" s="667">
        <f t="shared" si="189"/>
        <v>29.184811673924667</v>
      </c>
      <c r="BG204" s="668">
        <f t="shared" si="190"/>
        <v>36.905767840181632</v>
      </c>
      <c r="BH204" s="598">
        <v>750</v>
      </c>
      <c r="BI204" s="593">
        <v>103.50685607036536</v>
      </c>
      <c r="BJ204" s="667">
        <f>(BI216-BI217)/BI198</f>
        <v>1.3427129880702737</v>
      </c>
      <c r="BK204" s="714">
        <f>I204-BI214</f>
        <v>37.329999999999984</v>
      </c>
      <c r="BL204" s="667">
        <f>BI216-BI217</f>
        <v>138.98000000000002</v>
      </c>
      <c r="BM204" s="667">
        <f t="shared" si="191"/>
        <v>26.859979853216277</v>
      </c>
      <c r="BN204" s="668">
        <f t="shared" si="192"/>
        <v>36.065243808219378</v>
      </c>
      <c r="BO204" s="598">
        <v>750</v>
      </c>
      <c r="BP204" s="679">
        <v>103.50685607036536</v>
      </c>
      <c r="BQ204" s="667">
        <f>(BP216-BP217)/BP198</f>
        <v>1.2039782168176534</v>
      </c>
      <c r="BR204" s="714">
        <f>N204-BP214</f>
        <v>36.000000000000057</v>
      </c>
      <c r="BS204" s="667">
        <f>BP216-BP217</f>
        <v>124.61999999999999</v>
      </c>
      <c r="BT204" s="667">
        <f t="shared" si="193"/>
        <v>28.88781896966784</v>
      </c>
      <c r="BU204" s="710">
        <f t="shared" si="194"/>
        <v>34.78030477085187</v>
      </c>
      <c r="BV204" s="598">
        <v>750</v>
      </c>
      <c r="BW204" s="593">
        <v>103.50685607036536</v>
      </c>
      <c r="BX204" s="667">
        <f>(BW216-BW217)/BW198</f>
        <v>1.3630014991866035</v>
      </c>
      <c r="BY204" s="714">
        <f>S204-BW214</f>
        <v>34.579999999999984</v>
      </c>
      <c r="BZ204" s="667">
        <f>BW216-BW217</f>
        <v>141.07999999999998</v>
      </c>
      <c r="CA204" s="667">
        <f t="shared" si="195"/>
        <v>24.510915792458171</v>
      </c>
      <c r="CB204" s="668">
        <f t="shared" si="196"/>
        <v>33.408414971557086</v>
      </c>
      <c r="CC204" s="560"/>
    </row>
    <row r="205" spans="1:81" ht="15.75">
      <c r="A205" s="5"/>
      <c r="B205" s="59" t="s">
        <v>116</v>
      </c>
      <c r="C205" s="98">
        <v>850</v>
      </c>
      <c r="D205" s="67">
        <v>455.96</v>
      </c>
      <c r="E205" s="91">
        <v>3.55</v>
      </c>
      <c r="F205" s="91">
        <v>3.05</v>
      </c>
      <c r="G205" s="92">
        <v>3.43</v>
      </c>
      <c r="H205" s="104">
        <v>850</v>
      </c>
      <c r="I205" s="63">
        <v>462.35</v>
      </c>
      <c r="J205" s="91">
        <v>3.07</v>
      </c>
      <c r="K205" s="91">
        <v>3</v>
      </c>
      <c r="L205" s="456">
        <v>2.89</v>
      </c>
      <c r="M205" s="104">
        <v>850</v>
      </c>
      <c r="N205" s="315">
        <v>446.72</v>
      </c>
      <c r="O205" s="454">
        <v>2.82</v>
      </c>
      <c r="P205" s="454">
        <v>2.4900000000000002</v>
      </c>
      <c r="Q205" s="454">
        <v>3.54</v>
      </c>
      <c r="R205" s="104">
        <v>850</v>
      </c>
      <c r="S205" s="315">
        <v>461.57</v>
      </c>
      <c r="T205" s="454">
        <v>2.5</v>
      </c>
      <c r="U205" s="454">
        <v>2.89</v>
      </c>
      <c r="V205" s="454">
        <v>2.86</v>
      </c>
      <c r="W205" s="5"/>
      <c r="X205" s="598">
        <v>850</v>
      </c>
      <c r="Y205" s="592">
        <f t="shared" si="173"/>
        <v>0.33433333333333332</v>
      </c>
      <c r="Z205" s="593">
        <v>9.6440000000000001</v>
      </c>
      <c r="AA205" s="593">
        <v>4.5170000000000003</v>
      </c>
      <c r="AB205" s="593">
        <f t="shared" si="174"/>
        <v>4.7926666666666664</v>
      </c>
      <c r="AC205" s="593">
        <f t="shared" si="175"/>
        <v>33.783333333333339</v>
      </c>
      <c r="AD205" s="653">
        <f t="shared" si="176"/>
        <v>163.54028328516668</v>
      </c>
      <c r="AE205" s="598">
        <v>850</v>
      </c>
      <c r="AF205" s="595">
        <f t="shared" si="177"/>
        <v>0.29866666666666669</v>
      </c>
      <c r="AG205" s="593">
        <v>9.6440000000000001</v>
      </c>
      <c r="AH205" s="593">
        <v>4.5170000000000003</v>
      </c>
      <c r="AI205" s="593">
        <f t="shared" si="178"/>
        <v>4.8283333333333331</v>
      </c>
      <c r="AJ205" s="593">
        <f t="shared" si="179"/>
        <v>33.747666666666674</v>
      </c>
      <c r="AK205" s="653">
        <f t="shared" si="180"/>
        <v>164.58339570189167</v>
      </c>
      <c r="AL205" s="598">
        <v>850</v>
      </c>
      <c r="AM205" s="595">
        <f t="shared" si="181"/>
        <v>0.29500000000000004</v>
      </c>
      <c r="AN205" s="593">
        <v>9.6440000000000001</v>
      </c>
      <c r="AO205" s="593">
        <v>4.5170000000000003</v>
      </c>
      <c r="AP205" s="593">
        <f t="shared" si="182"/>
        <v>4.8319999999999999</v>
      </c>
      <c r="AQ205" s="593">
        <f t="shared" si="183"/>
        <v>33.744000000000007</v>
      </c>
      <c r="AR205" s="698">
        <f t="shared" si="184"/>
        <v>164.69048588544001</v>
      </c>
      <c r="AS205" s="598">
        <v>850</v>
      </c>
      <c r="AT205" s="595">
        <f t="shared" si="185"/>
        <v>0.27500000000000002</v>
      </c>
      <c r="AU205" s="593">
        <v>9.6440000000000001</v>
      </c>
      <c r="AV205" s="593">
        <v>4.5170000000000003</v>
      </c>
      <c r="AW205" s="593">
        <f t="shared" si="186"/>
        <v>4.8519999999999994</v>
      </c>
      <c r="AX205" s="593">
        <f t="shared" si="187"/>
        <v>33.724000000000004</v>
      </c>
      <c r="AY205" s="698">
        <f t="shared" si="188"/>
        <v>165.27413606663998</v>
      </c>
      <c r="AZ205" s="75"/>
      <c r="BA205" s="598">
        <v>850</v>
      </c>
      <c r="BB205" s="593">
        <v>103.50685607036536</v>
      </c>
      <c r="BC205" s="667">
        <f>(BB216-BB217)/BB198</f>
        <v>1.2645539142935536</v>
      </c>
      <c r="BD205" s="714">
        <f>D205-BB214</f>
        <v>37.529999999999973</v>
      </c>
      <c r="BE205" s="667">
        <f>BB216-BB217</f>
        <v>130.88999999999999</v>
      </c>
      <c r="BF205" s="667">
        <f t="shared" si="189"/>
        <v>28.672931469172568</v>
      </c>
      <c r="BG205" s="668">
        <f t="shared" si="190"/>
        <v>36.258467723612981</v>
      </c>
      <c r="BH205" s="598">
        <v>850</v>
      </c>
      <c r="BI205" s="593">
        <v>103.50685607036536</v>
      </c>
      <c r="BJ205" s="667">
        <f>(BI216-BI217)/BI198</f>
        <v>1.3427129880702737</v>
      </c>
      <c r="BK205" s="714">
        <f>I205-BI214</f>
        <v>36.509999999999991</v>
      </c>
      <c r="BL205" s="667">
        <f>BI216-BI217</f>
        <v>138.98000000000002</v>
      </c>
      <c r="BM205" s="667">
        <f t="shared" si="191"/>
        <v>26.269966901712465</v>
      </c>
      <c r="BN205" s="668">
        <f t="shared" si="192"/>
        <v>35.273025755105536</v>
      </c>
      <c r="BO205" s="598">
        <v>850</v>
      </c>
      <c r="BP205" s="679">
        <v>103.50685607036536</v>
      </c>
      <c r="BQ205" s="667">
        <f>(BP216-BP217)/BP198</f>
        <v>1.2039782168176534</v>
      </c>
      <c r="BR205" s="714">
        <f>N205-BP214</f>
        <v>35.170000000000073</v>
      </c>
      <c r="BS205" s="667">
        <f>BP216-BP217</f>
        <v>124.61999999999999</v>
      </c>
      <c r="BT205" s="667">
        <f t="shared" si="193"/>
        <v>28.221794254533844</v>
      </c>
      <c r="BU205" s="710">
        <f t="shared" si="194"/>
        <v>33.978425521968354</v>
      </c>
      <c r="BV205" s="598">
        <v>850</v>
      </c>
      <c r="BW205" s="593">
        <v>103.50685607036536</v>
      </c>
      <c r="BX205" s="667">
        <f>(BW216-BW217)/BW198</f>
        <v>1.3630014991866035</v>
      </c>
      <c r="BY205" s="714">
        <f>S205-BW214</f>
        <v>34.079999999999984</v>
      </c>
      <c r="BZ205" s="667">
        <f>BW216-BW217</f>
        <v>141.07999999999998</v>
      </c>
      <c r="CA205" s="667">
        <f t="shared" si="195"/>
        <v>24.156506946413376</v>
      </c>
      <c r="CB205" s="668">
        <f t="shared" si="196"/>
        <v>32.925355183073037</v>
      </c>
      <c r="CC205" s="560"/>
    </row>
    <row r="206" spans="1:81" ht="15.75">
      <c r="A206" s="5"/>
      <c r="B206" s="59" t="s">
        <v>116</v>
      </c>
      <c r="C206" s="98">
        <v>950</v>
      </c>
      <c r="D206" s="67">
        <v>455.13</v>
      </c>
      <c r="E206" s="91">
        <v>3.7</v>
      </c>
      <c r="F206" s="91">
        <v>3.37</v>
      </c>
      <c r="G206" s="92">
        <v>3.69</v>
      </c>
      <c r="H206" s="104">
        <v>950</v>
      </c>
      <c r="I206" s="63">
        <v>461.56</v>
      </c>
      <c r="J206" s="91">
        <v>3.38</v>
      </c>
      <c r="K206" s="91">
        <v>3.66</v>
      </c>
      <c r="L206" s="456">
        <v>3.42</v>
      </c>
      <c r="M206" s="104">
        <v>950</v>
      </c>
      <c r="N206" s="315">
        <v>445.59</v>
      </c>
      <c r="O206" s="454">
        <v>3.18</v>
      </c>
      <c r="P206" s="454">
        <v>3.04</v>
      </c>
      <c r="Q206" s="454">
        <v>3.55</v>
      </c>
      <c r="R206" s="104">
        <v>950</v>
      </c>
      <c r="S206" s="315">
        <v>460.85</v>
      </c>
      <c r="T206" s="454">
        <v>2.52</v>
      </c>
      <c r="U206" s="454">
        <v>2.94</v>
      </c>
      <c r="V206" s="454">
        <v>2.92</v>
      </c>
      <c r="W206" s="5"/>
      <c r="X206" s="598">
        <v>950</v>
      </c>
      <c r="Y206" s="592">
        <f t="shared" si="173"/>
        <v>0.35866666666666663</v>
      </c>
      <c r="Z206" s="593">
        <v>9.6440000000000001</v>
      </c>
      <c r="AA206" s="593">
        <v>4.5170000000000003</v>
      </c>
      <c r="AB206" s="593">
        <f t="shared" si="174"/>
        <v>4.7683333333333335</v>
      </c>
      <c r="AC206" s="593">
        <f t="shared" si="175"/>
        <v>33.80766666666667</v>
      </c>
      <c r="AD206" s="653">
        <f t="shared" si="176"/>
        <v>203.39308664949166</v>
      </c>
      <c r="AE206" s="598">
        <v>950</v>
      </c>
      <c r="AF206" s="595">
        <f t="shared" si="177"/>
        <v>0.34866666666666668</v>
      </c>
      <c r="AG206" s="593">
        <v>9.6440000000000001</v>
      </c>
      <c r="AH206" s="593">
        <v>4.5170000000000003</v>
      </c>
      <c r="AI206" s="593">
        <f t="shared" si="178"/>
        <v>4.7783333333333333</v>
      </c>
      <c r="AJ206" s="593">
        <f t="shared" si="179"/>
        <v>33.797666666666672</v>
      </c>
      <c r="AK206" s="653">
        <f t="shared" si="180"/>
        <v>203.75934829669166</v>
      </c>
      <c r="AL206" s="598">
        <v>950</v>
      </c>
      <c r="AM206" s="595">
        <f t="shared" si="181"/>
        <v>0.32566666666666666</v>
      </c>
      <c r="AN206" s="593">
        <v>9.6440000000000001</v>
      </c>
      <c r="AO206" s="593">
        <v>4.5170000000000003</v>
      </c>
      <c r="AP206" s="593">
        <f t="shared" si="182"/>
        <v>4.801333333333333</v>
      </c>
      <c r="AQ206" s="593">
        <f t="shared" si="183"/>
        <v>33.774666666666668</v>
      </c>
      <c r="AR206" s="698">
        <f t="shared" si="184"/>
        <v>204.60079245874664</v>
      </c>
      <c r="AS206" s="598">
        <v>950</v>
      </c>
      <c r="AT206" s="595">
        <f t="shared" si="185"/>
        <v>0.27933333333333332</v>
      </c>
      <c r="AU206" s="593">
        <v>9.6440000000000001</v>
      </c>
      <c r="AV206" s="593">
        <v>4.5170000000000003</v>
      </c>
      <c r="AW206" s="593">
        <f t="shared" si="186"/>
        <v>4.8476666666666661</v>
      </c>
      <c r="AX206" s="593">
        <f t="shared" si="187"/>
        <v>33.728333333333339</v>
      </c>
      <c r="AY206" s="698">
        <f t="shared" si="188"/>
        <v>206.29182250069164</v>
      </c>
      <c r="AZ206" s="75"/>
      <c r="BA206" s="598">
        <v>950</v>
      </c>
      <c r="BB206" s="593">
        <v>103.50685607036536</v>
      </c>
      <c r="BC206" s="667">
        <f>(BB216-BB217)/BB198</f>
        <v>1.2645539142935536</v>
      </c>
      <c r="BD206" s="714">
        <f>D206-BB214</f>
        <v>36.699999999999989</v>
      </c>
      <c r="BE206" s="667">
        <f>BB216-BB217</f>
        <v>130.88999999999999</v>
      </c>
      <c r="BF206" s="667">
        <f t="shared" si="189"/>
        <v>28.038811215524479</v>
      </c>
      <c r="BG206" s="668">
        <f t="shared" si="190"/>
        <v>35.456588474729472</v>
      </c>
      <c r="BH206" s="598">
        <v>950</v>
      </c>
      <c r="BI206" s="593">
        <v>103.50685607036536</v>
      </c>
      <c r="BJ206" s="667">
        <f>(BI216-BI217)/BI198</f>
        <v>1.3427129880702737</v>
      </c>
      <c r="BK206" s="714">
        <f>I206-BI214</f>
        <v>35.71999999999997</v>
      </c>
      <c r="BL206" s="667">
        <f>BI216-BI217</f>
        <v>138.98000000000002</v>
      </c>
      <c r="BM206" s="667">
        <f t="shared" si="191"/>
        <v>25.701539789897804</v>
      </c>
      <c r="BN206" s="668">
        <f t="shared" si="192"/>
        <v>34.509791289300715</v>
      </c>
      <c r="BO206" s="598">
        <v>950</v>
      </c>
      <c r="BP206" s="679">
        <v>103.50685607036536</v>
      </c>
      <c r="BQ206" s="667">
        <f>(BP216-BP217)/BP198</f>
        <v>1.2039782168176534</v>
      </c>
      <c r="BR206" s="714">
        <f>N206-BP214</f>
        <v>34.04000000000002</v>
      </c>
      <c r="BS206" s="667">
        <f>BP216-BP217</f>
        <v>124.61999999999999</v>
      </c>
      <c r="BT206" s="667">
        <f t="shared" si="193"/>
        <v>27.315037714652561</v>
      </c>
      <c r="BU206" s="710">
        <f t="shared" si="194"/>
        <v>32.886710399994342</v>
      </c>
      <c r="BV206" s="598">
        <v>950</v>
      </c>
      <c r="BW206" s="593">
        <v>103.50685607036536</v>
      </c>
      <c r="BX206" s="667">
        <f>(BW216-BW217)/BW198</f>
        <v>1.3630014991866035</v>
      </c>
      <c r="BY206" s="714">
        <f>S206-BW214</f>
        <v>33.360000000000014</v>
      </c>
      <c r="BZ206" s="667">
        <f>BW216-BW217</f>
        <v>141.07999999999998</v>
      </c>
      <c r="CA206" s="667">
        <f t="shared" si="195"/>
        <v>23.646158208108886</v>
      </c>
      <c r="CB206" s="668">
        <f t="shared" si="196"/>
        <v>32.229749087656025</v>
      </c>
      <c r="CC206" s="560"/>
    </row>
    <row r="207" spans="1:81" ht="15.75">
      <c r="A207" s="5"/>
      <c r="B207" s="59" t="s">
        <v>116</v>
      </c>
      <c r="C207" s="98">
        <v>1000</v>
      </c>
      <c r="D207" s="67">
        <v>454.35</v>
      </c>
      <c r="E207" s="91">
        <v>3.88</v>
      </c>
      <c r="F207" s="91">
        <v>3.45</v>
      </c>
      <c r="G207" s="92">
        <v>4.1900000000000004</v>
      </c>
      <c r="H207" s="104">
        <v>1000</v>
      </c>
      <c r="I207" s="63">
        <v>461.01</v>
      </c>
      <c r="J207" s="454">
        <v>3.48</v>
      </c>
      <c r="K207" s="454">
        <v>3.85</v>
      </c>
      <c r="L207" s="456">
        <v>3.67</v>
      </c>
      <c r="M207" s="104">
        <v>1000</v>
      </c>
      <c r="N207" s="315">
        <v>445.07</v>
      </c>
      <c r="O207" s="454">
        <v>3.54</v>
      </c>
      <c r="P207" s="454">
        <v>3.42</v>
      </c>
      <c r="Q207" s="454">
        <v>4.01</v>
      </c>
      <c r="R207" s="104">
        <v>1000</v>
      </c>
      <c r="S207" s="315">
        <v>460.43</v>
      </c>
      <c r="T207" s="454">
        <v>2.84</v>
      </c>
      <c r="U207" s="454">
        <v>3.22</v>
      </c>
      <c r="V207" s="454">
        <v>3.58</v>
      </c>
      <c r="W207" s="5"/>
      <c r="X207" s="598">
        <v>1000</v>
      </c>
      <c r="Y207" s="592">
        <f t="shared" si="173"/>
        <v>0.38400000000000001</v>
      </c>
      <c r="Z207" s="593">
        <v>9.6440000000000001</v>
      </c>
      <c r="AA207" s="593">
        <v>4.5170000000000003</v>
      </c>
      <c r="AB207" s="593">
        <f t="shared" si="174"/>
        <v>4.7429999999999994</v>
      </c>
      <c r="AC207" s="593">
        <f t="shared" si="175"/>
        <v>33.833000000000006</v>
      </c>
      <c r="AD207" s="653">
        <f t="shared" si="176"/>
        <v>224.33694676199994</v>
      </c>
      <c r="AE207" s="598">
        <v>1000</v>
      </c>
      <c r="AF207" s="595">
        <f t="shared" si="177"/>
        <v>0.36666666666666664</v>
      </c>
      <c r="AG207" s="593">
        <v>9.6440000000000001</v>
      </c>
      <c r="AH207" s="593">
        <v>4.5170000000000003</v>
      </c>
      <c r="AI207" s="593">
        <f t="shared" si="178"/>
        <v>4.7603333333333335</v>
      </c>
      <c r="AJ207" s="593">
        <f t="shared" si="179"/>
        <v>33.815666666666672</v>
      </c>
      <c r="AK207" s="653">
        <f t="shared" si="180"/>
        <v>225.04143562066668</v>
      </c>
      <c r="AL207" s="598">
        <v>1000</v>
      </c>
      <c r="AM207" s="595">
        <f t="shared" si="181"/>
        <v>0.36566666666666664</v>
      </c>
      <c r="AN207" s="593">
        <v>9.6440000000000001</v>
      </c>
      <c r="AO207" s="593">
        <v>4.5170000000000003</v>
      </c>
      <c r="AP207" s="593">
        <f t="shared" si="182"/>
        <v>4.761333333333333</v>
      </c>
      <c r="AQ207" s="593">
        <f t="shared" si="183"/>
        <v>33.814666666666675</v>
      </c>
      <c r="AR207" s="698">
        <f t="shared" si="184"/>
        <v>225.08205357866666</v>
      </c>
      <c r="AS207" s="598">
        <v>1000</v>
      </c>
      <c r="AT207" s="595">
        <f t="shared" si="185"/>
        <v>0.32133333333333336</v>
      </c>
      <c r="AU207" s="593">
        <v>9.6440000000000001</v>
      </c>
      <c r="AV207" s="593">
        <v>4.5170000000000003</v>
      </c>
      <c r="AW207" s="593">
        <f t="shared" si="186"/>
        <v>4.8056666666666663</v>
      </c>
      <c r="AX207" s="593">
        <f t="shared" si="187"/>
        <v>33.77033333333334</v>
      </c>
      <c r="AY207" s="698">
        <f t="shared" si="188"/>
        <v>226.87997338066666</v>
      </c>
      <c r="AZ207" s="75"/>
      <c r="BA207" s="598">
        <v>1000</v>
      </c>
      <c r="BB207" s="593">
        <v>103.50685607036536</v>
      </c>
      <c r="BC207" s="667">
        <f>(BB216-BB217)/BB198</f>
        <v>1.2645539142935536</v>
      </c>
      <c r="BD207" s="714">
        <f>D207-BB214</f>
        <v>35.920000000000016</v>
      </c>
      <c r="BE207" s="667">
        <f>BB216-BB217</f>
        <v>130.88999999999999</v>
      </c>
      <c r="BF207" s="667">
        <f t="shared" si="189"/>
        <v>27.442890977156402</v>
      </c>
      <c r="BG207" s="668">
        <f t="shared" si="190"/>
        <v>34.703015204694374</v>
      </c>
      <c r="BH207" s="598">
        <v>1000</v>
      </c>
      <c r="BI207" s="593">
        <v>103.50685607036536</v>
      </c>
      <c r="BJ207" s="667">
        <f>(BI216-BI217)/BI198</f>
        <v>1.3427129880702737</v>
      </c>
      <c r="BK207" s="714">
        <f>I207-BI214</f>
        <v>35.169999999999959</v>
      </c>
      <c r="BL207" s="667">
        <f>BI216-BI217</f>
        <v>138.98000000000002</v>
      </c>
      <c r="BM207" s="667">
        <f t="shared" si="191"/>
        <v>25.305799395596456</v>
      </c>
      <c r="BN207" s="668">
        <f t="shared" si="192"/>
        <v>33.978425521968241</v>
      </c>
      <c r="BO207" s="598">
        <v>1000</v>
      </c>
      <c r="BP207" s="679">
        <v>103.50685607036536</v>
      </c>
      <c r="BQ207" s="667">
        <f>(BP216-BP217)/BP198</f>
        <v>1.2039782168176534</v>
      </c>
      <c r="BR207" s="714">
        <f>N207-BP214</f>
        <v>33.520000000000039</v>
      </c>
      <c r="BS207" s="667">
        <f>BP216-BP217</f>
        <v>124.61999999999999</v>
      </c>
      <c r="BT207" s="667">
        <f t="shared" si="193"/>
        <v>26.897769218424045</v>
      </c>
      <c r="BU207" s="710">
        <f t="shared" si="194"/>
        <v>32.384328219970946</v>
      </c>
      <c r="BV207" s="598">
        <v>1000</v>
      </c>
      <c r="BW207" s="593">
        <v>103.50685607036536</v>
      </c>
      <c r="BX207" s="667">
        <f>(BW216-BW217)/BW198</f>
        <v>1.3630014991866035</v>
      </c>
      <c r="BY207" s="714">
        <f>S207-BW214</f>
        <v>32.94</v>
      </c>
      <c r="BZ207" s="667">
        <f>BW216-BW217</f>
        <v>141.07999999999998</v>
      </c>
      <c r="CA207" s="667">
        <f t="shared" si="195"/>
        <v>23.348454777431247</v>
      </c>
      <c r="CB207" s="668">
        <f t="shared" si="196"/>
        <v>31.823978865329405</v>
      </c>
      <c r="CC207" s="560"/>
    </row>
    <row r="208" spans="1:81" ht="15.75">
      <c r="A208" s="5"/>
      <c r="B208" s="59" t="s">
        <v>116</v>
      </c>
      <c r="C208" s="98">
        <v>1350</v>
      </c>
      <c r="D208" s="67">
        <v>452.46</v>
      </c>
      <c r="E208" s="91">
        <v>4.46</v>
      </c>
      <c r="F208" s="91">
        <v>4.5199999999999996</v>
      </c>
      <c r="G208" s="92">
        <v>5.01</v>
      </c>
      <c r="H208" s="104">
        <v>1350</v>
      </c>
      <c r="I208" s="63">
        <v>459.38</v>
      </c>
      <c r="J208" s="454">
        <v>4.17</v>
      </c>
      <c r="K208" s="454">
        <v>4.47</v>
      </c>
      <c r="L208" s="456">
        <v>4.2699999999999996</v>
      </c>
      <c r="M208" s="104">
        <v>1350</v>
      </c>
      <c r="N208" s="315">
        <v>443.78</v>
      </c>
      <c r="O208" s="454">
        <v>4.38</v>
      </c>
      <c r="P208" s="454">
        <v>3.99</v>
      </c>
      <c r="Q208" s="454">
        <v>4.66</v>
      </c>
      <c r="R208" s="104">
        <v>1350</v>
      </c>
      <c r="S208" s="315">
        <v>459.27</v>
      </c>
      <c r="T208" s="454">
        <v>3.66</v>
      </c>
      <c r="U208" s="454">
        <v>3.87</v>
      </c>
      <c r="V208" s="454">
        <v>4.1500000000000004</v>
      </c>
      <c r="W208" s="5"/>
      <c r="X208" s="598">
        <v>1350</v>
      </c>
      <c r="Y208" s="592">
        <f t="shared" si="173"/>
        <v>0.46633333333333332</v>
      </c>
      <c r="Z208" s="593">
        <v>9.6440000000000001</v>
      </c>
      <c r="AA208" s="593">
        <v>4.5170000000000003</v>
      </c>
      <c r="AB208" s="593">
        <f t="shared" si="174"/>
        <v>4.6606666666666667</v>
      </c>
      <c r="AC208" s="593">
        <f t="shared" si="175"/>
        <v>33.915333333333336</v>
      </c>
      <c r="AD208" s="653">
        <f t="shared" si="176"/>
        <v>402.73450607033999</v>
      </c>
      <c r="AE208" s="598">
        <v>1350</v>
      </c>
      <c r="AF208" s="595">
        <f t="shared" si="177"/>
        <v>0.43033333333333335</v>
      </c>
      <c r="AG208" s="593">
        <v>9.6440000000000001</v>
      </c>
      <c r="AH208" s="593">
        <v>4.5170000000000003</v>
      </c>
      <c r="AI208" s="593">
        <f t="shared" si="178"/>
        <v>4.6966666666666663</v>
      </c>
      <c r="AJ208" s="593">
        <f t="shared" si="179"/>
        <v>33.879333333333335</v>
      </c>
      <c r="AK208" s="653">
        <f t="shared" si="180"/>
        <v>405.41452340489997</v>
      </c>
      <c r="AL208" s="598">
        <v>1350</v>
      </c>
      <c r="AM208" s="595">
        <f t="shared" si="181"/>
        <v>0.43433333333333335</v>
      </c>
      <c r="AN208" s="593">
        <v>9.6440000000000001</v>
      </c>
      <c r="AO208" s="593">
        <v>4.5170000000000003</v>
      </c>
      <c r="AP208" s="593">
        <f t="shared" si="182"/>
        <v>4.6926666666666668</v>
      </c>
      <c r="AQ208" s="593">
        <f t="shared" si="183"/>
        <v>33.88333333333334</v>
      </c>
      <c r="AR208" s="698">
        <f t="shared" si="184"/>
        <v>405.11706982650009</v>
      </c>
      <c r="AS208" s="598">
        <v>1350</v>
      </c>
      <c r="AT208" s="595">
        <f t="shared" si="185"/>
        <v>0.38933333333333331</v>
      </c>
      <c r="AU208" s="593">
        <v>9.6440000000000001</v>
      </c>
      <c r="AV208" s="593">
        <v>4.5170000000000003</v>
      </c>
      <c r="AW208" s="593">
        <f t="shared" si="186"/>
        <v>4.7376666666666667</v>
      </c>
      <c r="AX208" s="593">
        <f t="shared" si="187"/>
        <v>33.838333333333338</v>
      </c>
      <c r="AY208" s="698">
        <f t="shared" si="188"/>
        <v>408.45872179102503</v>
      </c>
      <c r="AZ208" s="75"/>
      <c r="BA208" s="598">
        <v>1350</v>
      </c>
      <c r="BB208" s="593">
        <v>103.50685607036536</v>
      </c>
      <c r="BC208" s="667">
        <f>(BB216-BB217)/BB198</f>
        <v>1.2645539142935536</v>
      </c>
      <c r="BD208" s="714">
        <f>D208-BB214</f>
        <v>34.029999999999973</v>
      </c>
      <c r="BE208" s="667">
        <f>BB216-BB217</f>
        <v>130.88999999999999</v>
      </c>
      <c r="BF208" s="667">
        <f t="shared" si="189"/>
        <v>25.998930399572139</v>
      </c>
      <c r="BG208" s="668">
        <f t="shared" si="190"/>
        <v>32.877049204224612</v>
      </c>
      <c r="BH208" s="598">
        <v>1350</v>
      </c>
      <c r="BI208" s="593">
        <v>103.50685607036536</v>
      </c>
      <c r="BJ208" s="667">
        <f>(BI216-BI217)/BI198</f>
        <v>1.3427129880702737</v>
      </c>
      <c r="BK208" s="714">
        <f>I208-BI214</f>
        <v>33.539999999999964</v>
      </c>
      <c r="BL208" s="667">
        <f>BI216-BI217</f>
        <v>138.98000000000002</v>
      </c>
      <c r="BM208" s="667">
        <f t="shared" si="191"/>
        <v>24.132968772485221</v>
      </c>
      <c r="BN208" s="668">
        <f t="shared" si="192"/>
        <v>32.403650611510237</v>
      </c>
      <c r="BO208" s="598">
        <v>1350</v>
      </c>
      <c r="BP208" s="679">
        <v>103.50685607036536</v>
      </c>
      <c r="BQ208" s="667">
        <f>(BP216-BP217)/BP198</f>
        <v>1.2039782168176534</v>
      </c>
      <c r="BR208" s="714">
        <f>N208-BP214</f>
        <v>32.230000000000018</v>
      </c>
      <c r="BS208" s="667">
        <f>BP216-BP217</f>
        <v>124.61999999999999</v>
      </c>
      <c r="BT208" s="667">
        <f t="shared" si="193"/>
        <v>25.862622372010929</v>
      </c>
      <c r="BU208" s="710">
        <f t="shared" si="194"/>
        <v>31.138033965682066</v>
      </c>
      <c r="BV208" s="598">
        <v>1350</v>
      </c>
      <c r="BW208" s="593">
        <v>103.50685607036536</v>
      </c>
      <c r="BX208" s="667">
        <f>(BW216-BW217)/BW198</f>
        <v>1.3630014991866035</v>
      </c>
      <c r="BY208" s="714">
        <f>S208-BW214</f>
        <v>31.779999999999973</v>
      </c>
      <c r="BZ208" s="667">
        <f>BW216-BW217</f>
        <v>141.07999999999998</v>
      </c>
      <c r="CA208" s="667">
        <f t="shared" si="195"/>
        <v>22.526226254607298</v>
      </c>
      <c r="CB208" s="668">
        <f t="shared" si="196"/>
        <v>30.703280156046375</v>
      </c>
      <c r="CC208" s="560"/>
    </row>
    <row r="209" spans="1:81" ht="15.75">
      <c r="A209" s="5"/>
      <c r="B209" s="59" t="s">
        <v>116</v>
      </c>
      <c r="C209" s="98">
        <v>2500</v>
      </c>
      <c r="D209" s="67">
        <v>448.23</v>
      </c>
      <c r="E209" s="91">
        <v>6.29</v>
      </c>
      <c r="F209" s="91">
        <v>6.47</v>
      </c>
      <c r="G209" s="92">
        <v>7.13</v>
      </c>
      <c r="H209" s="104">
        <v>2500</v>
      </c>
      <c r="I209" s="63">
        <v>455.2</v>
      </c>
      <c r="J209" s="454">
        <v>6.3</v>
      </c>
      <c r="K209" s="454">
        <v>6.41</v>
      </c>
      <c r="L209" s="456">
        <v>6.37</v>
      </c>
      <c r="M209" s="104">
        <v>2500</v>
      </c>
      <c r="N209" s="315">
        <v>440.57</v>
      </c>
      <c r="O209" s="454">
        <v>6.57</v>
      </c>
      <c r="P209" s="454">
        <v>6.67</v>
      </c>
      <c r="Q209" s="454">
        <v>7.82</v>
      </c>
      <c r="R209" s="104">
        <v>2500</v>
      </c>
      <c r="S209" s="315">
        <v>456.57</v>
      </c>
      <c r="T209" s="454">
        <v>6.03</v>
      </c>
      <c r="U209" s="454">
        <v>5.94</v>
      </c>
      <c r="V209" s="454">
        <v>5.98</v>
      </c>
      <c r="W209" s="5"/>
      <c r="X209" s="598">
        <v>2500</v>
      </c>
      <c r="Y209" s="592">
        <f t="shared" si="173"/>
        <v>0.66300000000000003</v>
      </c>
      <c r="Z209" s="593">
        <v>9.6440000000000001</v>
      </c>
      <c r="AA209" s="593">
        <v>4.5170000000000003</v>
      </c>
      <c r="AB209" s="593">
        <f t="shared" si="174"/>
        <v>4.4639999999999995</v>
      </c>
      <c r="AC209" s="593">
        <f t="shared" si="175"/>
        <v>34.112000000000002</v>
      </c>
      <c r="AD209" s="653">
        <f t="shared" si="176"/>
        <v>1330.5112703999998</v>
      </c>
      <c r="AE209" s="598">
        <v>2500</v>
      </c>
      <c r="AF209" s="595">
        <f t="shared" si="177"/>
        <v>0.63600000000000001</v>
      </c>
      <c r="AG209" s="593">
        <v>9.6440000000000001</v>
      </c>
      <c r="AH209" s="593">
        <v>4.5170000000000003</v>
      </c>
      <c r="AI209" s="593">
        <f t="shared" si="178"/>
        <v>4.4909999999999997</v>
      </c>
      <c r="AJ209" s="593">
        <f t="shared" si="179"/>
        <v>34.085000000000008</v>
      </c>
      <c r="AK209" s="653">
        <f t="shared" si="180"/>
        <v>1337.4992345625001</v>
      </c>
      <c r="AL209" s="598">
        <v>2500</v>
      </c>
      <c r="AM209" s="595">
        <f t="shared" si="181"/>
        <v>0.70200000000000007</v>
      </c>
      <c r="AN209" s="593">
        <v>9.6440000000000001</v>
      </c>
      <c r="AO209" s="593">
        <v>4.5170000000000003</v>
      </c>
      <c r="AP209" s="593">
        <f t="shared" si="182"/>
        <v>4.4249999999999998</v>
      </c>
      <c r="AQ209" s="593">
        <f t="shared" si="183"/>
        <v>34.151000000000003</v>
      </c>
      <c r="AR209" s="698">
        <f t="shared" si="184"/>
        <v>1320.3950540624999</v>
      </c>
      <c r="AS209" s="598">
        <v>2500</v>
      </c>
      <c r="AT209" s="595">
        <f t="shared" si="185"/>
        <v>0.59833333333333338</v>
      </c>
      <c r="AU209" s="593">
        <v>9.6440000000000001</v>
      </c>
      <c r="AV209" s="593">
        <v>4.5170000000000003</v>
      </c>
      <c r="AW209" s="593">
        <f t="shared" si="186"/>
        <v>4.5286666666666662</v>
      </c>
      <c r="AX209" s="593">
        <f t="shared" si="187"/>
        <v>34.047333333333341</v>
      </c>
      <c r="AY209" s="698">
        <f t="shared" si="188"/>
        <v>1347.2265933166666</v>
      </c>
      <c r="AZ209" s="75"/>
      <c r="BA209" s="598">
        <v>2500</v>
      </c>
      <c r="BB209" s="593">
        <v>103.50685607036536</v>
      </c>
      <c r="BC209" s="667">
        <f>(BB216-BB217)/BB198</f>
        <v>1.2645539142935536</v>
      </c>
      <c r="BD209" s="714">
        <f>D209-BB214</f>
        <v>29.800000000000011</v>
      </c>
      <c r="BE209" s="667">
        <f>BB216-BB217</f>
        <v>130.88999999999999</v>
      </c>
      <c r="BF209" s="667">
        <f t="shared" si="189"/>
        <v>22.767209106883655</v>
      </c>
      <c r="BG209" s="668">
        <f t="shared" si="190"/>
        <v>28.790363393649567</v>
      </c>
      <c r="BH209" s="598">
        <v>2500</v>
      </c>
      <c r="BI209" s="593">
        <v>103.50685607036536</v>
      </c>
      <c r="BJ209" s="667">
        <f>(BI216-BI217)/BI198</f>
        <v>1.3427129880702737</v>
      </c>
      <c r="BK209" s="714">
        <f>I209-BI214</f>
        <v>29.359999999999957</v>
      </c>
      <c r="BL209" s="667">
        <f>BI216-BI217</f>
        <v>138.98000000000002</v>
      </c>
      <c r="BM209" s="667">
        <f t="shared" si="191"/>
        <v>21.125341775795047</v>
      </c>
      <c r="BN209" s="668">
        <f t="shared" si="192"/>
        <v>28.36527077978355</v>
      </c>
      <c r="BO209" s="598">
        <v>2500</v>
      </c>
      <c r="BP209" s="679">
        <v>103.50685607036536</v>
      </c>
      <c r="BQ209" s="667">
        <f>(BP216-BP217)/BP198</f>
        <v>1.2039782168176534</v>
      </c>
      <c r="BR209" s="714">
        <f>N209-BP214</f>
        <v>29.020000000000039</v>
      </c>
      <c r="BS209" s="667">
        <f>BP216-BP217</f>
        <v>124.61999999999999</v>
      </c>
      <c r="BT209" s="667">
        <f t="shared" si="193"/>
        <v>23.286791847215568</v>
      </c>
      <c r="BU209" s="710">
        <f t="shared" si="194"/>
        <v>28.03679012361447</v>
      </c>
      <c r="BV209" s="598">
        <v>2500</v>
      </c>
      <c r="BW209" s="593">
        <v>103.50685607036536</v>
      </c>
      <c r="BX209" s="667">
        <f>(BW216-BW217)/BW198</f>
        <v>1.3630014991866035</v>
      </c>
      <c r="BY209" s="714">
        <f>S209-BW214</f>
        <v>29.079999999999984</v>
      </c>
      <c r="BZ209" s="667">
        <f>BW216-BW217</f>
        <v>141.07999999999998</v>
      </c>
      <c r="CA209" s="667">
        <f t="shared" si="195"/>
        <v>20.612418485965399</v>
      </c>
      <c r="CB209" s="668">
        <f t="shared" si="196"/>
        <v>28.094757298232501</v>
      </c>
      <c r="CC209" s="560"/>
    </row>
    <row r="210" spans="1:81" ht="15.75">
      <c r="A210" s="5"/>
      <c r="B210" s="59" t="s">
        <v>116</v>
      </c>
      <c r="C210" s="98">
        <v>5000</v>
      </c>
      <c r="D210" s="67">
        <v>443.35</v>
      </c>
      <c r="E210" s="91">
        <v>9.06</v>
      </c>
      <c r="F210" s="91">
        <v>8.8800000000000008</v>
      </c>
      <c r="G210" s="92">
        <v>9.83</v>
      </c>
      <c r="H210" s="104">
        <v>5000</v>
      </c>
      <c r="I210" s="63">
        <v>450.69</v>
      </c>
      <c r="J210" s="454">
        <v>8.5399999999999991</v>
      </c>
      <c r="K210" s="454">
        <v>8.8699999999999992</v>
      </c>
      <c r="L210" s="456">
        <v>8.92</v>
      </c>
      <c r="M210" s="104">
        <v>5000</v>
      </c>
      <c r="N210" s="315">
        <v>436.13</v>
      </c>
      <c r="O210" s="454">
        <v>10.48</v>
      </c>
      <c r="P210" s="454">
        <v>11.82</v>
      </c>
      <c r="Q210" s="454">
        <v>10.91</v>
      </c>
      <c r="R210" s="104">
        <v>5000</v>
      </c>
      <c r="S210" s="315">
        <v>453.33</v>
      </c>
      <c r="T210" s="454">
        <v>8.52</v>
      </c>
      <c r="U210" s="454">
        <v>8.58</v>
      </c>
      <c r="V210" s="454">
        <v>8.34</v>
      </c>
      <c r="W210" s="5"/>
      <c r="X210" s="598">
        <v>5000</v>
      </c>
      <c r="Y210" s="592">
        <f t="shared" si="173"/>
        <v>0.92566666666666675</v>
      </c>
      <c r="Z210" s="593">
        <v>9.6440000000000001</v>
      </c>
      <c r="AA210" s="593">
        <v>4.5170000000000003</v>
      </c>
      <c r="AB210" s="593">
        <f t="shared" si="174"/>
        <v>4.2013333333333334</v>
      </c>
      <c r="AC210" s="593">
        <f t="shared" si="175"/>
        <v>34.37466666666667</v>
      </c>
      <c r="AD210" s="653">
        <f t="shared" si="176"/>
        <v>5047.4591794666667</v>
      </c>
      <c r="AE210" s="598">
        <v>5000</v>
      </c>
      <c r="AF210" s="595">
        <f t="shared" si="177"/>
        <v>0.8776666666666666</v>
      </c>
      <c r="AG210" s="593">
        <v>9.6440000000000001</v>
      </c>
      <c r="AH210" s="593">
        <v>4.5170000000000003</v>
      </c>
      <c r="AI210" s="593">
        <f t="shared" si="178"/>
        <v>4.2493333333333334</v>
      </c>
      <c r="AJ210" s="593">
        <f t="shared" si="179"/>
        <v>34.326666666666675</v>
      </c>
      <c r="AK210" s="653">
        <f t="shared" si="180"/>
        <v>5097.9974386666672</v>
      </c>
      <c r="AL210" s="598">
        <v>5000</v>
      </c>
      <c r="AM210" s="595">
        <f t="shared" si="181"/>
        <v>1.107</v>
      </c>
      <c r="AN210" s="593">
        <v>9.6440000000000001</v>
      </c>
      <c r="AO210" s="593">
        <v>4.5170000000000003</v>
      </c>
      <c r="AP210" s="593">
        <f t="shared" si="182"/>
        <v>4.0199999999999996</v>
      </c>
      <c r="AQ210" s="593">
        <f t="shared" si="183"/>
        <v>34.556000000000004</v>
      </c>
      <c r="AR210" s="698">
        <f t="shared" si="184"/>
        <v>4855.0834439999999</v>
      </c>
      <c r="AS210" s="598">
        <v>5000</v>
      </c>
      <c r="AT210" s="595">
        <f t="shared" si="185"/>
        <v>0.84800000000000009</v>
      </c>
      <c r="AU210" s="593">
        <v>9.6440000000000001</v>
      </c>
      <c r="AV210" s="593">
        <v>4.5170000000000003</v>
      </c>
      <c r="AW210" s="593">
        <f t="shared" si="186"/>
        <v>4.2789999999999999</v>
      </c>
      <c r="AX210" s="593">
        <f t="shared" si="187"/>
        <v>34.297000000000004</v>
      </c>
      <c r="AY210" s="698">
        <f t="shared" si="188"/>
        <v>5129.1523618499996</v>
      </c>
      <c r="AZ210" s="75"/>
      <c r="BA210" s="598">
        <v>5000</v>
      </c>
      <c r="BB210" s="593">
        <v>103.50685607036536</v>
      </c>
      <c r="BC210" s="667">
        <f>(BB216-BB217)/BB198</f>
        <v>1.2645539142935536</v>
      </c>
      <c r="BD210" s="714">
        <f>D210-BB214</f>
        <v>24.920000000000016</v>
      </c>
      <c r="BE210" s="667">
        <f>BB216-BB217</f>
        <v>130.88999999999999</v>
      </c>
      <c r="BF210" s="667">
        <f t="shared" si="189"/>
        <v>19.038887615555062</v>
      </c>
      <c r="BG210" s="668">
        <f t="shared" si="190"/>
        <v>24.075699858045216</v>
      </c>
      <c r="BH210" s="598">
        <v>5000</v>
      </c>
      <c r="BI210" s="593">
        <v>103.50685607036536</v>
      </c>
      <c r="BJ210" s="667">
        <f>(BI216-BI217)/BI198</f>
        <v>1.3427129880702737</v>
      </c>
      <c r="BK210" s="714">
        <f>I210-BI214</f>
        <v>24.849999999999966</v>
      </c>
      <c r="BL210" s="667">
        <f>BI216-BI217</f>
        <v>138.98000000000002</v>
      </c>
      <c r="BM210" s="667">
        <f t="shared" si="191"/>
        <v>17.880270542524077</v>
      </c>
      <c r="BN210" s="668">
        <f t="shared" si="192"/>
        <v>24.008071487657396</v>
      </c>
      <c r="BO210" s="598">
        <v>5000</v>
      </c>
      <c r="BP210" s="679">
        <v>103.50685607036536</v>
      </c>
      <c r="BQ210" s="667">
        <f>(BP216-BP217)/BP198</f>
        <v>1.2039782168176534</v>
      </c>
      <c r="BR210" s="714">
        <f>N210-BP214</f>
        <v>24.580000000000041</v>
      </c>
      <c r="BS210" s="667">
        <f>BP216-BP217</f>
        <v>124.61999999999999</v>
      </c>
      <c r="BT210" s="667">
        <f t="shared" si="193"/>
        <v>19.723960840956543</v>
      </c>
      <c r="BU210" s="710">
        <f t="shared" si="194"/>
        <v>23.747219201876081</v>
      </c>
      <c r="BV210" s="598">
        <v>5000</v>
      </c>
      <c r="BW210" s="593">
        <v>103.50685607036536</v>
      </c>
      <c r="BX210" s="667">
        <f>(BW216-BW217)/BW198</f>
        <v>1.3630014991866035</v>
      </c>
      <c r="BY210" s="714">
        <f>S210-BW214</f>
        <v>25.839999999999975</v>
      </c>
      <c r="BZ210" s="667">
        <f>BW216-BW217</f>
        <v>141.07999999999998</v>
      </c>
      <c r="CA210" s="667">
        <f t="shared" si="195"/>
        <v>18.315849163595107</v>
      </c>
      <c r="CB210" s="668">
        <f t="shared" si="196"/>
        <v>24.964529868855831</v>
      </c>
      <c r="CC210" s="560"/>
    </row>
    <row r="211" spans="1:81" ht="15.75">
      <c r="A211" s="5"/>
      <c r="B211" s="59" t="s">
        <v>116</v>
      </c>
      <c r="C211" s="98">
        <v>7000</v>
      </c>
      <c r="D211" s="67">
        <v>439.86</v>
      </c>
      <c r="E211" s="91">
        <v>10.210000000000001</v>
      </c>
      <c r="F211" s="91">
        <v>10.95</v>
      </c>
      <c r="G211" s="92">
        <v>11.81</v>
      </c>
      <c r="H211" s="104">
        <v>7000</v>
      </c>
      <c r="I211" s="63">
        <v>448.09</v>
      </c>
      <c r="J211" s="454">
        <v>9.5299999999999994</v>
      </c>
      <c r="K211" s="454">
        <v>10.67</v>
      </c>
      <c r="L211" s="456">
        <v>9.9</v>
      </c>
      <c r="M211" s="104">
        <v>7000</v>
      </c>
      <c r="N211" s="315">
        <v>433.18</v>
      </c>
      <c r="O211" s="454">
        <v>12.19</v>
      </c>
      <c r="P211" s="454">
        <v>12.63</v>
      </c>
      <c r="Q211" s="454">
        <v>13.05</v>
      </c>
      <c r="R211" s="104">
        <v>7000</v>
      </c>
      <c r="S211" s="315">
        <v>450.63</v>
      </c>
      <c r="T211" s="454">
        <v>9.64</v>
      </c>
      <c r="U211" s="454">
        <v>10.039999999999999</v>
      </c>
      <c r="V211" s="454">
        <v>9.6300000000000008</v>
      </c>
      <c r="W211" s="5"/>
      <c r="X211" s="598">
        <v>7000</v>
      </c>
      <c r="Y211" s="592">
        <f t="shared" si="173"/>
        <v>1.099</v>
      </c>
      <c r="Z211" s="593">
        <v>9.6440000000000001</v>
      </c>
      <c r="AA211" s="593">
        <v>4.5170000000000003</v>
      </c>
      <c r="AB211" s="593">
        <f t="shared" si="174"/>
        <v>4.0279999999999996</v>
      </c>
      <c r="AC211" s="593">
        <f t="shared" si="175"/>
        <v>34.548000000000002</v>
      </c>
      <c r="AD211" s="653">
        <f t="shared" si="176"/>
        <v>9532.6933826879995</v>
      </c>
      <c r="AE211" s="598">
        <v>7000</v>
      </c>
      <c r="AF211" s="595">
        <f t="shared" si="177"/>
        <v>1.0033333333333334</v>
      </c>
      <c r="AG211" s="593">
        <v>9.6440000000000001</v>
      </c>
      <c r="AH211" s="593">
        <v>4.5170000000000003</v>
      </c>
      <c r="AI211" s="593">
        <f t="shared" si="178"/>
        <v>4.1236666666666668</v>
      </c>
      <c r="AJ211" s="593">
        <f t="shared" si="179"/>
        <v>34.452333333333335</v>
      </c>
      <c r="AK211" s="653">
        <f t="shared" si="180"/>
        <v>9732.0749309326657</v>
      </c>
      <c r="AL211" s="598">
        <v>7000</v>
      </c>
      <c r="AM211" s="595">
        <f t="shared" si="181"/>
        <v>1.2623333333333335</v>
      </c>
      <c r="AN211" s="593">
        <v>9.6440000000000001</v>
      </c>
      <c r="AO211" s="593">
        <v>4.5170000000000003</v>
      </c>
      <c r="AP211" s="593">
        <f t="shared" si="182"/>
        <v>3.8646666666666665</v>
      </c>
      <c r="AQ211" s="593">
        <f t="shared" si="183"/>
        <v>34.711333333333336</v>
      </c>
      <c r="AR211" s="698">
        <f t="shared" si="184"/>
        <v>9189.3879983546667</v>
      </c>
      <c r="AS211" s="598">
        <v>7000</v>
      </c>
      <c r="AT211" s="595">
        <f t="shared" si="185"/>
        <v>0.97700000000000009</v>
      </c>
      <c r="AU211" s="593">
        <v>9.6440000000000001</v>
      </c>
      <c r="AV211" s="593">
        <v>4.5170000000000003</v>
      </c>
      <c r="AW211" s="593">
        <f t="shared" si="186"/>
        <v>4.1499999999999995</v>
      </c>
      <c r="AX211" s="593">
        <f t="shared" si="187"/>
        <v>34.426000000000002</v>
      </c>
      <c r="AY211" s="698">
        <f t="shared" si="188"/>
        <v>9786.7368857999991</v>
      </c>
      <c r="AZ211" s="75"/>
      <c r="BA211" s="598">
        <v>7000</v>
      </c>
      <c r="BB211" s="593">
        <v>103.50685607036536</v>
      </c>
      <c r="BC211" s="667">
        <f>(BB216-BB217)/BB198</f>
        <v>1.2645539142935536</v>
      </c>
      <c r="BD211" s="714">
        <f>D211-BB214</f>
        <v>21.430000000000007</v>
      </c>
      <c r="BE211" s="667">
        <f>BB216-BB217</f>
        <v>130.88999999999999</v>
      </c>
      <c r="BF211" s="667">
        <f t="shared" si="189"/>
        <v>16.372526549010626</v>
      </c>
      <c r="BG211" s="668">
        <f t="shared" si="190"/>
        <v>20.703942534426513</v>
      </c>
      <c r="BH211" s="598">
        <v>7000</v>
      </c>
      <c r="BI211" s="593">
        <v>103.50685607036536</v>
      </c>
      <c r="BJ211" s="667">
        <f>(BI216-BI217)/BI198</f>
        <v>1.3427129880702737</v>
      </c>
      <c r="BK211" s="714">
        <f>I211-BI214</f>
        <v>22.249999999999943</v>
      </c>
      <c r="BL211" s="667">
        <f>BI216-BI217</f>
        <v>138.98000000000002</v>
      </c>
      <c r="BM211" s="667">
        <f t="shared" si="191"/>
        <v>16.009497769463188</v>
      </c>
      <c r="BN211" s="668">
        <f t="shared" si="192"/>
        <v>21.496160587540299</v>
      </c>
      <c r="BO211" s="598">
        <v>7000</v>
      </c>
      <c r="BP211" s="679">
        <v>103.50685607036536</v>
      </c>
      <c r="BQ211" s="667">
        <f>(BP216-BP217)/BP198</f>
        <v>1.2039782168176534</v>
      </c>
      <c r="BR211" s="714">
        <f>N211-BP214</f>
        <v>21.630000000000052</v>
      </c>
      <c r="BS211" s="667">
        <f>BP216-BP217</f>
        <v>124.61999999999999</v>
      </c>
      <c r="BT211" s="667">
        <f t="shared" si="193"/>
        <v>17.356764564275441</v>
      </c>
      <c r="BU211" s="710">
        <f t="shared" si="194"/>
        <v>20.89716644982018</v>
      </c>
      <c r="BV211" s="598">
        <v>7000</v>
      </c>
      <c r="BW211" s="593">
        <v>103.50685607036536</v>
      </c>
      <c r="BX211" s="667">
        <f>(BW216-BW217)/BW198</f>
        <v>1.3630014991866035</v>
      </c>
      <c r="BY211" s="714">
        <f>S211-BW214</f>
        <v>23.139999999999986</v>
      </c>
      <c r="BZ211" s="667">
        <f>BW216-BW217</f>
        <v>141.07999999999998</v>
      </c>
      <c r="CA211" s="667">
        <f t="shared" si="195"/>
        <v>16.402041394953208</v>
      </c>
      <c r="CB211" s="668">
        <f t="shared" si="196"/>
        <v>22.356007011041953</v>
      </c>
      <c r="CC211" s="560"/>
    </row>
    <row r="212" spans="1:81" ht="15.75">
      <c r="A212" s="5"/>
      <c r="B212" s="59" t="s">
        <v>116</v>
      </c>
      <c r="C212" s="98">
        <v>9000</v>
      </c>
      <c r="D212" s="67">
        <v>437.31</v>
      </c>
      <c r="E212" s="93">
        <v>11.84</v>
      </c>
      <c r="F212" s="93">
        <v>12.07</v>
      </c>
      <c r="G212" s="94">
        <v>12.67</v>
      </c>
      <c r="H212" s="104">
        <v>9000</v>
      </c>
      <c r="I212" s="63">
        <v>445.17</v>
      </c>
      <c r="J212" s="454">
        <v>11.01</v>
      </c>
      <c r="K212" s="454">
        <v>11.85</v>
      </c>
      <c r="L212" s="456">
        <v>10.99</v>
      </c>
      <c r="M212" s="104">
        <v>9000</v>
      </c>
      <c r="N212" s="315">
        <v>430.86</v>
      </c>
      <c r="O212" s="454">
        <v>13.44</v>
      </c>
      <c r="P212" s="454">
        <v>14.62</v>
      </c>
      <c r="Q212" s="454">
        <v>14.3</v>
      </c>
      <c r="R212" s="104">
        <v>9000</v>
      </c>
      <c r="S212" s="315">
        <v>448.27</v>
      </c>
      <c r="T212" s="454">
        <v>11.14</v>
      </c>
      <c r="U212" s="454">
        <v>11.48</v>
      </c>
      <c r="V212" s="454">
        <v>11.2</v>
      </c>
      <c r="W212" s="5"/>
      <c r="X212" s="598">
        <v>9000</v>
      </c>
      <c r="Y212" s="592">
        <f t="shared" si="173"/>
        <v>1.2193333333333334</v>
      </c>
      <c r="Z212" s="593">
        <v>9.6440000000000001</v>
      </c>
      <c r="AA212" s="593">
        <v>4.5170000000000003</v>
      </c>
      <c r="AB212" s="593">
        <f t="shared" si="174"/>
        <v>3.9076666666666666</v>
      </c>
      <c r="AC212" s="593">
        <f t="shared" si="175"/>
        <v>34.668333333333337</v>
      </c>
      <c r="AD212" s="653">
        <f t="shared" si="176"/>
        <v>15340.611237929999</v>
      </c>
      <c r="AE212" s="598">
        <v>9000</v>
      </c>
      <c r="AF212" s="595">
        <f t="shared" si="177"/>
        <v>1.1283333333333334</v>
      </c>
      <c r="AG212" s="593">
        <v>9.6440000000000001</v>
      </c>
      <c r="AH212" s="593">
        <v>4.5170000000000003</v>
      </c>
      <c r="AI212" s="593">
        <f t="shared" si="178"/>
        <v>3.9986666666666668</v>
      </c>
      <c r="AJ212" s="593">
        <f t="shared" si="179"/>
        <v>34.577333333333335</v>
      </c>
      <c r="AK212" s="653">
        <f t="shared" si="180"/>
        <v>15656.651663903998</v>
      </c>
      <c r="AL212" s="598">
        <v>9000</v>
      </c>
      <c r="AM212" s="595">
        <f t="shared" si="181"/>
        <v>1.4119999999999999</v>
      </c>
      <c r="AN212" s="593">
        <v>9.6440000000000001</v>
      </c>
      <c r="AO212" s="593">
        <v>4.5170000000000003</v>
      </c>
      <c r="AP212" s="593">
        <f t="shared" si="182"/>
        <v>3.7149999999999999</v>
      </c>
      <c r="AQ212" s="593">
        <f t="shared" si="183"/>
        <v>34.861000000000004</v>
      </c>
      <c r="AR212" s="698">
        <f t="shared" si="184"/>
        <v>14665.29654537</v>
      </c>
      <c r="AS212" s="598">
        <v>9000</v>
      </c>
      <c r="AT212" s="595">
        <f t="shared" si="185"/>
        <v>1.1273333333333333</v>
      </c>
      <c r="AU212" s="593">
        <v>9.6440000000000001</v>
      </c>
      <c r="AV212" s="593">
        <v>4.5170000000000003</v>
      </c>
      <c r="AW212" s="593">
        <f t="shared" si="186"/>
        <v>3.9996666666666663</v>
      </c>
      <c r="AX212" s="593">
        <f t="shared" si="187"/>
        <v>34.576333333333338</v>
      </c>
      <c r="AY212" s="698">
        <f t="shared" si="188"/>
        <v>15660.114217721999</v>
      </c>
      <c r="AZ212" s="75"/>
      <c r="BA212" s="598">
        <v>9000</v>
      </c>
      <c r="BB212" s="593">
        <v>103.50685607036536</v>
      </c>
      <c r="BC212" s="667">
        <f>(BB216-BB217)/BB198</f>
        <v>1.2645539142935536</v>
      </c>
      <c r="BD212" s="714">
        <f>D212-BB214</f>
        <v>18.879999999999995</v>
      </c>
      <c r="BE212" s="667">
        <f>BB216-BB217</f>
        <v>130.88999999999999</v>
      </c>
      <c r="BF212" s="667">
        <f t="shared" si="189"/>
        <v>14.424325769730306</v>
      </c>
      <c r="BG212" s="668">
        <f t="shared" si="190"/>
        <v>18.240337613157834</v>
      </c>
      <c r="BH212" s="598">
        <v>9000</v>
      </c>
      <c r="BI212" s="593">
        <v>103.50685607036536</v>
      </c>
      <c r="BJ212" s="667">
        <f>(BI216-BI217)/BI198</f>
        <v>1.3427129880702737</v>
      </c>
      <c r="BK212" s="714">
        <f>I212-BI214</f>
        <v>19.329999999999984</v>
      </c>
      <c r="BL212" s="667">
        <f>BI216-BI217</f>
        <v>138.98000000000002</v>
      </c>
      <c r="BM212" s="667">
        <f t="shared" si="191"/>
        <v>13.908476039717932</v>
      </c>
      <c r="BN212" s="668">
        <f t="shared" si="192"/>
        <v>18.675091422793471</v>
      </c>
      <c r="BO212" s="598">
        <v>9000</v>
      </c>
      <c r="BP212" s="679">
        <v>103.50685607036536</v>
      </c>
      <c r="BQ212" s="667">
        <f>(BP216-BP217)/BP198</f>
        <v>1.2039782168176534</v>
      </c>
      <c r="BR212" s="714">
        <f>N212-BP214</f>
        <v>19.310000000000059</v>
      </c>
      <c r="BS212" s="667">
        <f>BP216-BP217</f>
        <v>124.61999999999999</v>
      </c>
      <c r="BT212" s="667">
        <f t="shared" si="193"/>
        <v>15.495105119563521</v>
      </c>
      <c r="BU212" s="710">
        <f t="shared" si="194"/>
        <v>18.655769031254181</v>
      </c>
      <c r="BV212" s="598">
        <v>9000</v>
      </c>
      <c r="BW212" s="593">
        <v>103.50685607036536</v>
      </c>
      <c r="BX212" s="667">
        <f>(BW216-BW217)/BW198</f>
        <v>1.3630014991866035</v>
      </c>
      <c r="BY212" s="714">
        <f>S212-BW214</f>
        <v>20.779999999999973</v>
      </c>
      <c r="BZ212" s="667">
        <f>BW216-BW217</f>
        <v>141.07999999999998</v>
      </c>
      <c r="CA212" s="667">
        <f t="shared" si="195"/>
        <v>14.729231641621757</v>
      </c>
      <c r="CB212" s="668">
        <f t="shared" si="196"/>
        <v>20.075964809397213</v>
      </c>
      <c r="CC212" s="560"/>
    </row>
    <row r="213" spans="1:81" ht="15.75">
      <c r="A213" s="5"/>
      <c r="B213" s="60" t="s">
        <v>116</v>
      </c>
      <c r="C213" s="99">
        <v>10000</v>
      </c>
      <c r="D213" s="68">
        <v>435.73</v>
      </c>
      <c r="E213" s="95">
        <v>12.18</v>
      </c>
      <c r="F213" s="95">
        <v>12.59</v>
      </c>
      <c r="G213" s="96">
        <v>13.12</v>
      </c>
      <c r="H213" s="105">
        <v>10000</v>
      </c>
      <c r="I213" s="65">
        <v>443.78</v>
      </c>
      <c r="J213" s="458">
        <v>11.5</v>
      </c>
      <c r="K213" s="458">
        <v>12.4</v>
      </c>
      <c r="L213" s="459">
        <v>11.34</v>
      </c>
      <c r="M213" s="105">
        <v>10000</v>
      </c>
      <c r="N213" s="315">
        <v>429.35</v>
      </c>
      <c r="O213" s="315">
        <v>13.97</v>
      </c>
      <c r="P213" s="315">
        <v>15.06</v>
      </c>
      <c r="Q213" s="315">
        <v>14.74</v>
      </c>
      <c r="R213" s="105">
        <v>10000</v>
      </c>
      <c r="S213" s="315">
        <v>446.69</v>
      </c>
      <c r="T213" s="315">
        <v>11.39</v>
      </c>
      <c r="U213" s="315">
        <v>11.92</v>
      </c>
      <c r="V213" s="315">
        <v>11.3</v>
      </c>
      <c r="W213" s="5"/>
      <c r="X213" s="607">
        <v>10000</v>
      </c>
      <c r="Y213" s="608">
        <f t="shared" si="173"/>
        <v>1.2630000000000001</v>
      </c>
      <c r="Z213" s="609">
        <v>9.6440000000000001</v>
      </c>
      <c r="AA213" s="609">
        <v>4.5170000000000003</v>
      </c>
      <c r="AB213" s="609">
        <f t="shared" si="174"/>
        <v>3.8639999999999999</v>
      </c>
      <c r="AC213" s="609">
        <f t="shared" si="175"/>
        <v>34.712000000000003</v>
      </c>
      <c r="AD213" s="702">
        <f t="shared" si="176"/>
        <v>18750.978086400002</v>
      </c>
      <c r="AE213" s="607">
        <v>10000</v>
      </c>
      <c r="AF213" s="602">
        <f t="shared" si="177"/>
        <v>1.1746666666666665</v>
      </c>
      <c r="AG213" s="609">
        <v>9.6440000000000001</v>
      </c>
      <c r="AH213" s="609">
        <v>4.5170000000000003</v>
      </c>
      <c r="AI213" s="609">
        <f t="shared" si="178"/>
        <v>3.9523333333333337</v>
      </c>
      <c r="AJ213" s="609">
        <f t="shared" si="179"/>
        <v>34.623666666666672</v>
      </c>
      <c r="AK213" s="702">
        <f t="shared" si="180"/>
        <v>19130.829210066669</v>
      </c>
      <c r="AL213" s="607">
        <v>10000</v>
      </c>
      <c r="AM213" s="602">
        <f t="shared" si="181"/>
        <v>1.4590000000000001</v>
      </c>
      <c r="AN213" s="609">
        <v>9.6440000000000001</v>
      </c>
      <c r="AO213" s="609">
        <v>4.5170000000000003</v>
      </c>
      <c r="AP213" s="609">
        <f t="shared" si="182"/>
        <v>3.6679999999999993</v>
      </c>
      <c r="AQ213" s="609">
        <f t="shared" si="183"/>
        <v>34.908000000000008</v>
      </c>
      <c r="AR213" s="699">
        <f t="shared" si="184"/>
        <v>17900.347651199998</v>
      </c>
      <c r="AS213" s="607">
        <v>10000</v>
      </c>
      <c r="AT213" s="602">
        <f t="shared" si="185"/>
        <v>1.1536666666666666</v>
      </c>
      <c r="AU213" s="609">
        <v>9.6440000000000001</v>
      </c>
      <c r="AV213" s="609">
        <v>4.5170000000000003</v>
      </c>
      <c r="AW213" s="609">
        <f t="shared" si="186"/>
        <v>3.9733333333333327</v>
      </c>
      <c r="AX213" s="609">
        <f t="shared" si="187"/>
        <v>34.602666666666671</v>
      </c>
      <c r="AY213" s="699">
        <f t="shared" si="188"/>
        <v>19220.812458666664</v>
      </c>
      <c r="AZ213" s="75"/>
      <c r="BA213" s="607">
        <v>10000</v>
      </c>
      <c r="BB213" s="609">
        <v>103.50685607036536</v>
      </c>
      <c r="BC213" s="667">
        <f>(BB216-BB217)/BB198</f>
        <v>1.2645539142935536</v>
      </c>
      <c r="BD213" s="714">
        <f>D213-BB214</f>
        <v>17.300000000000011</v>
      </c>
      <c r="BE213" s="682">
        <f>BB216-BB217</f>
        <v>130.88999999999999</v>
      </c>
      <c r="BF213" s="682">
        <f t="shared" si="189"/>
        <v>13.217205286882125</v>
      </c>
      <c r="BG213" s="683">
        <f t="shared" si="190"/>
        <v>16.713868681548242</v>
      </c>
      <c r="BH213" s="607">
        <v>10000</v>
      </c>
      <c r="BI213" s="609">
        <v>103.50685607036536</v>
      </c>
      <c r="BJ213" s="667">
        <f>(BI216-BI217)/BI198</f>
        <v>1.3427129880702737</v>
      </c>
      <c r="BK213" s="714">
        <f>I213-BI214</f>
        <v>17.939999999999941</v>
      </c>
      <c r="BL213" s="682">
        <f>BI216-BI217</f>
        <v>138.98000000000002</v>
      </c>
      <c r="BM213" s="682">
        <f t="shared" si="191"/>
        <v>12.908332134119973</v>
      </c>
      <c r="BN213" s="683">
        <f t="shared" si="192"/>
        <v>17.332185210807761</v>
      </c>
      <c r="BO213" s="607">
        <v>10000</v>
      </c>
      <c r="BP213" s="684">
        <v>103.50685607036536</v>
      </c>
      <c r="BQ213" s="667">
        <f>(BP216-BP217)/BP198</f>
        <v>1.2039782168176534</v>
      </c>
      <c r="BR213" s="714">
        <f>N213-BP214</f>
        <v>17.800000000000068</v>
      </c>
      <c r="BS213" s="682">
        <f>BP216-BP217</f>
        <v>124.61999999999999</v>
      </c>
      <c r="BT213" s="682">
        <f t="shared" si="193"/>
        <v>14.283421601669129</v>
      </c>
      <c r="BU213" s="711">
        <f t="shared" si="194"/>
        <v>17.196928470032351</v>
      </c>
      <c r="BV213" s="607">
        <v>10000</v>
      </c>
      <c r="BW213" s="609">
        <v>103.50685607036536</v>
      </c>
      <c r="BX213" s="667">
        <f>(BW216-BW217)/BW198</f>
        <v>1.3630014991866035</v>
      </c>
      <c r="BY213" s="714">
        <f>S213-BW214</f>
        <v>19.199999999999989</v>
      </c>
      <c r="BZ213" s="682">
        <f>BW216-BW217</f>
        <v>141.07999999999998</v>
      </c>
      <c r="CA213" s="682">
        <f t="shared" si="195"/>
        <v>13.609299688120208</v>
      </c>
      <c r="CB213" s="683">
        <f t="shared" si="196"/>
        <v>18.549495877787621</v>
      </c>
      <c r="CC213" s="560"/>
    </row>
    <row r="214" spans="1:81" ht="45">
      <c r="D214" s="72"/>
      <c r="X214" s="560"/>
      <c r="Y214" s="560"/>
      <c r="Z214" s="560"/>
      <c r="AA214" s="560"/>
      <c r="AB214" s="560"/>
      <c r="AC214" s="560"/>
      <c r="AD214" s="560"/>
      <c r="AE214" s="559"/>
      <c r="AF214" s="559"/>
      <c r="AG214" s="559"/>
      <c r="AH214" s="559"/>
      <c r="AI214" s="559"/>
      <c r="AJ214" s="559"/>
      <c r="AK214" s="559"/>
      <c r="AL214" s="560"/>
      <c r="AM214" s="560"/>
      <c r="AN214" s="559"/>
      <c r="AO214" s="559"/>
      <c r="AP214" s="560"/>
      <c r="AQ214" s="560"/>
      <c r="AR214" s="560"/>
      <c r="AS214" s="560"/>
      <c r="AT214" s="560"/>
      <c r="AU214" s="560"/>
      <c r="AV214" s="560"/>
      <c r="AW214" s="560"/>
      <c r="AX214" s="560"/>
      <c r="AY214" s="560"/>
      <c r="AZ214" s="791" t="s">
        <v>144</v>
      </c>
      <c r="BA214" s="709" t="s">
        <v>1047</v>
      </c>
      <c r="BB214" s="565">
        <f>BB216+BB215</f>
        <v>418.43</v>
      </c>
      <c r="BC214" s="559"/>
      <c r="BD214" s="559"/>
      <c r="BE214" s="559"/>
      <c r="BF214" s="559"/>
      <c r="BG214" s="559"/>
      <c r="BH214" s="709" t="s">
        <v>1047</v>
      </c>
      <c r="BI214" s="565">
        <f>BI216+BI215</f>
        <v>425.84000000000003</v>
      </c>
      <c r="BJ214" s="559"/>
      <c r="BK214" s="569"/>
      <c r="BL214" s="569"/>
      <c r="BM214" s="569"/>
      <c r="BN214" s="569"/>
      <c r="BO214" s="709" t="s">
        <v>1047</v>
      </c>
      <c r="BP214" s="697">
        <f>BP215+BP216</f>
        <v>411.54999999999995</v>
      </c>
      <c r="BQ214" s="560"/>
      <c r="BR214" s="559"/>
      <c r="BS214" s="559"/>
      <c r="BT214" s="559"/>
      <c r="BU214" s="559"/>
      <c r="BV214" s="709" t="s">
        <v>1047</v>
      </c>
      <c r="BW214" s="697">
        <f>BW215+BW216</f>
        <v>427.49</v>
      </c>
      <c r="BX214" s="560"/>
      <c r="BY214" s="560"/>
      <c r="BZ214" s="560"/>
      <c r="CA214" s="560"/>
      <c r="CB214" s="560"/>
      <c r="CC214" s="560"/>
    </row>
    <row r="215" spans="1:81">
      <c r="X215" s="560"/>
      <c r="Y215" s="560"/>
      <c r="Z215" s="560"/>
      <c r="AA215" s="560"/>
      <c r="AB215" s="560"/>
      <c r="AC215" s="560"/>
      <c r="AD215" s="560"/>
      <c r="AE215" s="559"/>
      <c r="AF215" s="559"/>
      <c r="AG215" s="559"/>
      <c r="AH215" s="559"/>
      <c r="AI215" s="559"/>
      <c r="AJ215" s="559"/>
      <c r="AK215" s="559"/>
      <c r="AL215" s="560"/>
      <c r="AM215" s="560"/>
      <c r="AN215" s="559"/>
      <c r="AO215" s="559"/>
      <c r="AP215" s="560"/>
      <c r="AQ215" s="560"/>
      <c r="AR215" s="560"/>
      <c r="AS215" s="560"/>
      <c r="AT215" s="560"/>
      <c r="AU215" s="560"/>
      <c r="AV215" s="560"/>
      <c r="AW215" s="560"/>
      <c r="AX215" s="560"/>
      <c r="AY215" s="560"/>
      <c r="AZ215" s="791"/>
      <c r="BA215" s="655" t="s">
        <v>1048</v>
      </c>
      <c r="BB215" s="569">
        <v>215.12</v>
      </c>
      <c r="BC215" s="559"/>
      <c r="BD215" s="559"/>
      <c r="BE215" s="559"/>
      <c r="BF215" s="559"/>
      <c r="BG215" s="559"/>
      <c r="BH215" s="655" t="s">
        <v>1048</v>
      </c>
      <c r="BI215" s="569">
        <v>215.03</v>
      </c>
      <c r="BJ215" s="559"/>
      <c r="BK215" s="569"/>
      <c r="BL215" s="569"/>
      <c r="BM215" s="569"/>
      <c r="BN215" s="569"/>
      <c r="BO215" s="655" t="s">
        <v>1048</v>
      </c>
      <c r="BP215" s="559">
        <v>214.88</v>
      </c>
      <c r="BQ215" s="560"/>
      <c r="BR215" s="559"/>
      <c r="BS215" s="559"/>
      <c r="BT215" s="620"/>
      <c r="BU215" s="620"/>
      <c r="BV215" s="655" t="s">
        <v>1048</v>
      </c>
      <c r="BW215" s="559">
        <v>214.58</v>
      </c>
      <c r="BX215" s="560"/>
      <c r="BY215" s="560"/>
      <c r="BZ215" s="560"/>
      <c r="CA215" s="560"/>
      <c r="CB215" s="560"/>
      <c r="CC215" s="560"/>
    </row>
    <row r="216" spans="1:81">
      <c r="X216" s="560"/>
      <c r="Y216" s="560"/>
      <c r="Z216" s="560"/>
      <c r="AA216" s="560"/>
      <c r="AB216" s="560"/>
      <c r="AC216" s="560"/>
      <c r="AD216" s="560"/>
      <c r="AE216" s="559"/>
      <c r="AF216" s="559"/>
      <c r="AG216" s="559"/>
      <c r="AH216" s="559"/>
      <c r="AI216" s="559"/>
      <c r="AJ216" s="559"/>
      <c r="AK216" s="559"/>
      <c r="AL216" s="560"/>
      <c r="AM216" s="560"/>
      <c r="AN216" s="559"/>
      <c r="AO216" s="559"/>
      <c r="AP216" s="560"/>
      <c r="AQ216" s="560"/>
      <c r="AR216" s="560"/>
      <c r="AS216" s="560"/>
      <c r="AT216" s="560"/>
      <c r="AU216" s="560"/>
      <c r="AV216" s="560"/>
      <c r="AW216" s="560"/>
      <c r="AX216" s="560"/>
      <c r="AY216" s="560"/>
      <c r="AZ216" s="791"/>
      <c r="BA216" s="655" t="s">
        <v>1049</v>
      </c>
      <c r="BB216" s="713">
        <v>203.31</v>
      </c>
      <c r="BC216" s="559"/>
      <c r="BD216" s="559"/>
      <c r="BE216" s="559"/>
      <c r="BF216" s="559"/>
      <c r="BG216" s="559"/>
      <c r="BH216" s="655" t="s">
        <v>1049</v>
      </c>
      <c r="BI216" s="565">
        <v>210.81</v>
      </c>
      <c r="BJ216" s="559"/>
      <c r="BK216" s="569"/>
      <c r="BL216" s="569"/>
      <c r="BM216" s="569"/>
      <c r="BN216" s="569"/>
      <c r="BO216" s="655" t="s">
        <v>1049</v>
      </c>
      <c r="BP216" s="697">
        <v>196.67</v>
      </c>
      <c r="BQ216" s="560"/>
      <c r="BR216" s="559"/>
      <c r="BS216" s="559"/>
      <c r="BT216" s="620"/>
      <c r="BU216" s="620"/>
      <c r="BV216" s="655" t="s">
        <v>1049</v>
      </c>
      <c r="BW216" s="697">
        <v>212.91</v>
      </c>
      <c r="BX216" s="560"/>
      <c r="BY216" s="560"/>
      <c r="BZ216" s="560"/>
      <c r="CA216" s="560"/>
      <c r="CB216" s="560"/>
      <c r="CC216" s="560"/>
    </row>
    <row r="217" spans="1:81">
      <c r="X217" s="560"/>
      <c r="Y217" s="560"/>
      <c r="Z217" s="560"/>
      <c r="AA217" s="560"/>
      <c r="AB217" s="560"/>
      <c r="AC217" s="560"/>
      <c r="AD217" s="560"/>
      <c r="AE217" s="559"/>
      <c r="AF217" s="559"/>
      <c r="AG217" s="559"/>
      <c r="AH217" s="559"/>
      <c r="AI217" s="559"/>
      <c r="AJ217" s="559"/>
      <c r="AK217" s="559"/>
      <c r="AL217" s="560"/>
      <c r="AM217" s="560"/>
      <c r="AN217" s="559"/>
      <c r="AO217" s="559"/>
      <c r="AP217" s="560"/>
      <c r="AQ217" s="560"/>
      <c r="AR217" s="560"/>
      <c r="AS217" s="560"/>
      <c r="AT217" s="560"/>
      <c r="AU217" s="560"/>
      <c r="AV217" s="560"/>
      <c r="AW217" s="560"/>
      <c r="AX217" s="560"/>
      <c r="AY217" s="560"/>
      <c r="AZ217" s="791"/>
      <c r="BA217" s="655" t="s">
        <v>1050</v>
      </c>
      <c r="BB217" s="569">
        <v>72.42</v>
      </c>
      <c r="BC217" s="559"/>
      <c r="BD217" s="560"/>
      <c r="BE217" s="560"/>
      <c r="BF217" s="560"/>
      <c r="BG217" s="560"/>
      <c r="BH217" s="655" t="s">
        <v>1050</v>
      </c>
      <c r="BI217" s="569">
        <v>71.83</v>
      </c>
      <c r="BJ217" s="559"/>
      <c r="BK217" s="560"/>
      <c r="BL217" s="560"/>
      <c r="BM217" s="560"/>
      <c r="BN217" s="560"/>
      <c r="BO217" s="655" t="s">
        <v>1050</v>
      </c>
      <c r="BP217" s="559">
        <v>72.05</v>
      </c>
      <c r="BQ217" s="560"/>
      <c r="BR217" s="560"/>
      <c r="BS217" s="560"/>
      <c r="BT217" s="560"/>
      <c r="BU217" s="560"/>
      <c r="BV217" s="655" t="s">
        <v>1050</v>
      </c>
      <c r="BW217" s="559">
        <v>71.83</v>
      </c>
      <c r="BX217" s="560"/>
      <c r="BY217" s="560"/>
      <c r="BZ217" s="560"/>
      <c r="CA217" s="560"/>
      <c r="CB217" s="560"/>
      <c r="CC217" s="560"/>
    </row>
    <row r="218" spans="1:81">
      <c r="X218" s="560"/>
      <c r="Y218" s="560"/>
      <c r="Z218" s="560"/>
      <c r="AA218" s="560"/>
      <c r="AB218" s="560"/>
      <c r="AC218" s="560"/>
      <c r="AD218" s="560"/>
      <c r="AE218" s="559"/>
      <c r="AF218" s="559"/>
      <c r="AG218" s="559"/>
      <c r="AH218" s="559"/>
      <c r="AI218" s="559"/>
      <c r="AJ218" s="559"/>
      <c r="AK218" s="559"/>
      <c r="AL218" s="560"/>
      <c r="AM218" s="560"/>
      <c r="AN218" s="559"/>
      <c r="AO218" s="559"/>
      <c r="AP218" s="560"/>
      <c r="AQ218" s="560"/>
      <c r="AR218" s="560"/>
      <c r="AS218" s="560"/>
      <c r="AT218" s="560"/>
      <c r="AU218" s="560"/>
      <c r="AV218" s="560"/>
      <c r="AW218" s="560"/>
      <c r="AX218" s="560"/>
      <c r="AY218" s="560"/>
      <c r="BA218" s="560"/>
      <c r="BB218" s="560"/>
      <c r="BC218" s="559"/>
      <c r="BD218" s="560"/>
      <c r="BE218" s="560"/>
      <c r="BF218" s="560"/>
      <c r="BG218" s="560"/>
      <c r="BH218" s="560"/>
      <c r="BI218" s="560"/>
      <c r="BJ218" s="559"/>
      <c r="BK218" s="560"/>
      <c r="BL218" s="560"/>
      <c r="BM218" s="560"/>
      <c r="BN218" s="560"/>
      <c r="BO218" s="560"/>
      <c r="BP218" s="560"/>
      <c r="BQ218" s="560"/>
      <c r="BR218" s="560"/>
      <c r="BS218" s="560"/>
      <c r="BT218" s="560"/>
      <c r="BU218" s="560"/>
      <c r="BV218" s="560"/>
      <c r="BW218" s="560"/>
      <c r="BX218" s="560"/>
      <c r="BY218" s="560"/>
      <c r="BZ218" s="560"/>
      <c r="CA218" s="560"/>
      <c r="CB218" s="560"/>
      <c r="CC218" s="560"/>
    </row>
    <row r="219" spans="1:81" ht="18.75">
      <c r="A219" s="70" t="s">
        <v>781</v>
      </c>
      <c r="B219" s="71"/>
      <c r="X219" s="560"/>
      <c r="Y219" s="560"/>
      <c r="Z219" s="560"/>
      <c r="AA219" s="560"/>
      <c r="AB219" s="560"/>
      <c r="AC219" s="560"/>
      <c r="AD219" s="560"/>
      <c r="AE219" s="559"/>
      <c r="AF219" s="559"/>
      <c r="AG219" s="559"/>
      <c r="AH219" s="559"/>
      <c r="AI219" s="559"/>
      <c r="AJ219" s="559"/>
      <c r="AK219" s="559"/>
      <c r="AL219" s="560"/>
      <c r="AM219" s="560"/>
      <c r="AN219" s="559"/>
      <c r="AO219" s="559"/>
      <c r="AP219" s="560"/>
      <c r="AQ219" s="560"/>
      <c r="AR219" s="560"/>
      <c r="AS219" s="560"/>
      <c r="AT219" s="560"/>
      <c r="AU219" s="560"/>
      <c r="AV219" s="560"/>
      <c r="AW219" s="560"/>
      <c r="AX219" s="560"/>
      <c r="AY219" s="560"/>
      <c r="BA219" s="560"/>
      <c r="BB219" s="560"/>
      <c r="BC219" s="559"/>
      <c r="BD219" s="560"/>
      <c r="BE219" s="560"/>
      <c r="BF219" s="560"/>
      <c r="BG219" s="560"/>
      <c r="BH219" s="560"/>
      <c r="BI219" s="560"/>
      <c r="BJ219" s="559"/>
      <c r="BK219" s="560"/>
      <c r="BL219" s="560"/>
      <c r="BM219" s="560"/>
      <c r="BN219" s="560"/>
      <c r="BO219" s="560"/>
      <c r="BP219" s="560"/>
      <c r="BQ219" s="560"/>
      <c r="BR219" s="560"/>
      <c r="BS219" s="560"/>
      <c r="BT219" s="560"/>
      <c r="BU219" s="560"/>
      <c r="BV219" s="560"/>
      <c r="BW219" s="560"/>
      <c r="BX219" s="560"/>
      <c r="BY219" s="560"/>
      <c r="BZ219" s="560"/>
      <c r="CA219" s="560"/>
      <c r="CB219" s="560"/>
      <c r="CC219" s="560"/>
    </row>
    <row r="220" spans="1:81" ht="18.75">
      <c r="A220" s="804" t="s">
        <v>782</v>
      </c>
      <c r="B220" s="804"/>
      <c r="C220" s="804"/>
      <c r="D220" s="804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89"/>
      <c r="P220" s="89"/>
      <c r="Q220" s="89"/>
      <c r="R220" s="90"/>
      <c r="S220" s="90"/>
      <c r="T220" s="90"/>
      <c r="U220" s="90"/>
      <c r="V220" s="90"/>
      <c r="W220" s="90"/>
      <c r="X220" s="613"/>
      <c r="Y220" s="613"/>
      <c r="Z220" s="613"/>
      <c r="AA220" s="613"/>
      <c r="AB220" s="613"/>
      <c r="AC220" s="613"/>
      <c r="AD220" s="613"/>
      <c r="AE220" s="614"/>
      <c r="AF220" s="614"/>
      <c r="AG220" s="614"/>
      <c r="AH220" s="614"/>
      <c r="AI220" s="614"/>
      <c r="AJ220" s="614"/>
      <c r="AK220" s="614"/>
      <c r="AL220" s="613"/>
      <c r="AM220" s="613"/>
      <c r="AN220" s="614"/>
      <c r="AO220" s="614"/>
      <c r="AP220" s="613"/>
      <c r="AQ220" s="613"/>
      <c r="AR220" s="613"/>
      <c r="AS220" s="613"/>
      <c r="AT220" s="613"/>
      <c r="AU220" s="613"/>
      <c r="AV220" s="613"/>
      <c r="AW220" s="613"/>
      <c r="AX220" s="613"/>
      <c r="AY220" s="613"/>
      <c r="AZ220" s="89"/>
      <c r="BA220" s="613"/>
      <c r="BB220" s="613"/>
      <c r="BC220" s="614"/>
      <c r="BD220" s="613"/>
      <c r="BE220" s="613"/>
      <c r="BF220" s="613"/>
      <c r="BG220" s="613"/>
      <c r="BH220" s="613"/>
      <c r="BI220" s="613"/>
      <c r="BJ220" s="614"/>
      <c r="BK220" s="613"/>
      <c r="BL220" s="613"/>
      <c r="BM220" s="613"/>
      <c r="BN220" s="613"/>
      <c r="BO220" s="613"/>
      <c r="BP220" s="613"/>
      <c r="BQ220" s="613"/>
      <c r="BR220" s="613"/>
      <c r="BS220" s="613"/>
      <c r="BT220" s="613"/>
      <c r="BU220" s="613"/>
      <c r="BV220" s="613"/>
      <c r="BW220" s="613"/>
      <c r="BX220" s="613"/>
      <c r="BY220" s="613"/>
      <c r="BZ220" s="613"/>
      <c r="CA220" s="613"/>
      <c r="CB220" s="613"/>
      <c r="CC220" s="560"/>
    </row>
    <row r="221" spans="1:81">
      <c r="X221" s="560"/>
      <c r="Y221" s="560"/>
      <c r="Z221" s="560"/>
      <c r="AA221" s="560"/>
      <c r="AB221" s="560"/>
      <c r="AC221" s="560"/>
      <c r="AD221" s="560"/>
      <c r="AE221" s="559"/>
      <c r="AF221" s="559"/>
      <c r="AG221" s="559"/>
      <c r="AH221" s="559"/>
      <c r="AI221" s="559"/>
      <c r="AJ221" s="559"/>
      <c r="AK221" s="559"/>
      <c r="AL221" s="560"/>
      <c r="AM221" s="560"/>
      <c r="AN221" s="559"/>
      <c r="AO221" s="559"/>
      <c r="AP221" s="560"/>
      <c r="AQ221" s="560"/>
      <c r="AR221" s="560"/>
      <c r="AS221" s="560"/>
      <c r="AT221" s="560"/>
      <c r="AU221" s="560"/>
      <c r="AV221" s="560"/>
      <c r="AW221" s="560"/>
      <c r="AX221" s="560"/>
      <c r="AY221" s="560"/>
      <c r="BA221" s="560"/>
      <c r="BB221" s="560"/>
      <c r="BC221" s="559"/>
      <c r="BD221" s="560"/>
      <c r="BE221" s="560"/>
      <c r="BF221" s="560"/>
      <c r="BG221" s="560"/>
      <c r="BH221" s="560"/>
      <c r="BI221" s="560"/>
      <c r="BJ221" s="559"/>
      <c r="BK221" s="560"/>
      <c r="BL221" s="560"/>
      <c r="BM221" s="560"/>
      <c r="BN221" s="560"/>
      <c r="BO221" s="560"/>
      <c r="BP221" s="560"/>
      <c r="BQ221" s="560"/>
      <c r="BR221" s="560"/>
      <c r="BS221" s="560"/>
      <c r="BT221" s="560"/>
      <c r="BU221" s="560"/>
      <c r="BV221" s="560"/>
      <c r="BW221" s="560"/>
      <c r="BX221" s="560"/>
      <c r="BY221" s="560"/>
      <c r="BZ221" s="560"/>
      <c r="CA221" s="560"/>
      <c r="CB221" s="560"/>
      <c r="CC221" s="560"/>
    </row>
    <row r="222" spans="1:81">
      <c r="A222" s="447" t="s">
        <v>134</v>
      </c>
      <c r="B222" s="253" t="s">
        <v>124</v>
      </c>
      <c r="C222" s="254" t="s">
        <v>119</v>
      </c>
      <c r="D222" s="255" t="s">
        <v>111</v>
      </c>
      <c r="E222" s="73"/>
      <c r="F222" s="73"/>
      <c r="G222" s="78"/>
      <c r="H222" s="253" t="s">
        <v>124</v>
      </c>
      <c r="I222" s="255" t="s">
        <v>119</v>
      </c>
      <c r="J222" s="255" t="s">
        <v>111</v>
      </c>
      <c r="K222" s="73"/>
      <c r="L222" s="73"/>
      <c r="M222" s="79" t="s">
        <v>124</v>
      </c>
      <c r="N222" s="255" t="s">
        <v>119</v>
      </c>
      <c r="O222" s="254" t="s">
        <v>111</v>
      </c>
      <c r="R222" s="79" t="s">
        <v>124</v>
      </c>
      <c r="S222" s="255" t="s">
        <v>119</v>
      </c>
      <c r="T222" s="255" t="s">
        <v>111</v>
      </c>
      <c r="U222" s="73"/>
      <c r="V222" s="73"/>
      <c r="W222" s="447" t="s">
        <v>133</v>
      </c>
      <c r="X222" s="571" t="s">
        <v>124</v>
      </c>
      <c r="Y222" s="642" t="s">
        <v>119</v>
      </c>
      <c r="Z222" s="642" t="s">
        <v>111</v>
      </c>
      <c r="AA222" s="569"/>
      <c r="AB222" s="569"/>
      <c r="AC222" s="569"/>
      <c r="AD222" s="570"/>
      <c r="AE222" s="640" t="s">
        <v>124</v>
      </c>
      <c r="AF222" s="642" t="s">
        <v>119</v>
      </c>
      <c r="AG222" s="642" t="s">
        <v>111</v>
      </c>
      <c r="AH222" s="569"/>
      <c r="AI222" s="569"/>
      <c r="AJ222" s="569"/>
      <c r="AK222" s="570"/>
      <c r="AL222" s="571" t="s">
        <v>124</v>
      </c>
      <c r="AM222" s="642" t="s">
        <v>119</v>
      </c>
      <c r="AN222" s="642" t="s">
        <v>111</v>
      </c>
      <c r="AO222" s="569"/>
      <c r="AP222" s="569"/>
      <c r="AQ222" s="569"/>
      <c r="AR222" s="700"/>
      <c r="AS222" s="571" t="s">
        <v>124</v>
      </c>
      <c r="AT222" s="642" t="s">
        <v>119</v>
      </c>
      <c r="AU222" s="642" t="s">
        <v>111</v>
      </c>
      <c r="AV222" s="569"/>
      <c r="AW222" s="569"/>
      <c r="AX222" s="569"/>
      <c r="AY222" s="700"/>
      <c r="AZ222" s="447" t="s">
        <v>141</v>
      </c>
      <c r="BA222" s="640" t="s">
        <v>124</v>
      </c>
      <c r="BB222" s="642" t="s">
        <v>119</v>
      </c>
      <c r="BC222" s="642" t="s">
        <v>111</v>
      </c>
      <c r="BD222" s="569"/>
      <c r="BE222" s="569"/>
      <c r="BF222" s="569"/>
      <c r="BG222" s="569"/>
      <c r="BH222" s="640" t="s">
        <v>124</v>
      </c>
      <c r="BI222" s="641" t="s">
        <v>119</v>
      </c>
      <c r="BJ222" s="641" t="s">
        <v>111</v>
      </c>
      <c r="BK222" s="569"/>
      <c r="BL222" s="569"/>
      <c r="BM222" s="569"/>
      <c r="BN222" s="569"/>
      <c r="BO222" s="571" t="s">
        <v>124</v>
      </c>
      <c r="BP222" s="642" t="s">
        <v>119</v>
      </c>
      <c r="BQ222" s="642" t="s">
        <v>111</v>
      </c>
      <c r="BR222" s="560"/>
      <c r="BS222" s="569"/>
      <c r="BT222" s="569"/>
      <c r="BU222" s="569"/>
      <c r="BV222" s="672" t="s">
        <v>124</v>
      </c>
      <c r="BW222" s="641" t="s">
        <v>119</v>
      </c>
      <c r="BX222" s="641" t="s">
        <v>111</v>
      </c>
      <c r="BY222" s="559"/>
      <c r="BZ222" s="559"/>
      <c r="CA222" s="559"/>
      <c r="CB222" s="570"/>
      <c r="CC222" s="560"/>
    </row>
    <row r="223" spans="1:81">
      <c r="A223" s="80"/>
      <c r="B223" s="81" t="s">
        <v>100</v>
      </c>
      <c r="C223" s="86" t="s">
        <v>783</v>
      </c>
      <c r="D223" s="82" t="s">
        <v>112</v>
      </c>
      <c r="E223" s="73"/>
      <c r="F223" s="73"/>
      <c r="G223" s="78"/>
      <c r="H223" s="81" t="s">
        <v>100</v>
      </c>
      <c r="I223" s="86" t="s">
        <v>783</v>
      </c>
      <c r="J223" s="256" t="s">
        <v>114</v>
      </c>
      <c r="K223" s="73"/>
      <c r="L223" s="73"/>
      <c r="M223" s="81" t="s">
        <v>100</v>
      </c>
      <c r="N223" s="86" t="s">
        <v>784</v>
      </c>
      <c r="O223" s="257" t="s">
        <v>4</v>
      </c>
      <c r="R223" s="81" t="s">
        <v>100</v>
      </c>
      <c r="S223" s="86" t="s">
        <v>784</v>
      </c>
      <c r="T223" s="256" t="s">
        <v>114</v>
      </c>
      <c r="U223" s="813"/>
      <c r="V223" s="813"/>
      <c r="W223" s="80"/>
      <c r="X223" s="572" t="s">
        <v>100</v>
      </c>
      <c r="Y223" s="573" t="s">
        <v>783</v>
      </c>
      <c r="Z223" s="574" t="s">
        <v>112</v>
      </c>
      <c r="AA223" s="569"/>
      <c r="AB223" s="569"/>
      <c r="AC223" s="569"/>
      <c r="AD223" s="570"/>
      <c r="AE223" s="572" t="s">
        <v>100</v>
      </c>
      <c r="AF223" s="573" t="s">
        <v>783</v>
      </c>
      <c r="AG223" s="643" t="s">
        <v>114</v>
      </c>
      <c r="AH223" s="569"/>
      <c r="AI223" s="569"/>
      <c r="AJ223" s="569"/>
      <c r="AK223" s="570"/>
      <c r="AL223" s="572" t="s">
        <v>100</v>
      </c>
      <c r="AM223" s="573" t="s">
        <v>784</v>
      </c>
      <c r="AN223" s="645" t="s">
        <v>4</v>
      </c>
      <c r="AO223" s="569"/>
      <c r="AP223" s="569"/>
      <c r="AQ223" s="569"/>
      <c r="AR223" s="700"/>
      <c r="AS223" s="572" t="s">
        <v>100</v>
      </c>
      <c r="AT223" s="573" t="s">
        <v>784</v>
      </c>
      <c r="AU223" s="643" t="s">
        <v>114</v>
      </c>
      <c r="AV223" s="801"/>
      <c r="AW223" s="801"/>
      <c r="AX223" s="569"/>
      <c r="AY223" s="700"/>
      <c r="AZ223" s="80"/>
      <c r="BA223" s="572" t="s">
        <v>100</v>
      </c>
      <c r="BB223" s="573" t="s">
        <v>783</v>
      </c>
      <c r="BC223" s="574" t="s">
        <v>112</v>
      </c>
      <c r="BD223" s="569"/>
      <c r="BE223" s="569"/>
      <c r="BF223" s="673"/>
      <c r="BG223" s="674"/>
      <c r="BH223" s="572" t="s">
        <v>100</v>
      </c>
      <c r="BI223" s="573" t="s">
        <v>783</v>
      </c>
      <c r="BJ223" s="643" t="s">
        <v>114</v>
      </c>
      <c r="BK223" s="569" t="s">
        <v>143</v>
      </c>
      <c r="BL223" s="569"/>
      <c r="BM223" s="569"/>
      <c r="BN223" s="569"/>
      <c r="BO223" s="572" t="s">
        <v>100</v>
      </c>
      <c r="BP223" s="573" t="s">
        <v>784</v>
      </c>
      <c r="BQ223" s="645" t="s">
        <v>4</v>
      </c>
      <c r="BR223" s="560"/>
      <c r="BS223" s="569"/>
      <c r="BT223" s="569"/>
      <c r="BU223" s="569"/>
      <c r="BV223" s="572" t="s">
        <v>100</v>
      </c>
      <c r="BW223" s="573" t="s">
        <v>784</v>
      </c>
      <c r="BX223" s="643" t="s">
        <v>114</v>
      </c>
      <c r="BY223" s="814"/>
      <c r="BZ223" s="814"/>
      <c r="CA223" s="559"/>
      <c r="CB223" s="570"/>
      <c r="CC223" s="560"/>
    </row>
    <row r="224" spans="1:81" ht="63">
      <c r="A224" s="5"/>
      <c r="B224" s="448" t="s">
        <v>122</v>
      </c>
      <c r="C224" s="449" t="s">
        <v>121</v>
      </c>
      <c r="D224" s="450" t="s">
        <v>125</v>
      </c>
      <c r="E224" s="796" t="s">
        <v>1017</v>
      </c>
      <c r="F224" s="796"/>
      <c r="G224" s="797"/>
      <c r="H224" s="451" t="s">
        <v>121</v>
      </c>
      <c r="I224" s="450" t="s">
        <v>125</v>
      </c>
      <c r="J224" s="796" t="s">
        <v>1017</v>
      </c>
      <c r="K224" s="796"/>
      <c r="L224" s="797"/>
      <c r="M224" s="451" t="s">
        <v>121</v>
      </c>
      <c r="N224" s="450" t="s">
        <v>125</v>
      </c>
      <c r="O224" s="796" t="s">
        <v>1017</v>
      </c>
      <c r="P224" s="796"/>
      <c r="Q224" s="797"/>
      <c r="R224" s="451" t="s">
        <v>121</v>
      </c>
      <c r="S224" s="450" t="s">
        <v>125</v>
      </c>
      <c r="T224" s="796" t="s">
        <v>1017</v>
      </c>
      <c r="U224" s="796"/>
      <c r="V224" s="797"/>
      <c r="W224" s="5"/>
      <c r="X224" s="582" t="s">
        <v>121</v>
      </c>
      <c r="Y224" s="584" t="s">
        <v>126</v>
      </c>
      <c r="Z224" s="583" t="s">
        <v>127</v>
      </c>
      <c r="AA224" s="583" t="s">
        <v>128</v>
      </c>
      <c r="AB224" s="583" t="s">
        <v>129</v>
      </c>
      <c r="AC224" s="583" t="s">
        <v>130</v>
      </c>
      <c r="AD224" s="706" t="s">
        <v>131</v>
      </c>
      <c r="AE224" s="582" t="s">
        <v>121</v>
      </c>
      <c r="AF224" s="583" t="s">
        <v>126</v>
      </c>
      <c r="AG224" s="583" t="s">
        <v>127</v>
      </c>
      <c r="AH224" s="583" t="s">
        <v>128</v>
      </c>
      <c r="AI224" s="583" t="s">
        <v>129</v>
      </c>
      <c r="AJ224" s="583" t="s">
        <v>130</v>
      </c>
      <c r="AK224" s="701" t="s">
        <v>131</v>
      </c>
      <c r="AL224" s="582" t="s">
        <v>121</v>
      </c>
      <c r="AM224" s="583" t="s">
        <v>126</v>
      </c>
      <c r="AN224" s="583" t="s">
        <v>127</v>
      </c>
      <c r="AO224" s="583" t="s">
        <v>128</v>
      </c>
      <c r="AP224" s="583" t="s">
        <v>129</v>
      </c>
      <c r="AQ224" s="583" t="s">
        <v>130</v>
      </c>
      <c r="AR224" s="696" t="s">
        <v>131</v>
      </c>
      <c r="AS224" s="582" t="s">
        <v>121</v>
      </c>
      <c r="AT224" s="583" t="s">
        <v>126</v>
      </c>
      <c r="AU224" s="695" t="s">
        <v>127</v>
      </c>
      <c r="AV224" s="695" t="s">
        <v>128</v>
      </c>
      <c r="AW224" s="583" t="s">
        <v>129</v>
      </c>
      <c r="AX224" s="583" t="s">
        <v>130</v>
      </c>
      <c r="AY224" s="696" t="s">
        <v>131</v>
      </c>
      <c r="AZ224" s="75"/>
      <c r="BA224" s="648" t="s">
        <v>121</v>
      </c>
      <c r="BB224" s="583" t="s">
        <v>143</v>
      </c>
      <c r="BC224" s="583" t="s">
        <v>888</v>
      </c>
      <c r="BD224" s="583" t="s">
        <v>1045</v>
      </c>
      <c r="BE224" s="583" t="s">
        <v>1044</v>
      </c>
      <c r="BF224" s="666" t="s">
        <v>1051</v>
      </c>
      <c r="BG224" s="666" t="s">
        <v>1052</v>
      </c>
      <c r="BH224" s="648" t="s">
        <v>121</v>
      </c>
      <c r="BI224" s="583" t="s">
        <v>143</v>
      </c>
      <c r="BJ224" s="583" t="s">
        <v>888</v>
      </c>
      <c r="BK224" s="583" t="s">
        <v>1045</v>
      </c>
      <c r="BL224" s="583" t="s">
        <v>1044</v>
      </c>
      <c r="BM224" s="666" t="s">
        <v>1051</v>
      </c>
      <c r="BN224" s="666" t="s">
        <v>1052</v>
      </c>
      <c r="BO224" s="648" t="s">
        <v>121</v>
      </c>
      <c r="BP224" s="583" t="s">
        <v>143</v>
      </c>
      <c r="BQ224" s="583" t="s">
        <v>888</v>
      </c>
      <c r="BR224" s="583" t="s">
        <v>1045</v>
      </c>
      <c r="BS224" s="583" t="s">
        <v>1044</v>
      </c>
      <c r="BT224" s="666" t="s">
        <v>1051</v>
      </c>
      <c r="BU224" s="666" t="s">
        <v>1052</v>
      </c>
      <c r="BV224" s="648" t="s">
        <v>121</v>
      </c>
      <c r="BW224" s="583" t="s">
        <v>143</v>
      </c>
      <c r="BX224" s="583" t="s">
        <v>888</v>
      </c>
      <c r="BY224" s="583" t="s">
        <v>1045</v>
      </c>
      <c r="BZ224" s="583" t="s">
        <v>1044</v>
      </c>
      <c r="CA224" s="666" t="s">
        <v>1051</v>
      </c>
      <c r="CB224" s="666" t="s">
        <v>1052</v>
      </c>
      <c r="CC224" s="560"/>
    </row>
    <row r="225" spans="1:81" ht="15.75">
      <c r="A225" s="5"/>
      <c r="B225" s="452" t="s">
        <v>120</v>
      </c>
      <c r="C225" s="426">
        <v>0</v>
      </c>
      <c r="D225" s="311">
        <v>431.95</v>
      </c>
      <c r="E225" s="27">
        <v>0</v>
      </c>
      <c r="F225" s="27">
        <v>0</v>
      </c>
      <c r="G225" s="94">
        <v>0</v>
      </c>
      <c r="H225" s="463">
        <v>0</v>
      </c>
      <c r="I225" s="311">
        <v>441.15</v>
      </c>
      <c r="J225" s="27">
        <v>0</v>
      </c>
      <c r="K225" s="258">
        <v>0</v>
      </c>
      <c r="L225" s="94">
        <v>0</v>
      </c>
      <c r="M225" s="463">
        <v>0</v>
      </c>
      <c r="N225" s="231">
        <v>397.19</v>
      </c>
      <c r="O225" s="27">
        <v>0</v>
      </c>
      <c r="P225" s="27">
        <v>0</v>
      </c>
      <c r="Q225" s="426">
        <v>0</v>
      </c>
      <c r="R225" s="463">
        <v>0</v>
      </c>
      <c r="S225" s="231">
        <v>432.36</v>
      </c>
      <c r="T225" s="27">
        <v>0</v>
      </c>
      <c r="U225" s="27">
        <v>0</v>
      </c>
      <c r="V225" s="426">
        <v>0</v>
      </c>
      <c r="W225" s="5"/>
      <c r="X225" s="650">
        <v>0</v>
      </c>
      <c r="Y225" s="651">
        <f t="shared" ref="Y225:Y240" si="197">AVERAGE(E225:G225)/10</f>
        <v>0</v>
      </c>
      <c r="Z225" s="620">
        <v>9.6440000000000001</v>
      </c>
      <c r="AA225" s="620">
        <v>4.5170000000000003</v>
      </c>
      <c r="AB225" s="620">
        <f t="shared" ref="AB225:AB240" si="198">Z225-(AA225+Y225)</f>
        <v>5.1269999999999998</v>
      </c>
      <c r="AC225" s="620">
        <f t="shared" ref="AC225:AC240" si="199">3*Z225+AA225+Y225</f>
        <v>33.449000000000005</v>
      </c>
      <c r="AD225" s="707">
        <f t="shared" ref="AD225:AD240" si="200">1.398*(10^-6)*(X225^2)*AB225*AC225</f>
        <v>0</v>
      </c>
      <c r="AE225" s="650">
        <v>0</v>
      </c>
      <c r="AF225" s="620">
        <f t="shared" ref="AF225:AF240" si="201">AVERAGE(J225:L225)/10</f>
        <v>0</v>
      </c>
      <c r="AG225" s="620">
        <v>9.6440000000000001</v>
      </c>
      <c r="AH225" s="620">
        <v>4.5170000000000003</v>
      </c>
      <c r="AI225" s="620">
        <f t="shared" ref="AI225:AI240" si="202">AG225-(AH225+AF225)</f>
        <v>5.1269999999999998</v>
      </c>
      <c r="AJ225" s="620">
        <f t="shared" ref="AJ225:AJ240" si="203">3*AG225+AH225+AF225</f>
        <v>33.449000000000005</v>
      </c>
      <c r="AK225" s="653">
        <f t="shared" ref="AK225:AK240" si="204">1.398*(10^-6)*(AE225^2)*AI225*AJ225</f>
        <v>0</v>
      </c>
      <c r="AL225" s="650">
        <v>0</v>
      </c>
      <c r="AM225" s="620">
        <f t="shared" ref="AM225:AM240" si="205">AVERAGE(O225:Q225)/10</f>
        <v>0</v>
      </c>
      <c r="AN225" s="620">
        <v>9.6440000000000001</v>
      </c>
      <c r="AO225" s="620">
        <v>4.5170000000000003</v>
      </c>
      <c r="AP225" s="620">
        <f t="shared" ref="AP225:AP240" si="206">AN225-(AO225+AM225)</f>
        <v>5.1269999999999998</v>
      </c>
      <c r="AQ225" s="620">
        <f t="shared" ref="AQ225:AQ240" si="207">3*AN225+AO225+AM225</f>
        <v>33.449000000000005</v>
      </c>
      <c r="AR225" s="698">
        <f t="shared" ref="AR225:AR240" si="208">1.398*(10^-6)*(AL225^2)*AP225*AQ225</f>
        <v>0</v>
      </c>
      <c r="AS225" s="650">
        <v>0</v>
      </c>
      <c r="AT225" s="620">
        <f t="shared" ref="AT225:AT240" si="209">AVERAGE(T225:V225)/10</f>
        <v>0</v>
      </c>
      <c r="AU225" s="620">
        <v>9.6440000000000001</v>
      </c>
      <c r="AV225" s="620">
        <v>4.5170000000000003</v>
      </c>
      <c r="AW225" s="620">
        <f t="shared" ref="AW225:AW240" si="210">AU225-(AV225+AT225)</f>
        <v>5.1269999999999998</v>
      </c>
      <c r="AX225" s="620">
        <f t="shared" ref="AX225:AX240" si="211">3*AU225+AV225+AT225</f>
        <v>33.449000000000005</v>
      </c>
      <c r="AY225" s="698">
        <f t="shared" ref="AY225:AY240" si="212">1.398*(10^-6)*(AS225^2)*AW225*AX225</f>
        <v>0</v>
      </c>
      <c r="AZ225" s="75"/>
      <c r="BA225" s="591">
        <v>0</v>
      </c>
      <c r="BB225" s="620">
        <v>103.50685607036536</v>
      </c>
      <c r="BC225" s="720">
        <f>(BB243-BB244)/BB225</f>
        <v>0.87520772477540698</v>
      </c>
      <c r="BD225" s="714">
        <f>D225-BB241</f>
        <v>53.639999999999986</v>
      </c>
      <c r="BE225" s="693">
        <f>BB243-BB244</f>
        <v>90.589999999999989</v>
      </c>
      <c r="BF225" s="693">
        <f t="shared" ref="BF225:BF240" si="213">BD225/BE225*100</f>
        <v>59.211833535710333</v>
      </c>
      <c r="BG225" s="715">
        <f t="shared" ref="BG225:BG240" si="214">BF225*BC225</f>
        <v>51.822654108569182</v>
      </c>
      <c r="BH225" s="591">
        <v>0</v>
      </c>
      <c r="BI225" s="620">
        <v>103.50685607036536</v>
      </c>
      <c r="BJ225" s="720">
        <f>(BI243-BI244)/BI225</f>
        <v>1.0378056495791392</v>
      </c>
      <c r="BK225" s="714">
        <f>I225-BI241</f>
        <v>46.67999999999995</v>
      </c>
      <c r="BL225" s="693">
        <f>BI243-BI244</f>
        <v>107.42</v>
      </c>
      <c r="BM225" s="693">
        <f t="shared" ref="BM225:BM240" si="215">BK225/BL225*100</f>
        <v>43.455594861292077</v>
      </c>
      <c r="BN225" s="715">
        <f t="shared" ref="BN225:BN240" si="216">BM225*BJ225</f>
        <v>45.098461852871132</v>
      </c>
      <c r="BO225" s="650">
        <v>0</v>
      </c>
      <c r="BP225" s="681">
        <v>103.50685607036536</v>
      </c>
      <c r="BQ225" s="720">
        <f>(BP243-BP244)/BP225</f>
        <v>0.54672706860625098</v>
      </c>
      <c r="BR225" s="714">
        <f t="shared" ref="BR225:BR240" si="217">N225-343.75</f>
        <v>53.44</v>
      </c>
      <c r="BS225" s="693">
        <f>BP243-BP244</f>
        <v>56.589999999999989</v>
      </c>
      <c r="BT225" s="693">
        <f t="shared" ref="BT225:BT240" si="218">BR225/BS225*100</f>
        <v>94.433645520409982</v>
      </c>
      <c r="BU225" s="668">
        <f t="shared" ref="BU225:BU240" si="219">BT225*BQ225</f>
        <v>51.629430193175573</v>
      </c>
      <c r="BV225" s="650">
        <v>0</v>
      </c>
      <c r="BW225" s="620">
        <v>103.50685607036536</v>
      </c>
      <c r="BX225" s="720">
        <f>(BW243-BW244)/BW225</f>
        <v>0.90689644689996085</v>
      </c>
      <c r="BY225" s="714">
        <f>S225-BW241</f>
        <v>51.82000000000005</v>
      </c>
      <c r="BZ225" s="693">
        <f>BW243-BW244</f>
        <v>93.86999999999999</v>
      </c>
      <c r="CA225" s="693">
        <f t="shared" ref="CA225:CA240" si="220">BY225/BZ225*100</f>
        <v>55.204005539576073</v>
      </c>
      <c r="CB225" s="668">
        <f t="shared" ref="CB225:CB240" si="221">CA225*BX225</f>
        <v>50.064316478487299</v>
      </c>
      <c r="CC225" s="560"/>
    </row>
    <row r="226" spans="1:81" ht="15.75">
      <c r="A226" s="5"/>
      <c r="B226" s="59" t="s">
        <v>116</v>
      </c>
      <c r="C226" s="154">
        <v>300</v>
      </c>
      <c r="D226" s="311">
        <v>427.22</v>
      </c>
      <c r="E226" s="27">
        <v>0.86</v>
      </c>
      <c r="F226" s="27">
        <v>2.16</v>
      </c>
      <c r="G226" s="94">
        <v>2.79</v>
      </c>
      <c r="H226" s="259">
        <v>300</v>
      </c>
      <c r="I226" s="315">
        <v>438.89</v>
      </c>
      <c r="J226" s="27">
        <v>0</v>
      </c>
      <c r="K226" s="258">
        <v>0</v>
      </c>
      <c r="L226" s="94">
        <v>0</v>
      </c>
      <c r="M226" s="259">
        <v>300</v>
      </c>
      <c r="N226" s="231">
        <v>387.21</v>
      </c>
      <c r="O226" s="27">
        <v>5.0199999999999996</v>
      </c>
      <c r="P226" s="27">
        <v>7.83</v>
      </c>
      <c r="Q226" s="426">
        <v>8.14</v>
      </c>
      <c r="R226" s="259">
        <v>300</v>
      </c>
      <c r="S226" s="231">
        <v>427.02</v>
      </c>
      <c r="T226" s="260">
        <v>1.62</v>
      </c>
      <c r="U226" s="260">
        <v>0.68</v>
      </c>
      <c r="V226" s="464">
        <v>1.69</v>
      </c>
      <c r="W226" s="5"/>
      <c r="X226" s="650">
        <v>300</v>
      </c>
      <c r="Y226" s="651">
        <f t="shared" si="197"/>
        <v>0.19366666666666668</v>
      </c>
      <c r="Z226" s="620">
        <v>9.6440000000000001</v>
      </c>
      <c r="AA226" s="620">
        <v>4.5170000000000003</v>
      </c>
      <c r="AB226" s="620">
        <f t="shared" si="198"/>
        <v>4.9333333333333327</v>
      </c>
      <c r="AC226" s="620">
        <f t="shared" si="199"/>
        <v>33.64266666666667</v>
      </c>
      <c r="AD226" s="707">
        <f t="shared" si="200"/>
        <v>20.882406911999997</v>
      </c>
      <c r="AE226" s="650">
        <v>300</v>
      </c>
      <c r="AF226" s="620">
        <f t="shared" si="201"/>
        <v>0</v>
      </c>
      <c r="AG226" s="620">
        <v>9.6440000000000001</v>
      </c>
      <c r="AH226" s="620">
        <v>4.5170000000000003</v>
      </c>
      <c r="AI226" s="620">
        <f t="shared" si="202"/>
        <v>5.1269999999999998</v>
      </c>
      <c r="AJ226" s="620">
        <f t="shared" si="203"/>
        <v>33.449000000000005</v>
      </c>
      <c r="AK226" s="653">
        <f t="shared" si="204"/>
        <v>21.577252153859998</v>
      </c>
      <c r="AL226" s="650">
        <v>300</v>
      </c>
      <c r="AM226" s="620">
        <f t="shared" si="205"/>
        <v>0.69966666666666666</v>
      </c>
      <c r="AN226" s="620">
        <v>9.6440000000000001</v>
      </c>
      <c r="AO226" s="620">
        <v>4.5170000000000003</v>
      </c>
      <c r="AP226" s="620">
        <f t="shared" si="206"/>
        <v>4.4273333333333333</v>
      </c>
      <c r="AQ226" s="620">
        <f t="shared" si="207"/>
        <v>34.148666666666671</v>
      </c>
      <c r="AR226" s="698">
        <f t="shared" si="208"/>
        <v>19.02241505256</v>
      </c>
      <c r="AS226" s="650">
        <v>300</v>
      </c>
      <c r="AT226" s="620">
        <f t="shared" si="209"/>
        <v>0.13300000000000001</v>
      </c>
      <c r="AU226" s="620">
        <v>9.6440000000000001</v>
      </c>
      <c r="AV226" s="620">
        <v>4.5170000000000003</v>
      </c>
      <c r="AW226" s="620">
        <f t="shared" si="210"/>
        <v>4.9939999999999998</v>
      </c>
      <c r="AX226" s="620">
        <f t="shared" si="211"/>
        <v>33.582000000000008</v>
      </c>
      <c r="AY226" s="698">
        <f t="shared" si="212"/>
        <v>21.101084476560001</v>
      </c>
      <c r="AZ226" s="75"/>
      <c r="BA226" s="591">
        <v>300</v>
      </c>
      <c r="BB226" s="620">
        <v>103.50685607036536</v>
      </c>
      <c r="BC226" s="720">
        <f>(BB243-BB244)/BB225</f>
        <v>0.87520772477540698</v>
      </c>
      <c r="BD226" s="714">
        <f>D226-BB241</f>
        <v>48.910000000000025</v>
      </c>
      <c r="BE226" s="693">
        <f>BB243-BB244</f>
        <v>90.589999999999989</v>
      </c>
      <c r="BF226" s="693">
        <f t="shared" si="213"/>
        <v>53.990506678441363</v>
      </c>
      <c r="BG226" s="715">
        <f t="shared" si="214"/>
        <v>47.252908509510078</v>
      </c>
      <c r="BH226" s="591">
        <v>300</v>
      </c>
      <c r="BI226" s="620">
        <v>103.50685607036536</v>
      </c>
      <c r="BJ226" s="720">
        <f>(BI243-BI244)/BI225</f>
        <v>1.0378056495791392</v>
      </c>
      <c r="BK226" s="714">
        <f>I226-BI241</f>
        <v>44.419999999999959</v>
      </c>
      <c r="BL226" s="693">
        <f>BI243-BI244</f>
        <v>107.42</v>
      </c>
      <c r="BM226" s="693">
        <f t="shared" si="215"/>
        <v>41.351703593371774</v>
      </c>
      <c r="BN226" s="715">
        <f t="shared" si="216"/>
        <v>42.915031608923222</v>
      </c>
      <c r="BO226" s="650">
        <v>300</v>
      </c>
      <c r="BP226" s="681">
        <v>103.50685607036536</v>
      </c>
      <c r="BQ226" s="720">
        <f>(BP243-BP244)/BP225</f>
        <v>0.54672706860625098</v>
      </c>
      <c r="BR226" s="714">
        <f t="shared" si="217"/>
        <v>43.45999999999998</v>
      </c>
      <c r="BS226" s="693">
        <f>BP243-BP244</f>
        <v>56.589999999999989</v>
      </c>
      <c r="BT226" s="693">
        <f t="shared" si="218"/>
        <v>76.798020851740574</v>
      </c>
      <c r="BU226" s="668">
        <f t="shared" si="219"/>
        <v>41.987556815033862</v>
      </c>
      <c r="BV226" s="650">
        <v>300</v>
      </c>
      <c r="BW226" s="620">
        <v>103.50685607036536</v>
      </c>
      <c r="BX226" s="720">
        <f>(BW243-BW244)/BW225</f>
        <v>0.90689644689996085</v>
      </c>
      <c r="BY226" s="714">
        <f>S226-BW241</f>
        <v>46.480000000000018</v>
      </c>
      <c r="BZ226" s="693">
        <f>BW243-BW244</f>
        <v>93.86999999999999</v>
      </c>
      <c r="CA226" s="693">
        <f t="shared" si="220"/>
        <v>49.515287099179737</v>
      </c>
      <c r="CB226" s="668">
        <f t="shared" si="221"/>
        <v>44.905237937477573</v>
      </c>
      <c r="CC226" s="560"/>
    </row>
    <row r="227" spans="1:81" ht="15.75">
      <c r="A227" s="5"/>
      <c r="B227" s="59" t="s">
        <v>116</v>
      </c>
      <c r="C227" s="154">
        <v>350</v>
      </c>
      <c r="D227" s="315">
        <v>424.91</v>
      </c>
      <c r="E227" s="167">
        <v>3.24</v>
      </c>
      <c r="F227" s="167">
        <v>2.85</v>
      </c>
      <c r="G227" s="261">
        <v>0.99</v>
      </c>
      <c r="H227" s="259">
        <v>350</v>
      </c>
      <c r="I227" s="315">
        <v>437.16</v>
      </c>
      <c r="J227" s="27">
        <v>1</v>
      </c>
      <c r="K227" s="260">
        <v>0.6</v>
      </c>
      <c r="L227" s="94">
        <v>0</v>
      </c>
      <c r="M227" s="259">
        <v>350</v>
      </c>
      <c r="N227" s="231">
        <v>384.08</v>
      </c>
      <c r="O227" s="27">
        <v>7.64</v>
      </c>
      <c r="P227" s="27">
        <v>6.23</v>
      </c>
      <c r="Q227" s="426">
        <v>8.0299999999999994</v>
      </c>
      <c r="R227" s="259">
        <v>350</v>
      </c>
      <c r="S227" s="231">
        <v>427</v>
      </c>
      <c r="T227" s="260">
        <v>1.62</v>
      </c>
      <c r="U227" s="260">
        <v>0.67</v>
      </c>
      <c r="V227" s="464">
        <v>1.86</v>
      </c>
      <c r="W227" s="5"/>
      <c r="X227" s="650">
        <v>350</v>
      </c>
      <c r="Y227" s="651">
        <f t="shared" si="197"/>
        <v>0.23599999999999999</v>
      </c>
      <c r="Z227" s="620">
        <v>9.6440000000000001</v>
      </c>
      <c r="AA227" s="620">
        <v>4.5170000000000003</v>
      </c>
      <c r="AB227" s="620">
        <f t="shared" si="198"/>
        <v>4.891</v>
      </c>
      <c r="AC227" s="620">
        <f t="shared" si="199"/>
        <v>33.685000000000002</v>
      </c>
      <c r="AD227" s="707">
        <f t="shared" si="200"/>
        <v>28.214832385424994</v>
      </c>
      <c r="AE227" s="650">
        <v>350</v>
      </c>
      <c r="AF227" s="620">
        <f t="shared" si="201"/>
        <v>5.333333333333333E-2</v>
      </c>
      <c r="AG227" s="620">
        <v>9.6440000000000001</v>
      </c>
      <c r="AH227" s="620">
        <v>4.5170000000000003</v>
      </c>
      <c r="AI227" s="620">
        <f t="shared" si="202"/>
        <v>5.0736666666666661</v>
      </c>
      <c r="AJ227" s="620">
        <f t="shared" si="203"/>
        <v>33.50233333333334</v>
      </c>
      <c r="AK227" s="653">
        <f t="shared" si="204"/>
        <v>29.109868709331664</v>
      </c>
      <c r="AL227" s="650">
        <v>350</v>
      </c>
      <c r="AM227" s="620">
        <f t="shared" si="205"/>
        <v>0.73</v>
      </c>
      <c r="AN227" s="620">
        <v>9.6440000000000001</v>
      </c>
      <c r="AO227" s="620">
        <v>4.5170000000000003</v>
      </c>
      <c r="AP227" s="620">
        <f t="shared" si="206"/>
        <v>4.3970000000000002</v>
      </c>
      <c r="AQ227" s="620">
        <f t="shared" si="207"/>
        <v>34.179000000000002</v>
      </c>
      <c r="AR227" s="698">
        <f t="shared" si="208"/>
        <v>25.737068464064997</v>
      </c>
      <c r="AS227" s="650">
        <v>350</v>
      </c>
      <c r="AT227" s="620">
        <f t="shared" si="209"/>
        <v>0.13833333333333336</v>
      </c>
      <c r="AU227" s="620">
        <v>9.6440000000000001</v>
      </c>
      <c r="AV227" s="620">
        <v>4.5170000000000003</v>
      </c>
      <c r="AW227" s="620">
        <f t="shared" si="210"/>
        <v>4.9886666666666661</v>
      </c>
      <c r="AX227" s="620">
        <f t="shared" si="211"/>
        <v>33.587333333333341</v>
      </c>
      <c r="AY227" s="698">
        <f t="shared" si="212"/>
        <v>28.694804530606664</v>
      </c>
      <c r="AZ227" s="75"/>
      <c r="BA227" s="591">
        <v>350</v>
      </c>
      <c r="BB227" s="620">
        <v>103.50685607036536</v>
      </c>
      <c r="BC227" s="720">
        <f>(BB243-BB244)/BB225</f>
        <v>0.87520772477540698</v>
      </c>
      <c r="BD227" s="714">
        <f>D227-BB241</f>
        <v>46.600000000000023</v>
      </c>
      <c r="BE227" s="693">
        <f>BB243-BB244</f>
        <v>90.589999999999989</v>
      </c>
      <c r="BF227" s="693">
        <f t="shared" si="213"/>
        <v>51.440556352798353</v>
      </c>
      <c r="BG227" s="715">
        <f t="shared" si="214"/>
        <v>45.021172286713757</v>
      </c>
      <c r="BH227" s="591">
        <v>350</v>
      </c>
      <c r="BI227" s="620">
        <v>103.50685607036536</v>
      </c>
      <c r="BJ227" s="720">
        <f>(BI243-BI244)/BI225</f>
        <v>1.0378056495791392</v>
      </c>
      <c r="BK227" s="714">
        <f>I227-BI241</f>
        <v>42.69</v>
      </c>
      <c r="BL227" s="693">
        <f>BI243-BI244</f>
        <v>107.42</v>
      </c>
      <c r="BM227" s="693">
        <f t="shared" si="215"/>
        <v>39.741202755539</v>
      </c>
      <c r="BN227" s="715">
        <f t="shared" si="216"/>
        <v>41.243644740768431</v>
      </c>
      <c r="BO227" s="650">
        <v>350</v>
      </c>
      <c r="BP227" s="681">
        <v>103.50685607036536</v>
      </c>
      <c r="BQ227" s="720">
        <f>(BP243-BP244)/BP225</f>
        <v>0.54672706860625098</v>
      </c>
      <c r="BR227" s="714">
        <f t="shared" si="217"/>
        <v>40.329999999999984</v>
      </c>
      <c r="BS227" s="693">
        <f>BP243-BP244</f>
        <v>56.589999999999989</v>
      </c>
      <c r="BT227" s="693">
        <f t="shared" si="218"/>
        <v>71.267008305354281</v>
      </c>
      <c r="BU227" s="668">
        <f t="shared" si="219"/>
        <v>38.963602539123691</v>
      </c>
      <c r="BV227" s="650">
        <v>350</v>
      </c>
      <c r="BW227" s="620">
        <v>103.50685607036536</v>
      </c>
      <c r="BX227" s="720">
        <f>(BW243-BW244)/BW225</f>
        <v>0.90689644689996085</v>
      </c>
      <c r="BY227" s="714">
        <f>S227-BW241</f>
        <v>46.460000000000036</v>
      </c>
      <c r="BZ227" s="693">
        <f>BW243-BW244</f>
        <v>93.86999999999999</v>
      </c>
      <c r="CA227" s="693">
        <f t="shared" si="220"/>
        <v>49.493981037605245</v>
      </c>
      <c r="CB227" s="668">
        <f t="shared" si="221"/>
        <v>44.885915545938232</v>
      </c>
      <c r="CC227" s="560"/>
    </row>
    <row r="228" spans="1:81" ht="15.75">
      <c r="A228" s="5"/>
      <c r="B228" s="59" t="s">
        <v>116</v>
      </c>
      <c r="C228" s="154">
        <v>450</v>
      </c>
      <c r="D228" s="315">
        <v>421.35</v>
      </c>
      <c r="E228" s="167">
        <v>2.94</v>
      </c>
      <c r="F228" s="167">
        <v>1.27</v>
      </c>
      <c r="G228" s="261">
        <v>4.87</v>
      </c>
      <c r="H228" s="259">
        <v>450</v>
      </c>
      <c r="I228" s="311">
        <v>434.65</v>
      </c>
      <c r="J228" s="167">
        <v>0.56999999999999995</v>
      </c>
      <c r="K228" s="262">
        <v>1.77</v>
      </c>
      <c r="L228" s="465">
        <v>1.19</v>
      </c>
      <c r="M228" s="259">
        <v>450</v>
      </c>
      <c r="N228" s="231">
        <v>380.12</v>
      </c>
      <c r="O228" s="426">
        <v>9.0299999999999994</v>
      </c>
      <c r="P228" s="426">
        <v>8.7100000000000009</v>
      </c>
      <c r="Q228" s="426">
        <v>7.83</v>
      </c>
      <c r="R228" s="259">
        <v>450</v>
      </c>
      <c r="S228" s="231">
        <v>424.39</v>
      </c>
      <c r="T228" s="464">
        <v>2.68</v>
      </c>
      <c r="U228" s="464">
        <v>1.69</v>
      </c>
      <c r="V228" s="464">
        <v>0.83</v>
      </c>
      <c r="W228" s="5"/>
      <c r="X228" s="650">
        <v>450</v>
      </c>
      <c r="Y228" s="651">
        <f t="shared" si="197"/>
        <v>0.30266666666666669</v>
      </c>
      <c r="Z228" s="620">
        <v>9.6440000000000001</v>
      </c>
      <c r="AA228" s="620">
        <v>4.5170000000000003</v>
      </c>
      <c r="AB228" s="620">
        <f t="shared" si="198"/>
        <v>4.8243333333333327</v>
      </c>
      <c r="AC228" s="620">
        <f t="shared" si="199"/>
        <v>33.751666666666672</v>
      </c>
      <c r="AD228" s="707">
        <f t="shared" si="200"/>
        <v>46.09615800982499</v>
      </c>
      <c r="AE228" s="650">
        <v>450</v>
      </c>
      <c r="AF228" s="620">
        <f t="shared" si="201"/>
        <v>0.11766666666666666</v>
      </c>
      <c r="AG228" s="620">
        <v>9.6440000000000001</v>
      </c>
      <c r="AH228" s="620">
        <v>4.5170000000000003</v>
      </c>
      <c r="AI228" s="620">
        <f t="shared" si="202"/>
        <v>5.0093333333333332</v>
      </c>
      <c r="AJ228" s="620">
        <f t="shared" si="203"/>
        <v>33.56666666666667</v>
      </c>
      <c r="AK228" s="653">
        <f t="shared" si="204"/>
        <v>47.601468017999991</v>
      </c>
      <c r="AL228" s="650">
        <v>450</v>
      </c>
      <c r="AM228" s="620">
        <f t="shared" si="205"/>
        <v>0.85233333333333339</v>
      </c>
      <c r="AN228" s="620">
        <v>9.6440000000000001</v>
      </c>
      <c r="AO228" s="620">
        <v>4.5170000000000003</v>
      </c>
      <c r="AP228" s="620">
        <f t="shared" si="206"/>
        <v>4.2746666666666666</v>
      </c>
      <c r="AQ228" s="620">
        <f t="shared" si="207"/>
        <v>34.301333333333339</v>
      </c>
      <c r="AR228" s="698">
        <f t="shared" si="208"/>
        <v>41.509304383679996</v>
      </c>
      <c r="AS228" s="650">
        <v>450</v>
      </c>
      <c r="AT228" s="620">
        <f t="shared" si="209"/>
        <v>0.17333333333333334</v>
      </c>
      <c r="AU228" s="620">
        <v>9.6440000000000001</v>
      </c>
      <c r="AV228" s="620">
        <v>4.5170000000000003</v>
      </c>
      <c r="AW228" s="620">
        <f t="shared" si="210"/>
        <v>4.9536666666666669</v>
      </c>
      <c r="AX228" s="620">
        <f t="shared" si="211"/>
        <v>33.622333333333337</v>
      </c>
      <c r="AY228" s="698">
        <f t="shared" si="212"/>
        <v>47.150557038584999</v>
      </c>
      <c r="AZ228" s="75"/>
      <c r="BA228" s="591">
        <v>450</v>
      </c>
      <c r="BB228" s="620">
        <v>103.50685607036536</v>
      </c>
      <c r="BC228" s="720">
        <f>(BB243-BB244)/BB225</f>
        <v>0.87520772477540698</v>
      </c>
      <c r="BD228" s="714">
        <f>D228-BB241</f>
        <v>43.04000000000002</v>
      </c>
      <c r="BE228" s="693">
        <f>BB243-BB244</f>
        <v>90.589999999999989</v>
      </c>
      <c r="BF228" s="693">
        <f t="shared" si="213"/>
        <v>47.510762777348518</v>
      </c>
      <c r="BG228" s="715">
        <f t="shared" si="214"/>
        <v>41.581786592707289</v>
      </c>
      <c r="BH228" s="591">
        <v>450</v>
      </c>
      <c r="BI228" s="620">
        <v>103.50685607036536</v>
      </c>
      <c r="BJ228" s="720">
        <f>(BI243-BI244)/BI225</f>
        <v>1.0378056495791392</v>
      </c>
      <c r="BK228" s="714">
        <f>I228-BI241</f>
        <v>40.17999999999995</v>
      </c>
      <c r="BL228" s="693">
        <f>BI243-BI244</f>
        <v>107.42</v>
      </c>
      <c r="BM228" s="693">
        <f t="shared" si="215"/>
        <v>37.404580152671706</v>
      </c>
      <c r="BN228" s="715">
        <f t="shared" si="216"/>
        <v>38.818684602578436</v>
      </c>
      <c r="BO228" s="650">
        <v>450</v>
      </c>
      <c r="BP228" s="681">
        <v>103.50685607036536</v>
      </c>
      <c r="BQ228" s="720">
        <f>(BP243-BP244)/BP225</f>
        <v>0.54672706860625098</v>
      </c>
      <c r="BR228" s="714">
        <f t="shared" si="217"/>
        <v>36.370000000000005</v>
      </c>
      <c r="BS228" s="693">
        <f>BP243-BP244</f>
        <v>56.589999999999989</v>
      </c>
      <c r="BT228" s="693">
        <f t="shared" si="218"/>
        <v>64.269305531012563</v>
      </c>
      <c r="BU228" s="668">
        <f t="shared" si="219"/>
        <v>35.137769014330011</v>
      </c>
      <c r="BV228" s="650">
        <v>450</v>
      </c>
      <c r="BW228" s="620">
        <v>103.50685607036536</v>
      </c>
      <c r="BX228" s="720">
        <f>(BW243-BW244)/BW225</f>
        <v>0.90689644689996085</v>
      </c>
      <c r="BY228" s="714">
        <f>S228-BW241</f>
        <v>43.850000000000023</v>
      </c>
      <c r="BZ228" s="693">
        <f>BW243-BW244</f>
        <v>93.86999999999999</v>
      </c>
      <c r="CA228" s="693">
        <f t="shared" si="220"/>
        <v>46.713540002130635</v>
      </c>
      <c r="CB228" s="668">
        <f t="shared" si="221"/>
        <v>42.364343450051464</v>
      </c>
      <c r="CC228" s="560"/>
    </row>
    <row r="229" spans="1:81" ht="15.75">
      <c r="A229" s="5"/>
      <c r="B229" s="59" t="s">
        <v>116</v>
      </c>
      <c r="C229" s="154">
        <v>550</v>
      </c>
      <c r="D229" s="315">
        <v>417.96</v>
      </c>
      <c r="E229" s="167">
        <v>3.83</v>
      </c>
      <c r="F229" s="167">
        <v>1.9</v>
      </c>
      <c r="G229" s="261">
        <v>5.17</v>
      </c>
      <c r="H229" s="259">
        <v>550</v>
      </c>
      <c r="I229" s="315">
        <v>433.13</v>
      </c>
      <c r="J229" s="167">
        <v>1.88</v>
      </c>
      <c r="K229" s="262">
        <v>1.39</v>
      </c>
      <c r="L229" s="465">
        <v>1.75</v>
      </c>
      <c r="M229" s="259">
        <v>550</v>
      </c>
      <c r="N229" s="231">
        <v>377.4</v>
      </c>
      <c r="O229" s="426">
        <v>10.3</v>
      </c>
      <c r="P229" s="426">
        <v>9.2799999999999994</v>
      </c>
      <c r="Q229" s="426">
        <v>8.1300000000000008</v>
      </c>
      <c r="R229" s="259">
        <v>550</v>
      </c>
      <c r="S229" s="231">
        <v>422.05</v>
      </c>
      <c r="T229" s="464">
        <v>0.93</v>
      </c>
      <c r="U229" s="464">
        <v>1.69</v>
      </c>
      <c r="V229" s="464">
        <v>2.66</v>
      </c>
      <c r="W229" s="5"/>
      <c r="X229" s="650">
        <v>550</v>
      </c>
      <c r="Y229" s="651">
        <f t="shared" si="197"/>
        <v>0.36333333333333334</v>
      </c>
      <c r="Z229" s="620">
        <v>9.6440000000000001</v>
      </c>
      <c r="AA229" s="620">
        <v>4.5170000000000003</v>
      </c>
      <c r="AB229" s="620">
        <f t="shared" si="198"/>
        <v>4.7636666666666665</v>
      </c>
      <c r="AC229" s="620">
        <f t="shared" si="199"/>
        <v>33.812333333333342</v>
      </c>
      <c r="AD229" s="707">
        <f t="shared" si="200"/>
        <v>68.115987427051678</v>
      </c>
      <c r="AE229" s="650">
        <v>550</v>
      </c>
      <c r="AF229" s="620">
        <f t="shared" si="201"/>
        <v>0.16733333333333331</v>
      </c>
      <c r="AG229" s="620">
        <v>9.6440000000000001</v>
      </c>
      <c r="AH229" s="620">
        <v>4.5170000000000003</v>
      </c>
      <c r="AI229" s="620">
        <f t="shared" si="202"/>
        <v>4.9596666666666662</v>
      </c>
      <c r="AJ229" s="620">
        <f t="shared" si="203"/>
        <v>33.616333333333337</v>
      </c>
      <c r="AK229" s="653">
        <f t="shared" si="204"/>
        <v>70.507510527171647</v>
      </c>
      <c r="AL229" s="650">
        <v>550</v>
      </c>
      <c r="AM229" s="620">
        <f t="shared" si="205"/>
        <v>0.92366666666666664</v>
      </c>
      <c r="AN229" s="620">
        <v>9.6440000000000001</v>
      </c>
      <c r="AO229" s="620">
        <v>4.5170000000000003</v>
      </c>
      <c r="AP229" s="620">
        <f t="shared" si="206"/>
        <v>4.2033333333333331</v>
      </c>
      <c r="AQ229" s="620">
        <f t="shared" si="207"/>
        <v>34.372666666666674</v>
      </c>
      <c r="AR229" s="698">
        <f t="shared" si="208"/>
        <v>61.099774683566665</v>
      </c>
      <c r="AS229" s="650">
        <v>550</v>
      </c>
      <c r="AT229" s="620">
        <f t="shared" si="209"/>
        <v>0.17599999999999999</v>
      </c>
      <c r="AU229" s="620">
        <v>9.6440000000000001</v>
      </c>
      <c r="AV229" s="620">
        <v>4.5170000000000003</v>
      </c>
      <c r="AW229" s="620">
        <f t="shared" si="210"/>
        <v>4.9509999999999996</v>
      </c>
      <c r="AX229" s="620">
        <f t="shared" si="211"/>
        <v>33.625000000000007</v>
      </c>
      <c r="AY229" s="698">
        <f t="shared" si="212"/>
        <v>70.402449500624996</v>
      </c>
      <c r="AZ229" s="75"/>
      <c r="BA229" s="591">
        <v>550</v>
      </c>
      <c r="BB229" s="620">
        <v>103.50685607036536</v>
      </c>
      <c r="BC229" s="720">
        <f>(BB243-BB244)/BB225</f>
        <v>0.87520772477540698</v>
      </c>
      <c r="BD229" s="714">
        <f>D229-BB241</f>
        <v>39.649999999999977</v>
      </c>
      <c r="BE229" s="693">
        <f>BB243-BB244</f>
        <v>90.589999999999989</v>
      </c>
      <c r="BF229" s="693">
        <f t="shared" si="213"/>
        <v>43.768627883872377</v>
      </c>
      <c r="BG229" s="715">
        <f t="shared" si="214"/>
        <v>38.306641226785381</v>
      </c>
      <c r="BH229" s="591">
        <v>550</v>
      </c>
      <c r="BI229" s="620">
        <v>103.50685607036536</v>
      </c>
      <c r="BJ229" s="720">
        <f>(BI243-BI244)/BI225</f>
        <v>1.0378056495791392</v>
      </c>
      <c r="BK229" s="714">
        <f>I229-BI241</f>
        <v>38.659999999999968</v>
      </c>
      <c r="BL229" s="693">
        <f>BI243-BI244</f>
        <v>107.42</v>
      </c>
      <c r="BM229" s="693">
        <f t="shared" si="215"/>
        <v>35.989573636194351</v>
      </c>
      <c r="BN229" s="715">
        <f t="shared" si="216"/>
        <v>37.350182845586943</v>
      </c>
      <c r="BO229" s="650">
        <v>550</v>
      </c>
      <c r="BP229" s="681">
        <v>103.50685607036536</v>
      </c>
      <c r="BQ229" s="720">
        <f>(BP243-BP244)/BP225</f>
        <v>0.54672706860625098</v>
      </c>
      <c r="BR229" s="714">
        <f t="shared" si="217"/>
        <v>33.649999999999977</v>
      </c>
      <c r="BS229" s="693">
        <f>BP243-BP244</f>
        <v>56.589999999999989</v>
      </c>
      <c r="BT229" s="693">
        <f t="shared" si="218"/>
        <v>59.462802615303026</v>
      </c>
      <c r="BU229" s="668">
        <f t="shared" si="219"/>
        <v>32.50992376497674</v>
      </c>
      <c r="BV229" s="650">
        <v>550</v>
      </c>
      <c r="BW229" s="620">
        <v>103.50685607036536</v>
      </c>
      <c r="BX229" s="720">
        <f>(BW243-BW244)/BW225</f>
        <v>0.90689644689996085</v>
      </c>
      <c r="BY229" s="714">
        <f>S229-BW241</f>
        <v>41.510000000000048</v>
      </c>
      <c r="BZ229" s="693">
        <f>BW243-BW244</f>
        <v>93.86999999999999</v>
      </c>
      <c r="CA229" s="693">
        <f t="shared" si="220"/>
        <v>44.220730797912061</v>
      </c>
      <c r="CB229" s="668">
        <f t="shared" si="221"/>
        <v>40.103623639946122</v>
      </c>
      <c r="CC229" s="560"/>
    </row>
    <row r="230" spans="1:81" ht="15.75">
      <c r="A230" s="5"/>
      <c r="B230" s="59" t="s">
        <v>116</v>
      </c>
      <c r="C230" s="154">
        <v>650</v>
      </c>
      <c r="D230" s="315">
        <v>415.08</v>
      </c>
      <c r="E230" s="167">
        <v>2.1</v>
      </c>
      <c r="F230" s="167">
        <v>4.0199999999999996</v>
      </c>
      <c r="G230" s="261">
        <v>5.19</v>
      </c>
      <c r="H230" s="259">
        <v>650</v>
      </c>
      <c r="I230" s="315">
        <v>432.15</v>
      </c>
      <c r="J230" s="167">
        <v>2.35</v>
      </c>
      <c r="K230" s="262">
        <v>2.46</v>
      </c>
      <c r="L230" s="465">
        <v>1.93</v>
      </c>
      <c r="M230" s="259">
        <v>650</v>
      </c>
      <c r="N230" s="231">
        <v>375.45</v>
      </c>
      <c r="O230" s="426">
        <v>8.91</v>
      </c>
      <c r="P230" s="426">
        <v>9.5</v>
      </c>
      <c r="Q230" s="426">
        <v>10.56</v>
      </c>
      <c r="R230" s="259">
        <v>650</v>
      </c>
      <c r="S230" s="231">
        <v>419.99</v>
      </c>
      <c r="T230" s="464">
        <v>1.25</v>
      </c>
      <c r="U230" s="464">
        <v>2.2000000000000002</v>
      </c>
      <c r="V230" s="464">
        <v>3.55</v>
      </c>
      <c r="W230" s="5"/>
      <c r="X230" s="650">
        <v>650</v>
      </c>
      <c r="Y230" s="651">
        <f t="shared" si="197"/>
        <v>0.37699999999999995</v>
      </c>
      <c r="Z230" s="620">
        <v>9.6440000000000001</v>
      </c>
      <c r="AA230" s="620">
        <v>4.5170000000000003</v>
      </c>
      <c r="AB230" s="620">
        <f t="shared" si="198"/>
        <v>4.75</v>
      </c>
      <c r="AC230" s="620">
        <f t="shared" si="199"/>
        <v>33.826000000000008</v>
      </c>
      <c r="AD230" s="707">
        <f t="shared" si="200"/>
        <v>94.902606142500005</v>
      </c>
      <c r="AE230" s="650">
        <v>650</v>
      </c>
      <c r="AF230" s="620">
        <f t="shared" si="201"/>
        <v>0.22466666666666665</v>
      </c>
      <c r="AG230" s="620">
        <v>9.6440000000000001</v>
      </c>
      <c r="AH230" s="620">
        <v>4.5170000000000003</v>
      </c>
      <c r="AI230" s="620">
        <f t="shared" si="202"/>
        <v>4.902333333333333</v>
      </c>
      <c r="AJ230" s="620">
        <f t="shared" si="203"/>
        <v>33.673666666666669</v>
      </c>
      <c r="AK230" s="653">
        <f t="shared" si="204"/>
        <v>97.505054845531646</v>
      </c>
      <c r="AL230" s="650">
        <v>650</v>
      </c>
      <c r="AM230" s="620">
        <f t="shared" si="205"/>
        <v>0.96566666666666667</v>
      </c>
      <c r="AN230" s="620">
        <v>9.6440000000000001</v>
      </c>
      <c r="AO230" s="620">
        <v>4.5170000000000003</v>
      </c>
      <c r="AP230" s="620">
        <f t="shared" si="206"/>
        <v>4.1613333333333333</v>
      </c>
      <c r="AQ230" s="620">
        <f t="shared" si="207"/>
        <v>34.414666666666669</v>
      </c>
      <c r="AR230" s="698">
        <f t="shared" si="208"/>
        <v>84.588233876986664</v>
      </c>
      <c r="AS230" s="650">
        <v>650</v>
      </c>
      <c r="AT230" s="620">
        <f t="shared" si="209"/>
        <v>0.23333333333333334</v>
      </c>
      <c r="AU230" s="620">
        <v>9.6440000000000001</v>
      </c>
      <c r="AV230" s="620">
        <v>4.5170000000000003</v>
      </c>
      <c r="AW230" s="620">
        <f t="shared" si="210"/>
        <v>4.8936666666666664</v>
      </c>
      <c r="AX230" s="620">
        <f t="shared" si="211"/>
        <v>33.682333333333339</v>
      </c>
      <c r="AY230" s="698">
        <f t="shared" si="212"/>
        <v>97.357729737731674</v>
      </c>
      <c r="AZ230" s="75"/>
      <c r="BA230" s="591">
        <v>650</v>
      </c>
      <c r="BB230" s="620">
        <v>103.50685607036536</v>
      </c>
      <c r="BC230" s="720">
        <f>(BB243-BB244)/BB225</f>
        <v>0.87520772477540698</v>
      </c>
      <c r="BD230" s="714">
        <f>D230-BB241</f>
        <v>36.769999999999982</v>
      </c>
      <c r="BE230" s="693">
        <f>BB243-BB244</f>
        <v>90.589999999999989</v>
      </c>
      <c r="BF230" s="693">
        <f t="shared" si="213"/>
        <v>40.58946903631746</v>
      </c>
      <c r="BG230" s="715">
        <f t="shared" si="214"/>
        <v>35.524216845117238</v>
      </c>
      <c r="BH230" s="591">
        <v>650</v>
      </c>
      <c r="BI230" s="620">
        <v>103.50685607036536</v>
      </c>
      <c r="BJ230" s="720">
        <f>(BI243-BI244)/BI225</f>
        <v>1.0378056495791392</v>
      </c>
      <c r="BK230" s="714">
        <f>I230-BI241</f>
        <v>37.67999999999995</v>
      </c>
      <c r="BL230" s="693">
        <f>BI243-BI244</f>
        <v>107.42</v>
      </c>
      <c r="BM230" s="693">
        <f t="shared" si="215"/>
        <v>35.077266803202335</v>
      </c>
      <c r="BN230" s="715">
        <f t="shared" si="216"/>
        <v>36.403385660158179</v>
      </c>
      <c r="BO230" s="650">
        <v>650</v>
      </c>
      <c r="BP230" s="681">
        <v>103.50685607036536</v>
      </c>
      <c r="BQ230" s="720">
        <f>(BP243-BP244)/BP225</f>
        <v>0.54672706860625098</v>
      </c>
      <c r="BR230" s="714">
        <f t="shared" si="217"/>
        <v>31.699999999999989</v>
      </c>
      <c r="BS230" s="693">
        <f>BP243-BP244</f>
        <v>56.589999999999989</v>
      </c>
      <c r="BT230" s="693">
        <f t="shared" si="218"/>
        <v>56.016964127937783</v>
      </c>
      <c r="BU230" s="668">
        <f t="shared" si="219"/>
        <v>30.625990589888939</v>
      </c>
      <c r="BV230" s="650">
        <v>650</v>
      </c>
      <c r="BW230" s="620">
        <v>103.50685607036536</v>
      </c>
      <c r="BX230" s="720">
        <f>(BW243-BW244)/BW225</f>
        <v>0.90689644689996085</v>
      </c>
      <c r="BY230" s="714">
        <f>S230-BW241</f>
        <v>39.450000000000045</v>
      </c>
      <c r="BZ230" s="693">
        <f>BW243-BW244</f>
        <v>93.86999999999999</v>
      </c>
      <c r="CA230" s="693">
        <f t="shared" si="220"/>
        <v>42.026206455736705</v>
      </c>
      <c r="CB230" s="668">
        <f t="shared" si="221"/>
        <v>38.113417311391814</v>
      </c>
      <c r="CC230" s="560"/>
    </row>
    <row r="231" spans="1:81" ht="15.75">
      <c r="A231" s="5"/>
      <c r="B231" s="59" t="s">
        <v>116</v>
      </c>
      <c r="C231" s="154">
        <v>750</v>
      </c>
      <c r="D231" s="315">
        <v>412.79</v>
      </c>
      <c r="E231" s="167">
        <v>1.99</v>
      </c>
      <c r="F231" s="167">
        <v>4.5</v>
      </c>
      <c r="G231" s="261">
        <v>5.79</v>
      </c>
      <c r="H231" s="259">
        <v>750</v>
      </c>
      <c r="I231" s="315">
        <v>431.09</v>
      </c>
      <c r="J231" s="167">
        <v>2.75</v>
      </c>
      <c r="K231" s="262">
        <v>2.89</v>
      </c>
      <c r="L231" s="465">
        <v>2.2200000000000002</v>
      </c>
      <c r="M231" s="259">
        <v>750</v>
      </c>
      <c r="N231" s="231">
        <v>373.98</v>
      </c>
      <c r="O231" s="426">
        <v>7.94</v>
      </c>
      <c r="P231" s="426">
        <v>10.029999999999999</v>
      </c>
      <c r="Q231" s="426">
        <v>10.41</v>
      </c>
      <c r="R231" s="259">
        <v>750</v>
      </c>
      <c r="S231" s="231">
        <v>418.7</v>
      </c>
      <c r="T231" s="464">
        <v>3.16</v>
      </c>
      <c r="U231" s="464">
        <v>2.3199999999999998</v>
      </c>
      <c r="V231" s="464">
        <v>1.73</v>
      </c>
      <c r="W231" s="5"/>
      <c r="X231" s="650">
        <v>750</v>
      </c>
      <c r="Y231" s="651">
        <f t="shared" si="197"/>
        <v>0.40933333333333338</v>
      </c>
      <c r="Z231" s="620">
        <v>9.6440000000000001</v>
      </c>
      <c r="AA231" s="620">
        <v>4.5170000000000003</v>
      </c>
      <c r="AB231" s="620">
        <f t="shared" si="198"/>
        <v>4.7176666666666662</v>
      </c>
      <c r="AC231" s="620">
        <f t="shared" si="199"/>
        <v>33.858333333333341</v>
      </c>
      <c r="AD231" s="707">
        <f t="shared" si="200"/>
        <v>125.60951144062501</v>
      </c>
      <c r="AE231" s="650">
        <v>750</v>
      </c>
      <c r="AF231" s="620">
        <f t="shared" si="201"/>
        <v>0.26200000000000007</v>
      </c>
      <c r="AG231" s="620">
        <v>9.6440000000000001</v>
      </c>
      <c r="AH231" s="620">
        <v>4.5170000000000003</v>
      </c>
      <c r="AI231" s="620">
        <f t="shared" si="202"/>
        <v>4.8649999999999993</v>
      </c>
      <c r="AJ231" s="620">
        <f t="shared" si="203"/>
        <v>33.711000000000006</v>
      </c>
      <c r="AK231" s="653">
        <f t="shared" si="204"/>
        <v>128.96865729562498</v>
      </c>
      <c r="AL231" s="650">
        <v>750</v>
      </c>
      <c r="AM231" s="620">
        <f t="shared" si="205"/>
        <v>0.94599999999999995</v>
      </c>
      <c r="AN231" s="620">
        <v>9.6440000000000001</v>
      </c>
      <c r="AO231" s="620">
        <v>4.5170000000000003</v>
      </c>
      <c r="AP231" s="620">
        <f t="shared" si="206"/>
        <v>4.181</v>
      </c>
      <c r="AQ231" s="620">
        <f t="shared" si="207"/>
        <v>34.395000000000003</v>
      </c>
      <c r="AR231" s="698">
        <f t="shared" si="208"/>
        <v>113.085046130625</v>
      </c>
      <c r="AS231" s="650">
        <v>750</v>
      </c>
      <c r="AT231" s="620">
        <f t="shared" si="209"/>
        <v>0.24033333333333337</v>
      </c>
      <c r="AU231" s="620">
        <v>9.6440000000000001</v>
      </c>
      <c r="AV231" s="620">
        <v>4.5170000000000003</v>
      </c>
      <c r="AW231" s="620">
        <f t="shared" si="210"/>
        <v>4.8866666666666667</v>
      </c>
      <c r="AX231" s="620">
        <f t="shared" si="211"/>
        <v>33.689333333333337</v>
      </c>
      <c r="AY231" s="698">
        <f t="shared" si="212"/>
        <v>129.45976988999999</v>
      </c>
      <c r="AZ231" s="75"/>
      <c r="BA231" s="591">
        <v>750</v>
      </c>
      <c r="BB231" s="620">
        <v>103.50685607036536</v>
      </c>
      <c r="BC231" s="720">
        <f>(BB243-BB244)/BB225</f>
        <v>0.87520772477540698</v>
      </c>
      <c r="BD231" s="714">
        <f>D231-BB241</f>
        <v>34.480000000000018</v>
      </c>
      <c r="BE231" s="693">
        <f>BB243-BB244</f>
        <v>90.589999999999989</v>
      </c>
      <c r="BF231" s="693">
        <f t="shared" si="213"/>
        <v>38.061596202671396</v>
      </c>
      <c r="BG231" s="715">
        <f t="shared" si="214"/>
        <v>33.311803013860299</v>
      </c>
      <c r="BH231" s="591">
        <v>750</v>
      </c>
      <c r="BI231" s="620">
        <v>103.50685607036536</v>
      </c>
      <c r="BJ231" s="720">
        <f>(BI243-BI244)/BI225</f>
        <v>1.0378056495791392</v>
      </c>
      <c r="BK231" s="714">
        <f>I231-BI241</f>
        <v>36.619999999999948</v>
      </c>
      <c r="BL231" s="693">
        <f>BI243-BI244</f>
        <v>107.42</v>
      </c>
      <c r="BM231" s="693">
        <f t="shared" si="215"/>
        <v>34.090485943027318</v>
      </c>
      <c r="BN231" s="715">
        <f t="shared" si="216"/>
        <v>35.379298908571982</v>
      </c>
      <c r="BO231" s="650">
        <v>750</v>
      </c>
      <c r="BP231" s="681">
        <v>103.50685607036536</v>
      </c>
      <c r="BQ231" s="720">
        <f>(BP243-BP244)/BP225</f>
        <v>0.54672706860625098</v>
      </c>
      <c r="BR231" s="714">
        <f t="shared" si="217"/>
        <v>30.230000000000018</v>
      </c>
      <c r="BS231" s="693">
        <f>BP243-BP244</f>
        <v>56.589999999999989</v>
      </c>
      <c r="BT231" s="693">
        <f t="shared" si="218"/>
        <v>53.419332037462496</v>
      </c>
      <c r="BU231" s="668">
        <f t="shared" si="219"/>
        <v>29.205794811745857</v>
      </c>
      <c r="BV231" s="650">
        <v>750</v>
      </c>
      <c r="BW231" s="620">
        <v>103.50685607036536</v>
      </c>
      <c r="BX231" s="720">
        <f>(BW243-BW244)/BW225</f>
        <v>0.90689644689996085</v>
      </c>
      <c r="BY231" s="714">
        <f>S231-BW241</f>
        <v>38.160000000000025</v>
      </c>
      <c r="BZ231" s="693">
        <f>BW243-BW244</f>
        <v>93.86999999999999</v>
      </c>
      <c r="CA231" s="693">
        <f t="shared" si="220"/>
        <v>40.65196548418028</v>
      </c>
      <c r="CB231" s="668">
        <f t="shared" si="221"/>
        <v>36.867123057102944</v>
      </c>
      <c r="CC231" s="560"/>
    </row>
    <row r="232" spans="1:81" ht="15.75">
      <c r="A232" s="5"/>
      <c r="B232" s="59" t="s">
        <v>116</v>
      </c>
      <c r="C232" s="154">
        <v>850</v>
      </c>
      <c r="D232" s="315">
        <v>410.88</v>
      </c>
      <c r="E232" s="167">
        <v>2.08</v>
      </c>
      <c r="F232" s="167">
        <v>4.6399999999999997</v>
      </c>
      <c r="G232" s="261">
        <v>4.53</v>
      </c>
      <c r="H232" s="259">
        <v>850</v>
      </c>
      <c r="I232" s="315">
        <v>430.04</v>
      </c>
      <c r="J232" s="167">
        <v>3.25</v>
      </c>
      <c r="K232" s="262">
        <v>3.13</v>
      </c>
      <c r="L232" s="465">
        <v>2.36</v>
      </c>
      <c r="M232" s="259">
        <v>850</v>
      </c>
      <c r="N232" s="231">
        <v>372.68</v>
      </c>
      <c r="O232" s="426">
        <v>10.65</v>
      </c>
      <c r="P232" s="426">
        <v>8.82</v>
      </c>
      <c r="Q232" s="426">
        <v>10.15</v>
      </c>
      <c r="R232" s="259">
        <v>850</v>
      </c>
      <c r="S232" s="231">
        <v>417.61</v>
      </c>
      <c r="T232" s="464">
        <v>1.69</v>
      </c>
      <c r="U232" s="464">
        <v>2.52</v>
      </c>
      <c r="V232" s="464">
        <v>4.05</v>
      </c>
      <c r="W232" s="5"/>
      <c r="X232" s="650">
        <v>850</v>
      </c>
      <c r="Y232" s="651">
        <f t="shared" si="197"/>
        <v>0.375</v>
      </c>
      <c r="Z232" s="620">
        <v>9.6440000000000001</v>
      </c>
      <c r="AA232" s="620">
        <v>4.5170000000000003</v>
      </c>
      <c r="AB232" s="620">
        <f t="shared" si="198"/>
        <v>4.7519999999999998</v>
      </c>
      <c r="AC232" s="620">
        <f t="shared" si="199"/>
        <v>33.824000000000005</v>
      </c>
      <c r="AD232" s="707">
        <f t="shared" si="200"/>
        <v>162.34780472064</v>
      </c>
      <c r="AE232" s="650">
        <v>850</v>
      </c>
      <c r="AF232" s="620">
        <f t="shared" si="201"/>
        <v>0.29133333333333333</v>
      </c>
      <c r="AG232" s="620">
        <v>9.6440000000000001</v>
      </c>
      <c r="AH232" s="620">
        <v>4.5170000000000003</v>
      </c>
      <c r="AI232" s="620">
        <f t="shared" si="202"/>
        <v>4.8356666666666666</v>
      </c>
      <c r="AJ232" s="620">
        <f t="shared" si="203"/>
        <v>33.740333333333339</v>
      </c>
      <c r="AK232" s="653">
        <f t="shared" si="204"/>
        <v>164.79754890973169</v>
      </c>
      <c r="AL232" s="650">
        <v>850</v>
      </c>
      <c r="AM232" s="620">
        <f t="shared" si="205"/>
        <v>0.98733333333333329</v>
      </c>
      <c r="AN232" s="620">
        <v>9.6440000000000001</v>
      </c>
      <c r="AO232" s="620">
        <v>4.5170000000000003</v>
      </c>
      <c r="AP232" s="620">
        <f t="shared" si="206"/>
        <v>4.1396666666666668</v>
      </c>
      <c r="AQ232" s="620">
        <f t="shared" si="207"/>
        <v>34.436333333333337</v>
      </c>
      <c r="AR232" s="698">
        <f t="shared" si="208"/>
        <v>143.9883311562117</v>
      </c>
      <c r="AS232" s="650">
        <v>850</v>
      </c>
      <c r="AT232" s="620">
        <f t="shared" si="209"/>
        <v>0.27533333333333332</v>
      </c>
      <c r="AU232" s="620">
        <v>9.6440000000000001</v>
      </c>
      <c r="AV232" s="620">
        <v>4.5170000000000003</v>
      </c>
      <c r="AW232" s="620">
        <f t="shared" si="210"/>
        <v>4.8516666666666666</v>
      </c>
      <c r="AX232" s="620">
        <f t="shared" si="211"/>
        <v>33.724333333333341</v>
      </c>
      <c r="AY232" s="698">
        <f t="shared" si="212"/>
        <v>165.26441518509168</v>
      </c>
      <c r="AZ232" s="75"/>
      <c r="BA232" s="591">
        <v>850</v>
      </c>
      <c r="BB232" s="620">
        <v>103.50685607036536</v>
      </c>
      <c r="BC232" s="720">
        <f>(BB243-BB244)/BB225</f>
        <v>0.87520772477540698</v>
      </c>
      <c r="BD232" s="714">
        <f>D232-BB241</f>
        <v>32.569999999999993</v>
      </c>
      <c r="BE232" s="693">
        <f>BB243-BB244</f>
        <v>90.589999999999989</v>
      </c>
      <c r="BF232" s="693">
        <f t="shared" si="213"/>
        <v>35.953195716966555</v>
      </c>
      <c r="BG232" s="715">
        <f t="shared" si="214"/>
        <v>31.466514621851207</v>
      </c>
      <c r="BH232" s="591">
        <v>850</v>
      </c>
      <c r="BI232" s="620">
        <v>103.50685607036536</v>
      </c>
      <c r="BJ232" s="720">
        <f>(BI243-BI244)/BI225</f>
        <v>1.0378056495791392</v>
      </c>
      <c r="BK232" s="714">
        <f>I232-BI241</f>
        <v>35.569999999999993</v>
      </c>
      <c r="BL232" s="693">
        <f>BI243-BI244</f>
        <v>107.42</v>
      </c>
      <c r="BM232" s="693">
        <f t="shared" si="215"/>
        <v>33.113014336250224</v>
      </c>
      <c r="BN232" s="715">
        <f t="shared" si="216"/>
        <v>34.364873352755517</v>
      </c>
      <c r="BO232" s="650">
        <v>850</v>
      </c>
      <c r="BP232" s="681">
        <v>103.50685607036536</v>
      </c>
      <c r="BQ232" s="720">
        <f>(BP243-BP244)/BP225</f>
        <v>0.54672706860625098</v>
      </c>
      <c r="BR232" s="714">
        <f t="shared" si="217"/>
        <v>28.930000000000007</v>
      </c>
      <c r="BS232" s="693">
        <f>BP243-BP244</f>
        <v>56.589999999999989</v>
      </c>
      <c r="BT232" s="693">
        <f t="shared" si="218"/>
        <v>51.12210637921897</v>
      </c>
      <c r="BU232" s="668">
        <f t="shared" si="219"/>
        <v>27.94983936168731</v>
      </c>
      <c r="BV232" s="650">
        <v>850</v>
      </c>
      <c r="BW232" s="620">
        <v>103.50685607036536</v>
      </c>
      <c r="BX232" s="720">
        <f>(BW243-BW244)/BW225</f>
        <v>0.90689644689996085</v>
      </c>
      <c r="BY232" s="714">
        <f>S232-BW241</f>
        <v>37.07000000000005</v>
      </c>
      <c r="BZ232" s="693">
        <f>BW243-BW244</f>
        <v>93.86999999999999</v>
      </c>
      <c r="CA232" s="693">
        <f t="shared" si="220"/>
        <v>39.490785128369076</v>
      </c>
      <c r="CB232" s="668">
        <f t="shared" si="221"/>
        <v>35.814052718207726</v>
      </c>
      <c r="CC232" s="560"/>
    </row>
    <row r="233" spans="1:81" ht="15.75">
      <c r="A233" s="5"/>
      <c r="B233" s="59" t="s">
        <v>116</v>
      </c>
      <c r="C233" s="154">
        <v>950</v>
      </c>
      <c r="D233" s="315">
        <v>409.23</v>
      </c>
      <c r="E233" s="167">
        <v>6.04</v>
      </c>
      <c r="F233" s="167">
        <v>5.29</v>
      </c>
      <c r="G233" s="261">
        <v>3.11</v>
      </c>
      <c r="H233" s="259">
        <v>950</v>
      </c>
      <c r="I233" s="315">
        <v>429.18</v>
      </c>
      <c r="J233" s="167">
        <v>3.67</v>
      </c>
      <c r="K233" s="262">
        <v>5.45</v>
      </c>
      <c r="L233" s="465">
        <v>2.96</v>
      </c>
      <c r="M233" s="259">
        <v>950</v>
      </c>
      <c r="N233" s="231">
        <v>371.52</v>
      </c>
      <c r="O233" s="426">
        <v>10.95</v>
      </c>
      <c r="P233" s="426">
        <v>10.52</v>
      </c>
      <c r="Q233" s="426">
        <v>12.33</v>
      </c>
      <c r="R233" s="259">
        <v>950</v>
      </c>
      <c r="S233" s="231">
        <v>416.63</v>
      </c>
      <c r="T233" s="464">
        <v>2.71</v>
      </c>
      <c r="U233" s="464">
        <v>3.42</v>
      </c>
      <c r="V233" s="464">
        <v>3.87</v>
      </c>
      <c r="W233" s="5"/>
      <c r="X233" s="650">
        <v>950</v>
      </c>
      <c r="Y233" s="651">
        <f t="shared" si="197"/>
        <v>0.48133333333333334</v>
      </c>
      <c r="Z233" s="620">
        <v>9.6440000000000001</v>
      </c>
      <c r="AA233" s="620">
        <v>4.5170000000000003</v>
      </c>
      <c r="AB233" s="620">
        <f t="shared" si="198"/>
        <v>4.6456666666666662</v>
      </c>
      <c r="AC233" s="620">
        <f t="shared" si="199"/>
        <v>33.930333333333337</v>
      </c>
      <c r="AD233" s="707">
        <f t="shared" si="200"/>
        <v>198.87974456645165</v>
      </c>
      <c r="AE233" s="650">
        <v>950</v>
      </c>
      <c r="AF233" s="620">
        <f t="shared" si="201"/>
        <v>0.40266666666666673</v>
      </c>
      <c r="AG233" s="620">
        <v>9.6440000000000001</v>
      </c>
      <c r="AH233" s="620">
        <v>4.5170000000000003</v>
      </c>
      <c r="AI233" s="620">
        <f t="shared" si="202"/>
        <v>4.7243333333333331</v>
      </c>
      <c r="AJ233" s="620">
        <f t="shared" si="203"/>
        <v>33.851666666666674</v>
      </c>
      <c r="AK233" s="653">
        <f t="shared" si="204"/>
        <v>201.77853761449165</v>
      </c>
      <c r="AL233" s="650">
        <v>950</v>
      </c>
      <c r="AM233" s="620">
        <f t="shared" si="205"/>
        <v>1.1266666666666665</v>
      </c>
      <c r="AN233" s="620">
        <v>9.6440000000000001</v>
      </c>
      <c r="AO233" s="620">
        <v>4.5170000000000003</v>
      </c>
      <c r="AP233" s="620">
        <f t="shared" si="206"/>
        <v>4.0003333333333337</v>
      </c>
      <c r="AQ233" s="620">
        <f t="shared" si="207"/>
        <v>34.57566666666667</v>
      </c>
      <c r="AR233" s="698">
        <f t="shared" si="208"/>
        <v>174.51032433525168</v>
      </c>
      <c r="AS233" s="650">
        <v>950</v>
      </c>
      <c r="AT233" s="620">
        <f t="shared" si="209"/>
        <v>0.33333333333333337</v>
      </c>
      <c r="AU233" s="620">
        <v>9.6440000000000001</v>
      </c>
      <c r="AV233" s="620">
        <v>4.5170000000000003</v>
      </c>
      <c r="AW233" s="620">
        <f t="shared" si="210"/>
        <v>4.7936666666666667</v>
      </c>
      <c r="AX233" s="620">
        <f t="shared" si="211"/>
        <v>33.782333333333341</v>
      </c>
      <c r="AY233" s="698">
        <f t="shared" si="212"/>
        <v>204.32045939065168</v>
      </c>
      <c r="AZ233" s="75"/>
      <c r="BA233" s="591">
        <v>950</v>
      </c>
      <c r="BB233" s="620">
        <v>103.50685607036536</v>
      </c>
      <c r="BC233" s="720">
        <f>(BB243-BB244)/BB225</f>
        <v>0.87520772477540698</v>
      </c>
      <c r="BD233" s="714">
        <f>D233-BB241</f>
        <v>30.920000000000016</v>
      </c>
      <c r="BE233" s="693">
        <f>BB243-BB244</f>
        <v>90.589999999999989</v>
      </c>
      <c r="BF233" s="693">
        <f t="shared" si="213"/>
        <v>34.131802627221568</v>
      </c>
      <c r="BG233" s="715">
        <f t="shared" si="214"/>
        <v>29.872417319853845</v>
      </c>
      <c r="BH233" s="591">
        <v>950</v>
      </c>
      <c r="BI233" s="620">
        <v>103.50685607036536</v>
      </c>
      <c r="BJ233" s="720">
        <f>(BI243-BI244)/BI225</f>
        <v>1.0378056495791392</v>
      </c>
      <c r="BK233" s="714">
        <f>I233-BI241</f>
        <v>34.70999999999998</v>
      </c>
      <c r="BL233" s="693">
        <f>BI243-BI244</f>
        <v>107.42</v>
      </c>
      <c r="BM233" s="693">
        <f t="shared" si="215"/>
        <v>32.312418544032752</v>
      </c>
      <c r="BN233" s="715">
        <f t="shared" si="216"/>
        <v>33.534010516562937</v>
      </c>
      <c r="BO233" s="650">
        <v>950</v>
      </c>
      <c r="BP233" s="681">
        <v>103.50685607036536</v>
      </c>
      <c r="BQ233" s="720">
        <f>(BP243-BP244)/BP225</f>
        <v>0.54672706860625098</v>
      </c>
      <c r="BR233" s="714">
        <f t="shared" si="217"/>
        <v>27.769999999999982</v>
      </c>
      <c r="BS233" s="693">
        <f>BP243-BP244</f>
        <v>56.589999999999989</v>
      </c>
      <c r="BT233" s="693">
        <f t="shared" si="218"/>
        <v>49.072274253401638</v>
      </c>
      <c r="BU233" s="668">
        <f t="shared" si="219"/>
        <v>26.829140652404281</v>
      </c>
      <c r="BV233" s="650">
        <v>950</v>
      </c>
      <c r="BW233" s="620">
        <v>103.50685607036536</v>
      </c>
      <c r="BX233" s="720">
        <f>(BW243-BW244)/BW225</f>
        <v>0.90689644689996085</v>
      </c>
      <c r="BY233" s="714">
        <f>S233-BW241</f>
        <v>36.090000000000032</v>
      </c>
      <c r="BZ233" s="693">
        <f>BW243-BW244</f>
        <v>93.86999999999999</v>
      </c>
      <c r="CA233" s="693">
        <f t="shared" si="220"/>
        <v>38.446788111217678</v>
      </c>
      <c r="CB233" s="668">
        <f t="shared" si="221"/>
        <v>34.867255532778969</v>
      </c>
      <c r="CC233" s="560"/>
    </row>
    <row r="234" spans="1:81" ht="15.75">
      <c r="A234" s="5"/>
      <c r="B234" s="59" t="s">
        <v>116</v>
      </c>
      <c r="C234" s="154">
        <v>1000</v>
      </c>
      <c r="D234" s="315">
        <v>408.25</v>
      </c>
      <c r="E234" s="167">
        <v>2.66</v>
      </c>
      <c r="F234" s="167">
        <v>5.28</v>
      </c>
      <c r="G234" s="261">
        <v>6.2</v>
      </c>
      <c r="H234" s="259">
        <v>1000</v>
      </c>
      <c r="I234" s="315">
        <v>428.51</v>
      </c>
      <c r="J234" s="426">
        <v>3.04</v>
      </c>
      <c r="K234" s="464">
        <v>3.68</v>
      </c>
      <c r="L234" s="465">
        <v>4.04</v>
      </c>
      <c r="M234" s="259">
        <v>1000</v>
      </c>
      <c r="N234" s="231">
        <v>370.88</v>
      </c>
      <c r="O234" s="426">
        <v>10.210000000000001</v>
      </c>
      <c r="P234" s="426">
        <v>10.43</v>
      </c>
      <c r="Q234" s="426">
        <v>11.6</v>
      </c>
      <c r="R234" s="259">
        <v>1000</v>
      </c>
      <c r="S234" s="231">
        <v>416</v>
      </c>
      <c r="T234" s="464">
        <v>4.88</v>
      </c>
      <c r="U234" s="464">
        <v>3.32</v>
      </c>
      <c r="V234" s="464">
        <v>2.5299999999999998</v>
      </c>
      <c r="W234" s="5"/>
      <c r="X234" s="650">
        <v>1000</v>
      </c>
      <c r="Y234" s="651">
        <f t="shared" si="197"/>
        <v>0.47133333333333338</v>
      </c>
      <c r="Z234" s="620">
        <v>9.6440000000000001</v>
      </c>
      <c r="AA234" s="620">
        <v>4.5170000000000003</v>
      </c>
      <c r="AB234" s="620">
        <f t="shared" si="198"/>
        <v>4.6556666666666668</v>
      </c>
      <c r="AC234" s="620">
        <f t="shared" si="199"/>
        <v>33.920333333333339</v>
      </c>
      <c r="AD234" s="707">
        <f t="shared" si="200"/>
        <v>220.77462778066666</v>
      </c>
      <c r="AE234" s="650">
        <v>1000</v>
      </c>
      <c r="AF234" s="620">
        <f t="shared" si="201"/>
        <v>0.35866666666666674</v>
      </c>
      <c r="AG234" s="620">
        <v>9.6440000000000001</v>
      </c>
      <c r="AH234" s="620">
        <v>4.5170000000000003</v>
      </c>
      <c r="AI234" s="620">
        <f t="shared" si="202"/>
        <v>4.7683333333333326</v>
      </c>
      <c r="AJ234" s="620">
        <f t="shared" si="203"/>
        <v>33.80766666666667</v>
      </c>
      <c r="AK234" s="653">
        <f t="shared" si="204"/>
        <v>225.36630099666658</v>
      </c>
      <c r="AL234" s="650">
        <v>1000</v>
      </c>
      <c r="AM234" s="620">
        <f t="shared" si="205"/>
        <v>1.0746666666666669</v>
      </c>
      <c r="AN234" s="620">
        <v>9.6440000000000001</v>
      </c>
      <c r="AO234" s="620">
        <v>4.5170000000000003</v>
      </c>
      <c r="AP234" s="620">
        <f t="shared" si="206"/>
        <v>4.0523333333333333</v>
      </c>
      <c r="AQ234" s="620">
        <f t="shared" si="207"/>
        <v>34.523666666666671</v>
      </c>
      <c r="AR234" s="698">
        <f t="shared" si="208"/>
        <v>195.58216450066664</v>
      </c>
      <c r="AS234" s="650">
        <v>1000</v>
      </c>
      <c r="AT234" s="620">
        <f t="shared" si="209"/>
        <v>0.35766666666666663</v>
      </c>
      <c r="AU234" s="620">
        <v>9.6440000000000001</v>
      </c>
      <c r="AV234" s="620">
        <v>4.5170000000000003</v>
      </c>
      <c r="AW234" s="620">
        <f t="shared" si="210"/>
        <v>4.769333333333333</v>
      </c>
      <c r="AX234" s="620">
        <f t="shared" si="211"/>
        <v>33.806666666666672</v>
      </c>
      <c r="AY234" s="698">
        <f t="shared" si="212"/>
        <v>225.40689658666665</v>
      </c>
      <c r="AZ234" s="75"/>
      <c r="BA234" s="591">
        <v>1000</v>
      </c>
      <c r="BB234" s="620">
        <v>103.50685607036536</v>
      </c>
      <c r="BC234" s="720">
        <f>(BB243-BB244)/BB225</f>
        <v>0.87520772477540698</v>
      </c>
      <c r="BD234" s="714">
        <f>D234-BB241</f>
        <v>29.939999999999998</v>
      </c>
      <c r="BE234" s="693">
        <f>BB243-BB244</f>
        <v>90.589999999999989</v>
      </c>
      <c r="BF234" s="693">
        <f t="shared" si="213"/>
        <v>33.050005519373002</v>
      </c>
      <c r="BG234" s="715">
        <f t="shared" si="214"/>
        <v>28.925620134425088</v>
      </c>
      <c r="BH234" s="591">
        <v>1000</v>
      </c>
      <c r="BI234" s="620">
        <v>103.50685607036536</v>
      </c>
      <c r="BJ234" s="720">
        <f>(BI243-BI244)/BI225</f>
        <v>1.0378056495791392</v>
      </c>
      <c r="BK234" s="714">
        <f>I234-BI241</f>
        <v>34.039999999999964</v>
      </c>
      <c r="BL234" s="693">
        <f>BI243-BI244</f>
        <v>107.42</v>
      </c>
      <c r="BM234" s="693">
        <f t="shared" si="215"/>
        <v>31.688698566374939</v>
      </c>
      <c r="BN234" s="715">
        <f t="shared" si="216"/>
        <v>32.886710399994278</v>
      </c>
      <c r="BO234" s="650">
        <v>1000</v>
      </c>
      <c r="BP234" s="681">
        <v>103.50685607036536</v>
      </c>
      <c r="BQ234" s="720">
        <f>(BP243-BP244)/BP225</f>
        <v>0.54672706860625098</v>
      </c>
      <c r="BR234" s="714">
        <f t="shared" si="217"/>
        <v>27.129999999999995</v>
      </c>
      <c r="BS234" s="693">
        <f>BP243-BP244</f>
        <v>56.589999999999989</v>
      </c>
      <c r="BT234" s="693">
        <f t="shared" si="218"/>
        <v>47.941332390881783</v>
      </c>
      <c r="BU234" s="668">
        <f t="shared" si="219"/>
        <v>26.210824123144707</v>
      </c>
      <c r="BV234" s="650">
        <v>1000</v>
      </c>
      <c r="BW234" s="620">
        <v>103.50685607036536</v>
      </c>
      <c r="BX234" s="720">
        <f>(BW243-BW244)/BW225</f>
        <v>0.90689644689996085</v>
      </c>
      <c r="BY234" s="714">
        <f>S234-BW241</f>
        <v>35.460000000000036</v>
      </c>
      <c r="BZ234" s="693">
        <f>BW243-BW244</f>
        <v>93.86999999999999</v>
      </c>
      <c r="CA234" s="693">
        <f t="shared" si="220"/>
        <v>37.775647171620371</v>
      </c>
      <c r="CB234" s="668">
        <f t="shared" si="221"/>
        <v>34.25860019928907</v>
      </c>
      <c r="CC234" s="560"/>
    </row>
    <row r="235" spans="1:81" ht="15.75">
      <c r="A235" s="5"/>
      <c r="B235" s="59" t="s">
        <v>116</v>
      </c>
      <c r="C235" s="154">
        <v>1350</v>
      </c>
      <c r="D235" s="315">
        <v>405.53</v>
      </c>
      <c r="E235" s="167">
        <v>3.61</v>
      </c>
      <c r="F235" s="167">
        <v>5.51</v>
      </c>
      <c r="G235" s="261">
        <v>6.85</v>
      </c>
      <c r="H235" s="259">
        <v>1350</v>
      </c>
      <c r="I235" s="315">
        <v>426.76</v>
      </c>
      <c r="J235" s="426">
        <v>3.53</v>
      </c>
      <c r="K235" s="464">
        <v>4.57</v>
      </c>
      <c r="L235" s="465">
        <v>4.41</v>
      </c>
      <c r="M235" s="259">
        <v>1350</v>
      </c>
      <c r="N235" s="231">
        <v>368.83</v>
      </c>
      <c r="O235" s="426">
        <v>11.56</v>
      </c>
      <c r="P235" s="426">
        <v>10.63</v>
      </c>
      <c r="Q235" s="426">
        <v>11.82</v>
      </c>
      <c r="R235" s="259">
        <v>1350</v>
      </c>
      <c r="S235" s="231">
        <v>414.15</v>
      </c>
      <c r="T235" s="464">
        <v>3.25</v>
      </c>
      <c r="U235" s="464">
        <v>3.88</v>
      </c>
      <c r="V235" s="464">
        <v>5.08</v>
      </c>
      <c r="W235" s="5"/>
      <c r="X235" s="650">
        <v>1350</v>
      </c>
      <c r="Y235" s="651">
        <f t="shared" si="197"/>
        <v>0.53233333333333333</v>
      </c>
      <c r="Z235" s="620">
        <v>9.6440000000000001</v>
      </c>
      <c r="AA235" s="620">
        <v>4.5170000000000003</v>
      </c>
      <c r="AB235" s="620">
        <f t="shared" si="198"/>
        <v>4.5946666666666669</v>
      </c>
      <c r="AC235" s="620">
        <f t="shared" si="199"/>
        <v>33.981333333333339</v>
      </c>
      <c r="AD235" s="707">
        <f t="shared" si="200"/>
        <v>397.80398879712004</v>
      </c>
      <c r="AE235" s="650">
        <v>1350</v>
      </c>
      <c r="AF235" s="620">
        <f t="shared" si="201"/>
        <v>0.41699999999999998</v>
      </c>
      <c r="AG235" s="620">
        <v>9.6440000000000001</v>
      </c>
      <c r="AH235" s="620">
        <v>4.5170000000000003</v>
      </c>
      <c r="AI235" s="620">
        <f t="shared" si="202"/>
        <v>4.71</v>
      </c>
      <c r="AJ235" s="620">
        <f t="shared" si="203"/>
        <v>33.866000000000007</v>
      </c>
      <c r="AK235" s="653">
        <f t="shared" si="204"/>
        <v>406.4054464953</v>
      </c>
      <c r="AL235" s="650">
        <v>1350</v>
      </c>
      <c r="AM235" s="620">
        <f t="shared" si="205"/>
        <v>1.1336666666666668</v>
      </c>
      <c r="AN235" s="620">
        <v>9.6440000000000001</v>
      </c>
      <c r="AO235" s="620">
        <v>4.5170000000000003</v>
      </c>
      <c r="AP235" s="620">
        <f t="shared" si="206"/>
        <v>3.9933333333333332</v>
      </c>
      <c r="AQ235" s="620">
        <f t="shared" si="207"/>
        <v>34.582666666666675</v>
      </c>
      <c r="AR235" s="698">
        <f t="shared" si="208"/>
        <v>351.8590699188</v>
      </c>
      <c r="AS235" s="650">
        <v>1350</v>
      </c>
      <c r="AT235" s="620">
        <f t="shared" si="209"/>
        <v>0.40700000000000003</v>
      </c>
      <c r="AU235" s="620">
        <v>9.6440000000000001</v>
      </c>
      <c r="AV235" s="620">
        <v>4.5170000000000003</v>
      </c>
      <c r="AW235" s="620">
        <f t="shared" si="210"/>
        <v>4.72</v>
      </c>
      <c r="AX235" s="620">
        <f t="shared" si="211"/>
        <v>33.856000000000009</v>
      </c>
      <c r="AY235" s="698">
        <f t="shared" si="212"/>
        <v>407.14804431360005</v>
      </c>
      <c r="AZ235" s="75"/>
      <c r="BA235" s="591">
        <v>1350</v>
      </c>
      <c r="BB235" s="620">
        <v>103.50685607036536</v>
      </c>
      <c r="BC235" s="720">
        <f>(BB243-BB244)/BB225</f>
        <v>0.87520772477540698</v>
      </c>
      <c r="BD235" s="714">
        <f>D235-BB241</f>
        <v>27.21999999999997</v>
      </c>
      <c r="BE235" s="693">
        <f>BB243-BB244</f>
        <v>90.589999999999989</v>
      </c>
      <c r="BF235" s="693">
        <f t="shared" si="213"/>
        <v>30.047466607793329</v>
      </c>
      <c r="BG235" s="715">
        <f t="shared" si="214"/>
        <v>26.297774885071814</v>
      </c>
      <c r="BH235" s="591">
        <v>1350</v>
      </c>
      <c r="BI235" s="620">
        <v>103.50685607036536</v>
      </c>
      <c r="BJ235" s="720">
        <f>(BI243-BI244)/BI225</f>
        <v>1.0378056495791392</v>
      </c>
      <c r="BK235" s="714">
        <f>I235-BI241</f>
        <v>32.289999999999964</v>
      </c>
      <c r="BL235" s="693">
        <f>BI243-BI244</f>
        <v>107.42</v>
      </c>
      <c r="BM235" s="693">
        <f t="shared" si="215"/>
        <v>30.059579221746379</v>
      </c>
      <c r="BN235" s="715">
        <f t="shared" si="216"/>
        <v>31.196001140300098</v>
      </c>
      <c r="BO235" s="650">
        <v>1350</v>
      </c>
      <c r="BP235" s="681">
        <v>103.50685607036536</v>
      </c>
      <c r="BQ235" s="720">
        <f>(BP243-BP244)/BP225</f>
        <v>0.54672706860625098</v>
      </c>
      <c r="BR235" s="714">
        <f t="shared" si="217"/>
        <v>25.079999999999984</v>
      </c>
      <c r="BS235" s="693">
        <f>BP243-BP244</f>
        <v>56.589999999999989</v>
      </c>
      <c r="BT235" s="693">
        <f t="shared" si="218"/>
        <v>44.318784237497773</v>
      </c>
      <c r="BU235" s="668">
        <f t="shared" si="219"/>
        <v>24.23027899036008</v>
      </c>
      <c r="BV235" s="650">
        <v>1350</v>
      </c>
      <c r="BW235" s="620">
        <v>103.50685607036536</v>
      </c>
      <c r="BX235" s="720">
        <f>(BW243-BW244)/BW225</f>
        <v>0.90689644689996085</v>
      </c>
      <c r="BY235" s="714">
        <f>S235-BW241</f>
        <v>33.610000000000014</v>
      </c>
      <c r="BZ235" s="693">
        <f>BW243-BW244</f>
        <v>93.86999999999999</v>
      </c>
      <c r="CA235" s="693">
        <f t="shared" si="220"/>
        <v>35.804836475977439</v>
      </c>
      <c r="CB235" s="668">
        <f t="shared" si="221"/>
        <v>32.471278981898053</v>
      </c>
      <c r="CC235" s="560"/>
    </row>
    <row r="236" spans="1:81" ht="15.75">
      <c r="A236" s="5"/>
      <c r="B236" s="59" t="s">
        <v>116</v>
      </c>
      <c r="C236" s="154">
        <v>2500</v>
      </c>
      <c r="D236" s="315">
        <v>400.82</v>
      </c>
      <c r="E236" s="167">
        <v>9.06</v>
      </c>
      <c r="F236" s="167">
        <v>8.0500000000000007</v>
      </c>
      <c r="G236" s="261">
        <v>6.3</v>
      </c>
      <c r="H236" s="259">
        <v>2500</v>
      </c>
      <c r="I236" s="315">
        <v>422.66</v>
      </c>
      <c r="J236" s="426">
        <v>6.82</v>
      </c>
      <c r="K236" s="464">
        <v>7.28</v>
      </c>
      <c r="L236" s="465">
        <v>6.32</v>
      </c>
      <c r="M236" s="259">
        <v>2500</v>
      </c>
      <c r="N236" s="231">
        <v>365.13</v>
      </c>
      <c r="O236" s="426">
        <v>15.88</v>
      </c>
      <c r="P236" s="426">
        <v>15.95</v>
      </c>
      <c r="Q236" s="426">
        <v>14.98</v>
      </c>
      <c r="R236" s="259">
        <v>2500</v>
      </c>
      <c r="S236" s="231">
        <v>410.16</v>
      </c>
      <c r="T236" s="464">
        <v>8.8699999999999992</v>
      </c>
      <c r="U236" s="464">
        <v>6.77</v>
      </c>
      <c r="V236" s="464">
        <v>6.21</v>
      </c>
      <c r="W236" s="5"/>
      <c r="X236" s="650">
        <v>2500</v>
      </c>
      <c r="Y236" s="651">
        <f t="shared" si="197"/>
        <v>0.78033333333333332</v>
      </c>
      <c r="Z236" s="620">
        <v>9.6440000000000001</v>
      </c>
      <c r="AA236" s="620">
        <v>4.5170000000000003</v>
      </c>
      <c r="AB236" s="620">
        <f t="shared" si="198"/>
        <v>4.3466666666666667</v>
      </c>
      <c r="AC236" s="620">
        <f t="shared" si="199"/>
        <v>34.229333333333336</v>
      </c>
      <c r="AD236" s="707">
        <f t="shared" si="200"/>
        <v>1299.9958506666665</v>
      </c>
      <c r="AE236" s="650">
        <v>2500</v>
      </c>
      <c r="AF236" s="620">
        <f t="shared" si="201"/>
        <v>0.68066666666666675</v>
      </c>
      <c r="AG236" s="620">
        <v>9.6440000000000001</v>
      </c>
      <c r="AH236" s="620">
        <v>4.5170000000000003</v>
      </c>
      <c r="AI236" s="620">
        <f t="shared" si="202"/>
        <v>4.4463333333333335</v>
      </c>
      <c r="AJ236" s="620">
        <f t="shared" si="203"/>
        <v>34.129666666666672</v>
      </c>
      <c r="AK236" s="653">
        <f t="shared" si="204"/>
        <v>1325.932003929167</v>
      </c>
      <c r="AL236" s="650">
        <v>2500</v>
      </c>
      <c r="AM236" s="620">
        <f t="shared" si="205"/>
        <v>1.5603333333333333</v>
      </c>
      <c r="AN236" s="620">
        <v>9.6440000000000001</v>
      </c>
      <c r="AO236" s="620">
        <v>4.5170000000000003</v>
      </c>
      <c r="AP236" s="620">
        <f t="shared" si="206"/>
        <v>3.5666666666666664</v>
      </c>
      <c r="AQ236" s="620">
        <f t="shared" si="207"/>
        <v>35.009333333333338</v>
      </c>
      <c r="AR236" s="698">
        <f t="shared" si="208"/>
        <v>1091.0221116666667</v>
      </c>
      <c r="AS236" s="650">
        <v>2500</v>
      </c>
      <c r="AT236" s="620">
        <f t="shared" si="209"/>
        <v>0.72833333333333328</v>
      </c>
      <c r="AU236" s="620">
        <v>9.6440000000000001</v>
      </c>
      <c r="AV236" s="620">
        <v>4.5170000000000003</v>
      </c>
      <c r="AW236" s="620">
        <f t="shared" si="210"/>
        <v>4.3986666666666663</v>
      </c>
      <c r="AX236" s="620">
        <f t="shared" si="211"/>
        <v>34.177333333333337</v>
      </c>
      <c r="AY236" s="698">
        <f t="shared" si="212"/>
        <v>1313.5494140666665</v>
      </c>
      <c r="AZ236" s="75"/>
      <c r="BA236" s="591">
        <v>2500</v>
      </c>
      <c r="BB236" s="620">
        <v>103.50685607036536</v>
      </c>
      <c r="BC236" s="720">
        <f>(BB243-BB244)/BB225</f>
        <v>0.87520772477540698</v>
      </c>
      <c r="BD236" s="714">
        <f>D236-BB241</f>
        <v>22.509999999999991</v>
      </c>
      <c r="BE236" s="693">
        <f>BB243-BB244</f>
        <v>90.589999999999989</v>
      </c>
      <c r="BF236" s="693">
        <f t="shared" si="213"/>
        <v>24.848217242521244</v>
      </c>
      <c r="BG236" s="715">
        <f t="shared" si="214"/>
        <v>21.747351677552054</v>
      </c>
      <c r="BH236" s="591">
        <v>2500</v>
      </c>
      <c r="BI236" s="620">
        <v>103.50685607036536</v>
      </c>
      <c r="BJ236" s="720">
        <f>(BI243-BI244)/BI225</f>
        <v>1.0378056495791392</v>
      </c>
      <c r="BK236" s="714">
        <f>I236-BI241</f>
        <v>28.189999999999998</v>
      </c>
      <c r="BL236" s="693">
        <f>BI243-BI244</f>
        <v>107.42</v>
      </c>
      <c r="BM236" s="693">
        <f t="shared" si="215"/>
        <v>26.242785328616641</v>
      </c>
      <c r="BN236" s="715">
        <f t="shared" si="216"/>
        <v>27.234910874730897</v>
      </c>
      <c r="BO236" s="650">
        <v>2500</v>
      </c>
      <c r="BP236" s="681">
        <v>103.50685607036536</v>
      </c>
      <c r="BQ236" s="720">
        <f>(BP243-BP244)/BP225</f>
        <v>0.54672706860625098</v>
      </c>
      <c r="BR236" s="714">
        <f t="shared" si="217"/>
        <v>21.379999999999995</v>
      </c>
      <c r="BS236" s="693">
        <f>BP243-BP244</f>
        <v>56.589999999999989</v>
      </c>
      <c r="BT236" s="693">
        <f t="shared" si="218"/>
        <v>37.780526594804734</v>
      </c>
      <c r="BU236" s="668">
        <f t="shared" si="219"/>
        <v>20.655636555578099</v>
      </c>
      <c r="BV236" s="650">
        <v>2500</v>
      </c>
      <c r="BW236" s="620">
        <v>103.50685607036536</v>
      </c>
      <c r="BX236" s="720">
        <f>(BW243-BW244)/BW225</f>
        <v>0.90689644689996085</v>
      </c>
      <c r="BY236" s="714">
        <f>S236-BW241</f>
        <v>29.620000000000061</v>
      </c>
      <c r="BZ236" s="693">
        <f>BW243-BW244</f>
        <v>93.86999999999999</v>
      </c>
      <c r="CA236" s="693">
        <f t="shared" si="220"/>
        <v>31.554277191861154</v>
      </c>
      <c r="CB236" s="668">
        <f t="shared" si="221"/>
        <v>28.616461869795355</v>
      </c>
      <c r="CC236" s="560"/>
    </row>
    <row r="237" spans="1:81" ht="15.75">
      <c r="A237" s="5"/>
      <c r="B237" s="59" t="s">
        <v>116</v>
      </c>
      <c r="C237" s="154">
        <v>5000</v>
      </c>
      <c r="D237" s="315">
        <v>396.61</v>
      </c>
      <c r="E237" s="167">
        <v>10.93</v>
      </c>
      <c r="F237" s="167">
        <v>13.01</v>
      </c>
      <c r="G237" s="261">
        <v>13.6</v>
      </c>
      <c r="H237" s="259">
        <v>5000</v>
      </c>
      <c r="I237" s="315">
        <v>418.04</v>
      </c>
      <c r="J237" s="426">
        <v>10.77</v>
      </c>
      <c r="K237" s="464">
        <v>11.56</v>
      </c>
      <c r="L237" s="465">
        <v>10.24</v>
      </c>
      <c r="M237" s="259">
        <v>5000</v>
      </c>
      <c r="N237" s="231">
        <v>361.38</v>
      </c>
      <c r="O237" s="426">
        <v>20.309999999999999</v>
      </c>
      <c r="P237" s="426">
        <v>20.56</v>
      </c>
      <c r="Q237" s="426">
        <v>21.47</v>
      </c>
      <c r="R237" s="259">
        <v>5000</v>
      </c>
      <c r="S237" s="231">
        <v>404.84</v>
      </c>
      <c r="T237" s="464">
        <v>11.1</v>
      </c>
      <c r="U237" s="464">
        <v>11.45</v>
      </c>
      <c r="V237" s="464">
        <v>14.45</v>
      </c>
      <c r="W237" s="5"/>
      <c r="X237" s="650">
        <v>5000</v>
      </c>
      <c r="Y237" s="651">
        <f t="shared" si="197"/>
        <v>1.2513333333333334</v>
      </c>
      <c r="Z237" s="620">
        <v>9.6440000000000001</v>
      </c>
      <c r="AA237" s="620">
        <v>4.5170000000000003</v>
      </c>
      <c r="AB237" s="620">
        <f t="shared" si="198"/>
        <v>3.8756666666666666</v>
      </c>
      <c r="AC237" s="620">
        <f t="shared" si="199"/>
        <v>34.70033333333334</v>
      </c>
      <c r="AD237" s="707">
        <f t="shared" si="200"/>
        <v>4700.3180365166672</v>
      </c>
      <c r="AE237" s="650">
        <v>5000</v>
      </c>
      <c r="AF237" s="620">
        <f t="shared" si="201"/>
        <v>1.0856666666666668</v>
      </c>
      <c r="AG237" s="620">
        <v>9.6440000000000001</v>
      </c>
      <c r="AH237" s="620">
        <v>4.5170000000000003</v>
      </c>
      <c r="AI237" s="620">
        <f t="shared" si="202"/>
        <v>4.0413333333333332</v>
      </c>
      <c r="AJ237" s="620">
        <f t="shared" si="203"/>
        <v>34.534666666666674</v>
      </c>
      <c r="AK237" s="653">
        <f t="shared" si="204"/>
        <v>4877.8351794666669</v>
      </c>
      <c r="AL237" s="650">
        <v>5000</v>
      </c>
      <c r="AM237" s="620">
        <f t="shared" si="205"/>
        <v>2.0779999999999998</v>
      </c>
      <c r="AN237" s="620">
        <v>9.6440000000000001</v>
      </c>
      <c r="AO237" s="620">
        <v>4.5170000000000003</v>
      </c>
      <c r="AP237" s="620">
        <f t="shared" si="206"/>
        <v>3.0489999999999995</v>
      </c>
      <c r="AQ237" s="620">
        <f t="shared" si="207"/>
        <v>35.527000000000008</v>
      </c>
      <c r="AR237" s="698">
        <f t="shared" si="208"/>
        <v>3785.8477138499998</v>
      </c>
      <c r="AS237" s="650">
        <v>5000</v>
      </c>
      <c r="AT237" s="620">
        <f t="shared" si="209"/>
        <v>1.2333333333333334</v>
      </c>
      <c r="AU237" s="620">
        <v>9.6440000000000001</v>
      </c>
      <c r="AV237" s="620">
        <v>4.5170000000000003</v>
      </c>
      <c r="AW237" s="620">
        <f t="shared" si="210"/>
        <v>3.8936666666666664</v>
      </c>
      <c r="AX237" s="620">
        <f t="shared" si="211"/>
        <v>34.682333333333339</v>
      </c>
      <c r="AY237" s="698">
        <f t="shared" si="212"/>
        <v>4719.6985105166668</v>
      </c>
      <c r="AZ237" s="75"/>
      <c r="BA237" s="591">
        <v>5000</v>
      </c>
      <c r="BB237" s="620">
        <v>103.50685607036536</v>
      </c>
      <c r="BC237" s="720">
        <f>(BB243-BB244)/BB225</f>
        <v>0.87520772477540698</v>
      </c>
      <c r="BD237" s="714">
        <f>D237-BB241</f>
        <v>18.300000000000011</v>
      </c>
      <c r="BE237" s="693">
        <f>BB243-BB244</f>
        <v>90.589999999999989</v>
      </c>
      <c r="BF237" s="693">
        <f t="shared" si="213"/>
        <v>20.200905177171887</v>
      </c>
      <c r="BG237" s="715">
        <f t="shared" si="214"/>
        <v>17.679988258516346</v>
      </c>
      <c r="BH237" s="591">
        <v>5000</v>
      </c>
      <c r="BI237" s="620">
        <v>103.50685607036536</v>
      </c>
      <c r="BJ237" s="720">
        <f>(BI243-BI244)/BI225</f>
        <v>1.0378056495791392</v>
      </c>
      <c r="BK237" s="714">
        <f>I237-BI241</f>
        <v>23.569999999999993</v>
      </c>
      <c r="BL237" s="693">
        <f>BI243-BI244</f>
        <v>107.42</v>
      </c>
      <c r="BM237" s="693">
        <f t="shared" si="215"/>
        <v>21.941910258797236</v>
      </c>
      <c r="BN237" s="715">
        <f t="shared" si="216"/>
        <v>22.771438429138243</v>
      </c>
      <c r="BO237" s="650">
        <v>5000</v>
      </c>
      <c r="BP237" s="681">
        <v>103.50685607036536</v>
      </c>
      <c r="BQ237" s="720">
        <f>(BP243-BP244)/BP225</f>
        <v>0.54672706860625098</v>
      </c>
      <c r="BR237" s="714">
        <f t="shared" si="217"/>
        <v>17.629999999999995</v>
      </c>
      <c r="BS237" s="693">
        <f>BP243-BP244</f>
        <v>56.589999999999989</v>
      </c>
      <c r="BT237" s="693">
        <f t="shared" si="218"/>
        <v>31.153914119102311</v>
      </c>
      <c r="BU237" s="668">
        <f t="shared" si="219"/>
        <v>17.032688141947698</v>
      </c>
      <c r="BV237" s="650">
        <v>5000</v>
      </c>
      <c r="BW237" s="620">
        <v>103.50685607036536</v>
      </c>
      <c r="BX237" s="720">
        <f>(BW243-BW244)/BW225</f>
        <v>0.90689644689996085</v>
      </c>
      <c r="BY237" s="714">
        <f>S237-BW241</f>
        <v>24.300000000000011</v>
      </c>
      <c r="BZ237" s="693">
        <f>BW243-BW244</f>
        <v>93.86999999999999</v>
      </c>
      <c r="CA237" s="693">
        <f t="shared" si="220"/>
        <v>25.886864813039324</v>
      </c>
      <c r="CB237" s="668">
        <f t="shared" si="221"/>
        <v>23.476705720324983</v>
      </c>
      <c r="CC237" s="560"/>
    </row>
    <row r="238" spans="1:81" ht="15.75">
      <c r="A238" s="5"/>
      <c r="B238" s="59" t="s">
        <v>116</v>
      </c>
      <c r="C238" s="154">
        <v>7000</v>
      </c>
      <c r="D238" s="315">
        <v>394.73</v>
      </c>
      <c r="E238" s="167">
        <v>13.57</v>
      </c>
      <c r="F238" s="167">
        <v>14.54</v>
      </c>
      <c r="G238" s="261">
        <v>15.12</v>
      </c>
      <c r="H238" s="259">
        <v>7000</v>
      </c>
      <c r="I238" s="75">
        <f>414.47+0.3</f>
        <v>414.77000000000004</v>
      </c>
      <c r="J238" s="426">
        <v>12.6</v>
      </c>
      <c r="K238" s="464">
        <v>12.31</v>
      </c>
      <c r="L238" s="465">
        <v>11.49</v>
      </c>
      <c r="M238" s="259">
        <v>7000</v>
      </c>
      <c r="N238" s="231">
        <v>359.55</v>
      </c>
      <c r="O238" s="426">
        <v>23.06</v>
      </c>
      <c r="P238" s="426">
        <v>22.79</v>
      </c>
      <c r="Q238" s="426">
        <v>24.12</v>
      </c>
      <c r="R238" s="259">
        <v>7000</v>
      </c>
      <c r="S238" s="231">
        <v>402.06</v>
      </c>
      <c r="T238" s="464">
        <v>13.39</v>
      </c>
      <c r="U238" s="464">
        <v>12.8</v>
      </c>
      <c r="V238" s="464">
        <v>16.03</v>
      </c>
      <c r="W238" s="5"/>
      <c r="X238" s="650">
        <v>7000</v>
      </c>
      <c r="Y238" s="651">
        <f t="shared" si="197"/>
        <v>1.4409999999999998</v>
      </c>
      <c r="Z238" s="620">
        <v>9.6440000000000001</v>
      </c>
      <c r="AA238" s="620">
        <v>4.5170000000000003</v>
      </c>
      <c r="AB238" s="620">
        <f t="shared" si="198"/>
        <v>3.6859999999999999</v>
      </c>
      <c r="AC238" s="620">
        <f t="shared" si="199"/>
        <v>34.890000000000008</v>
      </c>
      <c r="AD238" s="707">
        <f t="shared" si="200"/>
        <v>8809.6681990800007</v>
      </c>
      <c r="AE238" s="650">
        <v>7000</v>
      </c>
      <c r="AF238" s="620">
        <f t="shared" si="201"/>
        <v>1.2133333333333334</v>
      </c>
      <c r="AG238" s="620">
        <v>9.6440000000000001</v>
      </c>
      <c r="AH238" s="620">
        <v>4.5170000000000003</v>
      </c>
      <c r="AI238" s="620">
        <f t="shared" si="202"/>
        <v>3.913666666666666</v>
      </c>
      <c r="AJ238" s="620">
        <f t="shared" si="203"/>
        <v>34.662333333333336</v>
      </c>
      <c r="AK238" s="653">
        <f t="shared" si="204"/>
        <v>9292.7633846926656</v>
      </c>
      <c r="AL238" s="650">
        <v>7000</v>
      </c>
      <c r="AM238" s="620">
        <f t="shared" si="205"/>
        <v>2.3323333333333336</v>
      </c>
      <c r="AN238" s="620">
        <v>9.6440000000000001</v>
      </c>
      <c r="AO238" s="620">
        <v>4.5170000000000003</v>
      </c>
      <c r="AP238" s="620">
        <f t="shared" si="206"/>
        <v>2.7946666666666662</v>
      </c>
      <c r="AQ238" s="620">
        <f t="shared" si="207"/>
        <v>35.781333333333336</v>
      </c>
      <c r="AR238" s="698">
        <f t="shared" si="208"/>
        <v>6849.987613354665</v>
      </c>
      <c r="AS238" s="650">
        <v>7000</v>
      </c>
      <c r="AT238" s="620">
        <f t="shared" si="209"/>
        <v>1.4073333333333333</v>
      </c>
      <c r="AU238" s="620">
        <v>9.6440000000000001</v>
      </c>
      <c r="AV238" s="620">
        <v>4.5170000000000003</v>
      </c>
      <c r="AW238" s="620">
        <f t="shared" si="210"/>
        <v>3.7196666666666669</v>
      </c>
      <c r="AX238" s="620">
        <f t="shared" si="211"/>
        <v>34.856333333333339</v>
      </c>
      <c r="AY238" s="698">
        <f t="shared" si="212"/>
        <v>8881.5542816046691</v>
      </c>
      <c r="AZ238" s="75"/>
      <c r="BA238" s="591">
        <v>7000</v>
      </c>
      <c r="BB238" s="620">
        <v>103.50685607036536</v>
      </c>
      <c r="BC238" s="720">
        <f>(BB243-BB244)/BB225</f>
        <v>0.87520772477540698</v>
      </c>
      <c r="BD238" s="714">
        <f>D238-BB241</f>
        <v>16.420000000000016</v>
      </c>
      <c r="BE238" s="693">
        <f>BB243-BB244</f>
        <v>90.589999999999989</v>
      </c>
      <c r="BF238" s="693">
        <f t="shared" si="213"/>
        <v>18.125620929462432</v>
      </c>
      <c r="BG238" s="715">
        <f t="shared" si="214"/>
        <v>15.863683453816313</v>
      </c>
      <c r="BH238" s="591">
        <v>7000</v>
      </c>
      <c r="BI238" s="620">
        <v>103.50685607036536</v>
      </c>
      <c r="BJ238" s="720">
        <f>(BI243-BI244)/BI225</f>
        <v>1.0378056495791392</v>
      </c>
      <c r="BK238" s="714">
        <f>I238-BI241</f>
        <v>20.300000000000011</v>
      </c>
      <c r="BL238" s="693">
        <f>BI243-BI244</f>
        <v>107.42</v>
      </c>
      <c r="BM238" s="693">
        <f t="shared" si="215"/>
        <v>18.897784397691318</v>
      </c>
      <c r="BN238" s="715">
        <f t="shared" si="216"/>
        <v>19.612227412452562</v>
      </c>
      <c r="BO238" s="650">
        <v>7000</v>
      </c>
      <c r="BP238" s="681">
        <v>103.50685607036536</v>
      </c>
      <c r="BQ238" s="720">
        <f>(BP243-BP244)/BP225</f>
        <v>0.54672706860625098</v>
      </c>
      <c r="BR238" s="714">
        <f t="shared" si="217"/>
        <v>15.800000000000011</v>
      </c>
      <c r="BS238" s="693">
        <f>BP243-BP244</f>
        <v>56.589999999999989</v>
      </c>
      <c r="BT238" s="693">
        <f t="shared" si="218"/>
        <v>27.920127230959558</v>
      </c>
      <c r="BU238" s="668">
        <f t="shared" si="219"/>
        <v>15.264689316096083</v>
      </c>
      <c r="BV238" s="650">
        <v>7000</v>
      </c>
      <c r="BW238" s="620">
        <v>103.50685607036536</v>
      </c>
      <c r="BX238" s="720">
        <f>(BW243-BW244)/BW225</f>
        <v>0.90689644689996085</v>
      </c>
      <c r="BY238" s="714">
        <f>S238-BW241</f>
        <v>21.520000000000039</v>
      </c>
      <c r="BZ238" s="693">
        <f>BW243-BW244</f>
        <v>93.86999999999999</v>
      </c>
      <c r="CA238" s="693">
        <f t="shared" si="220"/>
        <v>22.925322254181356</v>
      </c>
      <c r="CB238" s="668">
        <f t="shared" si="221"/>
        <v>20.790893296353673</v>
      </c>
      <c r="CC238" s="560"/>
    </row>
    <row r="239" spans="1:81" ht="15.75">
      <c r="A239" s="5"/>
      <c r="B239" s="59" t="s">
        <v>116</v>
      </c>
      <c r="C239" s="154">
        <v>9000</v>
      </c>
      <c r="D239" s="315">
        <v>393.65</v>
      </c>
      <c r="E239" s="27">
        <v>15.15</v>
      </c>
      <c r="F239" s="27">
        <v>17.57</v>
      </c>
      <c r="G239" s="94">
        <v>16.739999999999998</v>
      </c>
      <c r="H239" s="259">
        <v>9000</v>
      </c>
      <c r="I239" s="315">
        <f>412.27+0.3</f>
        <v>412.57</v>
      </c>
      <c r="J239" s="426">
        <v>14.61</v>
      </c>
      <c r="K239" s="464">
        <v>13.78</v>
      </c>
      <c r="L239" s="465">
        <v>14.2</v>
      </c>
      <c r="M239" s="259">
        <v>9000</v>
      </c>
      <c r="N239" s="231">
        <v>358.27</v>
      </c>
      <c r="O239" s="426">
        <v>24.34</v>
      </c>
      <c r="P239" s="426">
        <v>24.58</v>
      </c>
      <c r="Q239" s="426">
        <v>25.62</v>
      </c>
      <c r="R239" s="259">
        <v>9000</v>
      </c>
      <c r="S239" s="231">
        <v>399.88</v>
      </c>
      <c r="T239" s="464">
        <v>15.2</v>
      </c>
      <c r="U239" s="464">
        <v>14.43</v>
      </c>
      <c r="V239" s="464">
        <v>17.940000000000001</v>
      </c>
      <c r="W239" s="5"/>
      <c r="X239" s="650">
        <v>9000</v>
      </c>
      <c r="Y239" s="651">
        <f t="shared" si="197"/>
        <v>1.6486666666666665</v>
      </c>
      <c r="Z239" s="620">
        <v>9.6440000000000001</v>
      </c>
      <c r="AA239" s="620">
        <v>4.5170000000000003</v>
      </c>
      <c r="AB239" s="620">
        <f t="shared" si="198"/>
        <v>3.4783333333333335</v>
      </c>
      <c r="AC239" s="620">
        <f t="shared" si="199"/>
        <v>35.097666666666669</v>
      </c>
      <c r="AD239" s="707">
        <f t="shared" si="200"/>
        <v>13824.25174881</v>
      </c>
      <c r="AE239" s="650">
        <v>9000</v>
      </c>
      <c r="AF239" s="620">
        <f t="shared" si="201"/>
        <v>1.4196666666666666</v>
      </c>
      <c r="AG239" s="620">
        <v>9.6440000000000001</v>
      </c>
      <c r="AH239" s="620">
        <v>4.5170000000000003</v>
      </c>
      <c r="AI239" s="620">
        <f t="shared" si="202"/>
        <v>3.7073333333333327</v>
      </c>
      <c r="AJ239" s="620">
        <f t="shared" si="203"/>
        <v>34.86866666666667</v>
      </c>
      <c r="AK239" s="653">
        <f t="shared" si="204"/>
        <v>14638.250240423997</v>
      </c>
      <c r="AL239" s="650">
        <v>9000</v>
      </c>
      <c r="AM239" s="620">
        <f t="shared" si="205"/>
        <v>2.4846666666666666</v>
      </c>
      <c r="AN239" s="620">
        <v>9.6440000000000001</v>
      </c>
      <c r="AO239" s="620">
        <v>4.5170000000000003</v>
      </c>
      <c r="AP239" s="620">
        <f t="shared" si="206"/>
        <v>2.6423333333333332</v>
      </c>
      <c r="AQ239" s="620">
        <f t="shared" si="207"/>
        <v>35.933666666666674</v>
      </c>
      <c r="AR239" s="698">
        <f t="shared" si="208"/>
        <v>10751.803746714</v>
      </c>
      <c r="AS239" s="650">
        <v>9000</v>
      </c>
      <c r="AT239" s="620">
        <f t="shared" si="209"/>
        <v>1.5856666666666668</v>
      </c>
      <c r="AU239" s="620">
        <v>9.6440000000000001</v>
      </c>
      <c r="AV239" s="620">
        <v>4.5170000000000003</v>
      </c>
      <c r="AW239" s="620">
        <f t="shared" si="210"/>
        <v>3.5413333333333332</v>
      </c>
      <c r="AX239" s="620">
        <f t="shared" si="211"/>
        <v>35.034666666666674</v>
      </c>
      <c r="AY239" s="698">
        <f t="shared" si="212"/>
        <v>14049.374441472</v>
      </c>
      <c r="AZ239" s="75"/>
      <c r="BA239" s="591">
        <v>9000</v>
      </c>
      <c r="BB239" s="620">
        <v>103.50685607036536</v>
      </c>
      <c r="BC239" s="720">
        <f>(BB243-BB244)/BB225</f>
        <v>0.87520772477540698</v>
      </c>
      <c r="BD239" s="714">
        <f>D239-BB241</f>
        <v>15.339999999999975</v>
      </c>
      <c r="BE239" s="693">
        <f>BB243-BB244</f>
        <v>90.589999999999989</v>
      </c>
      <c r="BF239" s="693">
        <f t="shared" si="213"/>
        <v>16.93343636162929</v>
      </c>
      <c r="BG239" s="715">
        <f t="shared" si="214"/>
        <v>14.820274310690717</v>
      </c>
      <c r="BH239" s="591">
        <v>9000</v>
      </c>
      <c r="BI239" s="620">
        <v>103.50685607036536</v>
      </c>
      <c r="BJ239" s="720">
        <f>(BI243-BI244)/BI225</f>
        <v>1.0378056495791392</v>
      </c>
      <c r="BK239" s="714">
        <f>I239-BI241</f>
        <v>18.099999999999966</v>
      </c>
      <c r="BL239" s="693">
        <f>BI243-BI244</f>
        <v>107.42</v>
      </c>
      <c r="BM239" s="693">
        <f t="shared" si="215"/>
        <v>16.849748650158226</v>
      </c>
      <c r="BN239" s="715">
        <f t="shared" si="216"/>
        <v>17.486764343122683</v>
      </c>
      <c r="BO239" s="650">
        <v>9000</v>
      </c>
      <c r="BP239" s="681">
        <v>103.50685607036536</v>
      </c>
      <c r="BQ239" s="720">
        <f>(BP243-BP244)/BP225</f>
        <v>0.54672706860625098</v>
      </c>
      <c r="BR239" s="714">
        <f t="shared" si="217"/>
        <v>14.519999999999982</v>
      </c>
      <c r="BS239" s="693">
        <f>BP243-BP244</f>
        <v>56.589999999999989</v>
      </c>
      <c r="BT239" s="693">
        <f t="shared" si="218"/>
        <v>25.658243505919749</v>
      </c>
      <c r="BU239" s="668">
        <f t="shared" si="219"/>
        <v>14.02805625757688</v>
      </c>
      <c r="BV239" s="650">
        <v>9000</v>
      </c>
      <c r="BW239" s="620">
        <v>103.50685607036536</v>
      </c>
      <c r="BX239" s="720">
        <f>(BW243-BW244)/BW225</f>
        <v>0.90689644689996085</v>
      </c>
      <c r="BY239" s="714">
        <f>S239-BW241</f>
        <v>19.340000000000032</v>
      </c>
      <c r="BZ239" s="693">
        <f>BW243-BW244</f>
        <v>93.86999999999999</v>
      </c>
      <c r="CA239" s="693">
        <f t="shared" si="220"/>
        <v>20.602961542558894</v>
      </c>
      <c r="CB239" s="668">
        <f t="shared" si="221"/>
        <v>18.684752618563198</v>
      </c>
      <c r="CC239" s="560"/>
    </row>
    <row r="240" spans="1:81" ht="15.75">
      <c r="A240" s="5"/>
      <c r="B240" s="60" t="s">
        <v>116</v>
      </c>
      <c r="C240" s="263">
        <v>10000</v>
      </c>
      <c r="D240" s="65">
        <v>392.6</v>
      </c>
      <c r="E240" s="263">
        <v>15.69</v>
      </c>
      <c r="F240" s="263">
        <v>18.28</v>
      </c>
      <c r="G240" s="264">
        <v>17.63</v>
      </c>
      <c r="H240" s="265">
        <v>10000</v>
      </c>
      <c r="I240" s="65">
        <f>410.99+0.3</f>
        <v>411.29</v>
      </c>
      <c r="J240" s="466">
        <v>15.27</v>
      </c>
      <c r="K240" s="467">
        <v>14.68</v>
      </c>
      <c r="L240" s="468">
        <v>14.85</v>
      </c>
      <c r="M240" s="265">
        <v>10000</v>
      </c>
      <c r="N240" s="231">
        <v>357.67</v>
      </c>
      <c r="O240" s="315">
        <v>25.2</v>
      </c>
      <c r="P240" s="315">
        <v>25.81</v>
      </c>
      <c r="Q240" s="315">
        <v>26.41</v>
      </c>
      <c r="R240" s="265">
        <v>10000</v>
      </c>
      <c r="S240" s="231">
        <v>398.58</v>
      </c>
      <c r="T240" s="231">
        <v>15.99</v>
      </c>
      <c r="U240" s="231">
        <v>15.53</v>
      </c>
      <c r="V240" s="231">
        <v>19.07</v>
      </c>
      <c r="W240" s="5"/>
      <c r="X240" s="660">
        <v>10000</v>
      </c>
      <c r="Y240" s="608">
        <f t="shared" si="197"/>
        <v>1.72</v>
      </c>
      <c r="Z240" s="609">
        <v>9.6440000000000001</v>
      </c>
      <c r="AA240" s="609">
        <v>4.5170000000000003</v>
      </c>
      <c r="AB240" s="609">
        <f t="shared" si="198"/>
        <v>3.407</v>
      </c>
      <c r="AC240" s="609">
        <f t="shared" si="199"/>
        <v>35.169000000000004</v>
      </c>
      <c r="AD240" s="708">
        <f t="shared" si="200"/>
        <v>16750.945463399999</v>
      </c>
      <c r="AE240" s="660">
        <v>10000</v>
      </c>
      <c r="AF240" s="609">
        <f t="shared" si="201"/>
        <v>1.4933333333333332</v>
      </c>
      <c r="AG240" s="609">
        <v>9.6440000000000001</v>
      </c>
      <c r="AH240" s="609">
        <v>4.5170000000000003</v>
      </c>
      <c r="AI240" s="609">
        <f t="shared" si="202"/>
        <v>3.6336666666666666</v>
      </c>
      <c r="AJ240" s="609">
        <f t="shared" si="203"/>
        <v>34.942333333333337</v>
      </c>
      <c r="AK240" s="702">
        <f t="shared" si="204"/>
        <v>17750.237106066666</v>
      </c>
      <c r="AL240" s="660">
        <v>10000</v>
      </c>
      <c r="AM240" s="609">
        <f t="shared" si="205"/>
        <v>2.5806666666666667</v>
      </c>
      <c r="AN240" s="609">
        <v>9.6440000000000001</v>
      </c>
      <c r="AO240" s="609">
        <v>4.5170000000000003</v>
      </c>
      <c r="AP240" s="609">
        <f t="shared" si="206"/>
        <v>2.5463333333333331</v>
      </c>
      <c r="AQ240" s="609">
        <f t="shared" si="207"/>
        <v>36.029666666666671</v>
      </c>
      <c r="AR240" s="699">
        <f t="shared" si="208"/>
        <v>12825.747062866665</v>
      </c>
      <c r="AS240" s="660">
        <v>10000</v>
      </c>
      <c r="AT240" s="609">
        <f t="shared" si="209"/>
        <v>1.6863333333333332</v>
      </c>
      <c r="AU240" s="609">
        <v>9.6440000000000001</v>
      </c>
      <c r="AV240" s="609">
        <v>4.5170000000000003</v>
      </c>
      <c r="AW240" s="609">
        <f t="shared" si="210"/>
        <v>3.440666666666667</v>
      </c>
      <c r="AX240" s="609">
        <f t="shared" si="211"/>
        <v>35.135333333333335</v>
      </c>
      <c r="AY240" s="699">
        <f t="shared" si="212"/>
        <v>16900.278037066666</v>
      </c>
      <c r="AZ240" s="75"/>
      <c r="BA240" s="716">
        <v>10000</v>
      </c>
      <c r="BB240" s="609">
        <v>103.50685607036536</v>
      </c>
      <c r="BC240" s="720">
        <f>(BB243-BB244)/BB225</f>
        <v>0.87520772477540698</v>
      </c>
      <c r="BD240" s="714">
        <f>D240-BB241</f>
        <v>14.29000000000002</v>
      </c>
      <c r="BE240" s="682">
        <f>BB243-BB244</f>
        <v>90.589999999999989</v>
      </c>
      <c r="BF240" s="682">
        <f t="shared" si="213"/>
        <v>15.774368031791614</v>
      </c>
      <c r="BG240" s="717">
        <f t="shared" si="214"/>
        <v>13.805848754874253</v>
      </c>
      <c r="BH240" s="716">
        <v>10000</v>
      </c>
      <c r="BI240" s="609">
        <v>103.50685607036536</v>
      </c>
      <c r="BJ240" s="720">
        <f>(BI243-BI244)/BI225</f>
        <v>1.0378056495791392</v>
      </c>
      <c r="BK240" s="714">
        <f>I240-BI241</f>
        <v>16.819999999999993</v>
      </c>
      <c r="BL240" s="682">
        <f>BI243-BI244</f>
        <v>107.42</v>
      </c>
      <c r="BM240" s="682">
        <f t="shared" si="215"/>
        <v>15.658164215229933</v>
      </c>
      <c r="BN240" s="717">
        <f t="shared" si="216"/>
        <v>16.250131284603533</v>
      </c>
      <c r="BO240" s="660">
        <v>10000</v>
      </c>
      <c r="BP240" s="684">
        <v>103.50685607036536</v>
      </c>
      <c r="BQ240" s="720">
        <f>(BP243-BP244)/BP225</f>
        <v>0.54672706860625098</v>
      </c>
      <c r="BR240" s="714">
        <f t="shared" si="217"/>
        <v>13.920000000000016</v>
      </c>
      <c r="BS240" s="682">
        <f>BP243-BP244</f>
        <v>56.589999999999989</v>
      </c>
      <c r="BT240" s="682">
        <f t="shared" si="218"/>
        <v>24.597985509807419</v>
      </c>
      <c r="BU240" s="683">
        <f t="shared" si="219"/>
        <v>13.448384511396048</v>
      </c>
      <c r="BV240" s="660">
        <v>10000</v>
      </c>
      <c r="BW240" s="609">
        <v>103.50685607036536</v>
      </c>
      <c r="BX240" s="720">
        <f>(BW243-BW244)/BW225</f>
        <v>0.90689644689996085</v>
      </c>
      <c r="BY240" s="714">
        <f>S240-BW241</f>
        <v>18.04000000000002</v>
      </c>
      <c r="BZ240" s="682">
        <f>BW243-BW244</f>
        <v>93.86999999999999</v>
      </c>
      <c r="CA240" s="682">
        <f t="shared" si="220"/>
        <v>19.218067540215213</v>
      </c>
      <c r="CB240" s="683">
        <f t="shared" si="221"/>
        <v>17.428797168504648</v>
      </c>
      <c r="CC240" s="560"/>
    </row>
    <row r="241" spans="1:81" ht="45">
      <c r="D241" s="315"/>
      <c r="I241" s="397"/>
      <c r="N241" s="204"/>
      <c r="S241" s="204"/>
      <c r="X241" s="560"/>
      <c r="Y241" s="560"/>
      <c r="Z241" s="560"/>
      <c r="AA241" s="560"/>
      <c r="AB241" s="560"/>
      <c r="AC241" s="560"/>
      <c r="AD241" s="560"/>
      <c r="AE241" s="559"/>
      <c r="AF241" s="559"/>
      <c r="AG241" s="559"/>
      <c r="AH241" s="559"/>
      <c r="AI241" s="559"/>
      <c r="AJ241" s="559"/>
      <c r="AK241" s="559"/>
      <c r="AL241" s="560"/>
      <c r="AM241" s="560"/>
      <c r="AN241" s="559"/>
      <c r="AO241" s="559"/>
      <c r="AP241" s="560"/>
      <c r="AQ241" s="560"/>
      <c r="AR241" s="560"/>
      <c r="AS241" s="560"/>
      <c r="AT241" s="560"/>
      <c r="AU241" s="560"/>
      <c r="AV241" s="560"/>
      <c r="AW241" s="560"/>
      <c r="AX241" s="560"/>
      <c r="AY241" s="560"/>
      <c r="AZ241" s="791" t="s">
        <v>144</v>
      </c>
      <c r="BA241" s="709" t="s">
        <v>1047</v>
      </c>
      <c r="BB241" s="565">
        <f>BB243+BB242</f>
        <v>378.31</v>
      </c>
      <c r="BC241" s="559"/>
      <c r="BD241" s="559"/>
      <c r="BE241" s="559"/>
      <c r="BF241" s="559"/>
      <c r="BG241" s="559"/>
      <c r="BH241" s="709" t="s">
        <v>1047</v>
      </c>
      <c r="BI241" s="565">
        <f>BI242+BI243</f>
        <v>394.47</v>
      </c>
      <c r="BJ241" s="559"/>
      <c r="BK241" s="569"/>
      <c r="BL241" s="569"/>
      <c r="BM241" s="569"/>
      <c r="BN241" s="569"/>
      <c r="BO241" s="709" t="s">
        <v>1047</v>
      </c>
      <c r="BP241" s="697">
        <f>BP242+BP243</f>
        <v>343.75</v>
      </c>
      <c r="BQ241" s="560"/>
      <c r="BR241" s="559"/>
      <c r="BS241" s="559"/>
      <c r="BT241" s="559"/>
      <c r="BU241" s="559"/>
      <c r="BV241" s="709" t="s">
        <v>1047</v>
      </c>
      <c r="BW241" s="697">
        <f>BW242+BW243</f>
        <v>380.53999999999996</v>
      </c>
      <c r="BX241" s="560"/>
      <c r="BY241" s="560"/>
      <c r="BZ241" s="560"/>
      <c r="CA241" s="560"/>
      <c r="CB241" s="560"/>
      <c r="CC241" s="560"/>
    </row>
    <row r="242" spans="1:81">
      <c r="X242" s="560"/>
      <c r="Y242" s="560"/>
      <c r="Z242" s="560"/>
      <c r="AA242" s="560"/>
      <c r="AB242" s="560"/>
      <c r="AC242" s="560"/>
      <c r="AD242" s="560"/>
      <c r="AE242" s="559"/>
      <c r="AF242" s="559"/>
      <c r="AG242" s="559"/>
      <c r="AH242" s="559"/>
      <c r="AI242" s="559"/>
      <c r="AJ242" s="559"/>
      <c r="AK242" s="559"/>
      <c r="AL242" s="560"/>
      <c r="AM242" s="560"/>
      <c r="AN242" s="559"/>
      <c r="AO242" s="559"/>
      <c r="AP242" s="560"/>
      <c r="AQ242" s="560"/>
      <c r="AR242" s="560"/>
      <c r="AS242" s="560"/>
      <c r="AT242" s="560"/>
      <c r="AU242" s="560"/>
      <c r="AV242" s="560"/>
      <c r="AW242" s="560"/>
      <c r="AX242" s="560"/>
      <c r="AY242" s="560"/>
      <c r="AZ242" s="791"/>
      <c r="BA242" s="655" t="s">
        <v>1048</v>
      </c>
      <c r="BB242" s="569">
        <v>215.3</v>
      </c>
      <c r="BC242" s="559"/>
      <c r="BD242" s="559"/>
      <c r="BE242" s="559"/>
      <c r="BF242" s="559"/>
      <c r="BG242" s="559"/>
      <c r="BH242" s="655" t="s">
        <v>1048</v>
      </c>
      <c r="BI242" s="569">
        <v>215.22</v>
      </c>
      <c r="BJ242" s="559"/>
      <c r="BK242" s="569"/>
      <c r="BL242" s="569"/>
      <c r="BM242" s="569"/>
      <c r="BN242" s="569"/>
      <c r="BO242" s="655" t="s">
        <v>1048</v>
      </c>
      <c r="BP242" s="559">
        <v>215.11</v>
      </c>
      <c r="BQ242" s="560"/>
      <c r="BR242" s="559"/>
      <c r="BS242" s="559"/>
      <c r="BT242" s="620"/>
      <c r="BU242" s="620"/>
      <c r="BV242" s="655" t="s">
        <v>1048</v>
      </c>
      <c r="BW242" s="559">
        <v>214.84</v>
      </c>
      <c r="BX242" s="560"/>
      <c r="BY242" s="560"/>
      <c r="BZ242" s="560"/>
      <c r="CA242" s="560"/>
      <c r="CB242" s="560"/>
      <c r="CC242" s="560"/>
    </row>
    <row r="243" spans="1:81">
      <c r="C243" s="73" t="s">
        <v>856</v>
      </c>
      <c r="H243" s="309"/>
      <c r="I243" s="62"/>
      <c r="J243" s="62"/>
      <c r="K243" s="62"/>
      <c r="L243" s="62"/>
      <c r="X243" s="560"/>
      <c r="Y243" s="560"/>
      <c r="Z243" s="560"/>
      <c r="AA243" s="560"/>
      <c r="AB243" s="560"/>
      <c r="AC243" s="560"/>
      <c r="AD243" s="560"/>
      <c r="AE243" s="559"/>
      <c r="AF243" s="559"/>
      <c r="AG243" s="559"/>
      <c r="AH243" s="559"/>
      <c r="AI243" s="559"/>
      <c r="AJ243" s="559"/>
      <c r="AK243" s="559"/>
      <c r="AL243" s="560"/>
      <c r="AM243" s="560"/>
      <c r="AN243" s="559"/>
      <c r="AO243" s="559"/>
      <c r="AP243" s="560"/>
      <c r="AQ243" s="560"/>
      <c r="AR243" s="560"/>
      <c r="AS243" s="560"/>
      <c r="AT243" s="560"/>
      <c r="AU243" s="560"/>
      <c r="AV243" s="560"/>
      <c r="AW243" s="560"/>
      <c r="AX243" s="560"/>
      <c r="AY243" s="560"/>
      <c r="AZ243" s="791"/>
      <c r="BA243" s="655" t="s">
        <v>1049</v>
      </c>
      <c r="BB243" s="565">
        <v>163.01</v>
      </c>
      <c r="BC243" s="559"/>
      <c r="BD243" s="559"/>
      <c r="BE243" s="559"/>
      <c r="BF243" s="559"/>
      <c r="BG243" s="559"/>
      <c r="BH243" s="655" t="s">
        <v>1049</v>
      </c>
      <c r="BI243" s="565">
        <v>179.25</v>
      </c>
      <c r="BJ243" s="559"/>
      <c r="BK243" s="569"/>
      <c r="BL243" s="569"/>
      <c r="BM243" s="569"/>
      <c r="BN243" s="569"/>
      <c r="BO243" s="655" t="s">
        <v>1049</v>
      </c>
      <c r="BP243" s="697">
        <v>128.63999999999999</v>
      </c>
      <c r="BQ243" s="560"/>
      <c r="BR243" s="559"/>
      <c r="BS243" s="559"/>
      <c r="BT243" s="620"/>
      <c r="BU243" s="620"/>
      <c r="BV243" s="655" t="s">
        <v>1049</v>
      </c>
      <c r="BW243" s="697">
        <v>165.7</v>
      </c>
      <c r="BX243" s="560"/>
      <c r="BY243" s="560"/>
      <c r="BZ243" s="560"/>
      <c r="CA243" s="560"/>
      <c r="CB243" s="560"/>
      <c r="CC243" s="560"/>
    </row>
    <row r="244" spans="1:81">
      <c r="C244" s="306" t="s">
        <v>857</v>
      </c>
      <c r="D244" s="306" t="s">
        <v>859</v>
      </c>
      <c r="E244" s="306" t="s">
        <v>858</v>
      </c>
      <c r="F244" s="306" t="s">
        <v>296</v>
      </c>
      <c r="H244" s="63"/>
      <c r="I244" s="63"/>
      <c r="J244" s="63"/>
      <c r="K244" s="63"/>
      <c r="L244" s="62"/>
      <c r="X244" s="560"/>
      <c r="Y244" s="560"/>
      <c r="Z244" s="560"/>
      <c r="AA244" s="560"/>
      <c r="AB244" s="560"/>
      <c r="AC244" s="560"/>
      <c r="AD244" s="560"/>
      <c r="AE244" s="559"/>
      <c r="AF244" s="559"/>
      <c r="AG244" s="559"/>
      <c r="AH244" s="559"/>
      <c r="AI244" s="559"/>
      <c r="AJ244" s="559"/>
      <c r="AK244" s="559"/>
      <c r="AL244" s="560"/>
      <c r="AM244" s="560"/>
      <c r="AN244" s="559"/>
      <c r="AO244" s="559"/>
      <c r="AP244" s="560"/>
      <c r="AQ244" s="560"/>
      <c r="AR244" s="560"/>
      <c r="AS244" s="560"/>
      <c r="AT244" s="560"/>
      <c r="AU244" s="560"/>
      <c r="AV244" s="560"/>
      <c r="AW244" s="560"/>
      <c r="AX244" s="560"/>
      <c r="AY244" s="560"/>
      <c r="AZ244" s="791"/>
      <c r="BA244" s="655" t="s">
        <v>1050</v>
      </c>
      <c r="BB244" s="569">
        <v>72.42</v>
      </c>
      <c r="BC244" s="559"/>
      <c r="BD244" s="560"/>
      <c r="BE244" s="560"/>
      <c r="BF244" s="560"/>
      <c r="BG244" s="560"/>
      <c r="BH244" s="655" t="s">
        <v>1050</v>
      </c>
      <c r="BI244" s="569">
        <v>71.83</v>
      </c>
      <c r="BJ244" s="559"/>
      <c r="BK244" s="560"/>
      <c r="BL244" s="560"/>
      <c r="BM244" s="560"/>
      <c r="BN244" s="560"/>
      <c r="BO244" s="655" t="s">
        <v>1050</v>
      </c>
      <c r="BP244" s="559">
        <v>72.05</v>
      </c>
      <c r="BQ244" s="560"/>
      <c r="BR244" s="560"/>
      <c r="BS244" s="560"/>
      <c r="BT244" s="560"/>
      <c r="BU244" s="560"/>
      <c r="BV244" s="655" t="s">
        <v>1050</v>
      </c>
      <c r="BW244" s="559">
        <v>71.83</v>
      </c>
      <c r="BX244" s="560"/>
      <c r="BY244" s="560"/>
      <c r="BZ244" s="560"/>
      <c r="CA244" s="560"/>
      <c r="CB244" s="560"/>
      <c r="CC244" s="560"/>
    </row>
    <row r="245" spans="1:81" ht="18.75">
      <c r="A245" s="70" t="s">
        <v>854</v>
      </c>
      <c r="B245" s="71"/>
      <c r="C245" s="307">
        <v>144.5</v>
      </c>
      <c r="D245" s="307">
        <v>197.6</v>
      </c>
      <c r="E245" s="308">
        <v>170.81</v>
      </c>
      <c r="F245" s="307">
        <v>200.3</v>
      </c>
      <c r="H245" s="286"/>
      <c r="I245" s="286"/>
      <c r="J245" s="63"/>
      <c r="K245" s="286"/>
      <c r="L245" s="62"/>
      <c r="X245" s="560"/>
      <c r="Y245" s="560"/>
      <c r="Z245" s="560"/>
      <c r="AA245" s="560"/>
      <c r="AB245" s="560"/>
      <c r="AC245" s="560"/>
      <c r="AD245" s="560"/>
      <c r="AE245" s="559"/>
      <c r="AF245" s="559"/>
      <c r="AG245" s="559"/>
      <c r="AH245" s="559"/>
      <c r="AI245" s="559"/>
      <c r="AJ245" s="559"/>
      <c r="AK245" s="559"/>
      <c r="AL245" s="560"/>
      <c r="AM245" s="560"/>
      <c r="AN245" s="559"/>
      <c r="AO245" s="559"/>
      <c r="AP245" s="560"/>
      <c r="AQ245" s="560"/>
      <c r="AR245" s="560"/>
      <c r="AS245" s="560"/>
      <c r="AT245" s="560"/>
      <c r="AU245" s="560"/>
      <c r="AV245" s="560"/>
      <c r="AW245" s="560"/>
      <c r="AX245" s="560"/>
      <c r="AY245" s="560"/>
      <c r="BA245" s="560"/>
      <c r="BB245" s="560"/>
      <c r="BC245" s="559"/>
      <c r="BD245" s="560"/>
      <c r="BE245" s="560"/>
      <c r="BF245" s="560"/>
      <c r="BG245" s="560"/>
      <c r="BH245" s="560"/>
      <c r="BI245" s="560"/>
      <c r="BJ245" s="559"/>
      <c r="BK245" s="560"/>
      <c r="BL245" s="560"/>
      <c r="BM245" s="560"/>
      <c r="BN245" s="560"/>
      <c r="BO245" s="560"/>
      <c r="BP245" s="560"/>
      <c r="BQ245" s="560"/>
      <c r="BR245" s="560"/>
      <c r="BS245" s="560"/>
      <c r="BT245" s="560"/>
      <c r="BU245" s="560"/>
      <c r="BV245" s="560"/>
      <c r="BW245" s="560"/>
      <c r="BX245" s="560"/>
      <c r="BY245" s="560"/>
      <c r="BZ245" s="560"/>
      <c r="CA245" s="560"/>
      <c r="CB245" s="560"/>
      <c r="CC245" s="560"/>
    </row>
    <row r="246" spans="1:81" ht="18.75">
      <c r="A246" s="804" t="s">
        <v>855</v>
      </c>
      <c r="B246" s="804"/>
      <c r="C246" s="804"/>
      <c r="D246" s="804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89"/>
      <c r="P246" s="89"/>
      <c r="Q246" s="89"/>
      <c r="R246" s="90"/>
      <c r="S246" s="90"/>
      <c r="T246" s="90"/>
      <c r="U246" s="90"/>
      <c r="V246" s="90"/>
      <c r="W246" s="90"/>
      <c r="X246" s="613"/>
      <c r="Y246" s="613"/>
      <c r="Z246" s="613"/>
      <c r="AA246" s="613"/>
      <c r="AB246" s="613"/>
      <c r="AC246" s="613"/>
      <c r="AD246" s="613"/>
      <c r="AE246" s="614"/>
      <c r="AF246" s="614"/>
      <c r="AG246" s="614"/>
      <c r="AH246" s="614"/>
      <c r="AI246" s="614"/>
      <c r="AJ246" s="614"/>
      <c r="AK246" s="614"/>
      <c r="AL246" s="613"/>
      <c r="AM246" s="613"/>
      <c r="AN246" s="614"/>
      <c r="AO246" s="614"/>
      <c r="AP246" s="613"/>
      <c r="AQ246" s="613"/>
      <c r="AR246" s="613"/>
      <c r="AS246" s="613"/>
      <c r="AT246" s="613"/>
      <c r="AU246" s="613"/>
      <c r="AV246" s="613"/>
      <c r="AW246" s="613"/>
      <c r="AX246" s="613"/>
      <c r="AY246" s="613"/>
      <c r="AZ246" s="89"/>
      <c r="BA246" s="613"/>
      <c r="BB246" s="613"/>
      <c r="BC246" s="614"/>
      <c r="BD246" s="613"/>
      <c r="BE246" s="613"/>
      <c r="BF246" s="613"/>
      <c r="BG246" s="613"/>
      <c r="BH246" s="613"/>
      <c r="BI246" s="613"/>
      <c r="BJ246" s="614"/>
      <c r="BK246" s="613"/>
      <c r="BL246" s="613"/>
      <c r="BM246" s="613"/>
      <c r="BN246" s="613"/>
      <c r="BO246" s="613"/>
      <c r="BP246" s="613"/>
      <c r="BQ246" s="613"/>
      <c r="BR246" s="613"/>
      <c r="BS246" s="613"/>
      <c r="BT246" s="613"/>
      <c r="BU246" s="613"/>
      <c r="BV246" s="613"/>
      <c r="BW246" s="613"/>
      <c r="BX246" s="613"/>
      <c r="BY246" s="613"/>
      <c r="BZ246" s="613"/>
      <c r="CA246" s="613"/>
      <c r="CB246" s="613"/>
      <c r="CC246" s="560"/>
    </row>
    <row r="247" spans="1:81">
      <c r="X247" s="560"/>
      <c r="Y247" s="560"/>
      <c r="Z247" s="560"/>
      <c r="AA247" s="560"/>
      <c r="AB247" s="560"/>
      <c r="AC247" s="560"/>
      <c r="AD247" s="560"/>
      <c r="AE247" s="559"/>
      <c r="AF247" s="559"/>
      <c r="AG247" s="559"/>
      <c r="AH247" s="559"/>
      <c r="AI247" s="559"/>
      <c r="AJ247" s="559"/>
      <c r="AK247" s="559"/>
      <c r="AL247" s="560"/>
      <c r="AM247" s="560"/>
      <c r="AN247" s="559"/>
      <c r="AO247" s="559"/>
      <c r="AP247" s="560"/>
      <c r="AQ247" s="560"/>
      <c r="AR247" s="560"/>
      <c r="AS247" s="560"/>
      <c r="AT247" s="560"/>
      <c r="AU247" s="560"/>
      <c r="AV247" s="560"/>
      <c r="AW247" s="560"/>
      <c r="AX247" s="560"/>
      <c r="AY247" s="560"/>
      <c r="BA247" s="560"/>
      <c r="BB247" s="560"/>
      <c r="BC247" s="559"/>
      <c r="BD247" s="560"/>
      <c r="BE247" s="560"/>
      <c r="BF247" s="560"/>
      <c r="BG247" s="560"/>
      <c r="BH247" s="560"/>
      <c r="BI247" s="560"/>
      <c r="BJ247" s="559"/>
      <c r="BK247" s="560"/>
      <c r="BL247" s="560"/>
      <c r="BM247" s="560"/>
      <c r="BN247" s="560"/>
      <c r="BO247" s="560"/>
      <c r="BP247" s="560"/>
      <c r="BQ247" s="560"/>
      <c r="BR247" s="560"/>
      <c r="BS247" s="560"/>
      <c r="BT247" s="560"/>
      <c r="BU247" s="560"/>
      <c r="BV247" s="560"/>
      <c r="BW247" s="560"/>
      <c r="BX247" s="560"/>
      <c r="BY247" s="560"/>
      <c r="BZ247" s="560"/>
      <c r="CA247" s="560"/>
      <c r="CB247" s="560"/>
      <c r="CC247" s="560"/>
    </row>
    <row r="248" spans="1:81">
      <c r="A248" s="447" t="s">
        <v>134</v>
      </c>
      <c r="B248" s="723" t="s">
        <v>124</v>
      </c>
      <c r="C248" s="254" t="s">
        <v>119</v>
      </c>
      <c r="D248" s="255" t="s">
        <v>111</v>
      </c>
      <c r="E248" s="73"/>
      <c r="F248" s="73"/>
      <c r="G248" s="78"/>
      <c r="H248" s="723" t="s">
        <v>124</v>
      </c>
      <c r="I248" s="255" t="s">
        <v>119</v>
      </c>
      <c r="J248" s="255" t="s">
        <v>111</v>
      </c>
      <c r="K248" s="73"/>
      <c r="L248" s="73"/>
      <c r="M248" s="725" t="s">
        <v>124</v>
      </c>
      <c r="N248" s="255" t="s">
        <v>119</v>
      </c>
      <c r="O248" s="254" t="s">
        <v>111</v>
      </c>
      <c r="R248" s="725" t="s">
        <v>124</v>
      </c>
      <c r="S248" s="255" t="s">
        <v>119</v>
      </c>
      <c r="T248" s="255" t="s">
        <v>111</v>
      </c>
      <c r="U248" s="73"/>
      <c r="V248" s="73"/>
      <c r="W248" s="447" t="s">
        <v>133</v>
      </c>
      <c r="X248" s="571" t="s">
        <v>124</v>
      </c>
      <c r="Y248" s="642" t="s">
        <v>119</v>
      </c>
      <c r="Z248" s="642" t="s">
        <v>111</v>
      </c>
      <c r="AA248" s="569"/>
      <c r="AB248" s="569"/>
      <c r="AC248" s="569"/>
      <c r="AD248" s="570"/>
      <c r="AE248" s="640" t="s">
        <v>124</v>
      </c>
      <c r="AF248" s="642" t="s">
        <v>119</v>
      </c>
      <c r="AG248" s="642" t="s">
        <v>111</v>
      </c>
      <c r="AH248" s="569"/>
      <c r="AI248" s="569"/>
      <c r="AJ248" s="569"/>
      <c r="AK248" s="570"/>
      <c r="AL248" s="571" t="s">
        <v>124</v>
      </c>
      <c r="AM248" s="642" t="s">
        <v>119</v>
      </c>
      <c r="AN248" s="642" t="s">
        <v>111</v>
      </c>
      <c r="AO248" s="569"/>
      <c r="AP248" s="569"/>
      <c r="AQ248" s="569"/>
      <c r="AR248" s="700"/>
      <c r="AS248" s="571" t="s">
        <v>124</v>
      </c>
      <c r="AT248" s="642" t="s">
        <v>119</v>
      </c>
      <c r="AU248" s="642" t="s">
        <v>111</v>
      </c>
      <c r="AV248" s="569"/>
      <c r="AW248" s="569"/>
      <c r="AX248" s="569"/>
      <c r="AY248" s="700"/>
      <c r="AZ248" s="447" t="s">
        <v>141</v>
      </c>
      <c r="BA248" s="640" t="s">
        <v>124</v>
      </c>
      <c r="BB248" s="642" t="s">
        <v>119</v>
      </c>
      <c r="BC248" s="642" t="s">
        <v>111</v>
      </c>
      <c r="BD248" s="569"/>
      <c r="BE248" s="569"/>
      <c r="BF248" s="569"/>
      <c r="BG248" s="569"/>
      <c r="BH248" s="640" t="s">
        <v>124</v>
      </c>
      <c r="BI248" s="641" t="s">
        <v>119</v>
      </c>
      <c r="BJ248" s="641" t="s">
        <v>111</v>
      </c>
      <c r="BK248" s="569"/>
      <c r="BL248" s="569"/>
      <c r="BM248" s="569"/>
      <c r="BN248" s="569"/>
      <c r="BO248" s="571" t="s">
        <v>124</v>
      </c>
      <c r="BP248" s="642" t="s">
        <v>119</v>
      </c>
      <c r="BQ248" s="642" t="s">
        <v>111</v>
      </c>
      <c r="BR248" s="560"/>
      <c r="BS248" s="569"/>
      <c r="BT248" s="569"/>
      <c r="BU248" s="569"/>
      <c r="BV248" s="672" t="s">
        <v>124</v>
      </c>
      <c r="BW248" s="641" t="s">
        <v>119</v>
      </c>
      <c r="BX248" s="641" t="s">
        <v>111</v>
      </c>
      <c r="BY248" s="559"/>
      <c r="BZ248" s="559"/>
      <c r="CA248" s="559"/>
      <c r="CB248" s="570"/>
      <c r="CC248" s="560"/>
    </row>
    <row r="249" spans="1:81">
      <c r="A249" s="80"/>
      <c r="B249" s="724"/>
      <c r="C249" s="86" t="s">
        <v>794</v>
      </c>
      <c r="D249" s="82" t="s">
        <v>112</v>
      </c>
      <c r="E249" s="73"/>
      <c r="F249" s="73"/>
      <c r="G249" s="78"/>
      <c r="H249" s="724"/>
      <c r="I249" s="86" t="s">
        <v>794</v>
      </c>
      <c r="J249" s="256" t="s">
        <v>114</v>
      </c>
      <c r="K249" s="73"/>
      <c r="L249" s="73"/>
      <c r="M249" s="724"/>
      <c r="N249" s="86" t="s">
        <v>710</v>
      </c>
      <c r="O249" s="257" t="s">
        <v>4</v>
      </c>
      <c r="R249" s="724"/>
      <c r="S249" s="86" t="s">
        <v>710</v>
      </c>
      <c r="T249" s="256" t="s">
        <v>114</v>
      </c>
      <c r="U249" s="813"/>
      <c r="V249" s="813"/>
      <c r="W249" s="80"/>
      <c r="X249" s="572" t="s">
        <v>100</v>
      </c>
      <c r="Y249" s="573" t="s">
        <v>794</v>
      </c>
      <c r="Z249" s="574" t="s">
        <v>112</v>
      </c>
      <c r="AA249" s="569"/>
      <c r="AB249" s="569"/>
      <c r="AC249" s="569"/>
      <c r="AD249" s="570"/>
      <c r="AE249" s="572" t="s">
        <v>100</v>
      </c>
      <c r="AF249" s="573" t="s">
        <v>794</v>
      </c>
      <c r="AG249" s="643" t="s">
        <v>114</v>
      </c>
      <c r="AH249" s="569"/>
      <c r="AI249" s="569"/>
      <c r="AJ249" s="569"/>
      <c r="AK249" s="570"/>
      <c r="AL249" s="572" t="s">
        <v>100</v>
      </c>
      <c r="AM249" s="573" t="s">
        <v>710</v>
      </c>
      <c r="AN249" s="645" t="s">
        <v>4</v>
      </c>
      <c r="AO249" s="569"/>
      <c r="AP249" s="569"/>
      <c r="AQ249" s="569"/>
      <c r="AR249" s="700"/>
      <c r="AS249" s="572" t="s">
        <v>100</v>
      </c>
      <c r="AT249" s="573" t="s">
        <v>710</v>
      </c>
      <c r="AU249" s="643" t="s">
        <v>114</v>
      </c>
      <c r="AV249" s="801"/>
      <c r="AW249" s="801"/>
      <c r="AX249" s="569"/>
      <c r="AY249" s="700"/>
      <c r="AZ249" s="80"/>
      <c r="BA249" s="572" t="s">
        <v>100</v>
      </c>
      <c r="BB249" s="573" t="s">
        <v>794</v>
      </c>
      <c r="BC249" s="574" t="s">
        <v>112</v>
      </c>
      <c r="BD249" s="569"/>
      <c r="BE249" s="569"/>
      <c r="BF249" s="673"/>
      <c r="BG249" s="674"/>
      <c r="BH249" s="572" t="s">
        <v>100</v>
      </c>
      <c r="BI249" s="573" t="s">
        <v>794</v>
      </c>
      <c r="BJ249" s="643" t="s">
        <v>114</v>
      </c>
      <c r="BK249" s="569" t="s">
        <v>143</v>
      </c>
      <c r="BL249" s="569"/>
      <c r="BM249" s="569"/>
      <c r="BN249" s="569"/>
      <c r="BO249" s="572" t="s">
        <v>100</v>
      </c>
      <c r="BP249" s="573" t="s">
        <v>710</v>
      </c>
      <c r="BQ249" s="645" t="s">
        <v>4</v>
      </c>
      <c r="BR249" s="560"/>
      <c r="BS249" s="569"/>
      <c r="BT249" s="569"/>
      <c r="BU249" s="569"/>
      <c r="BV249" s="572" t="s">
        <v>100</v>
      </c>
      <c r="BW249" s="573" t="s">
        <v>710</v>
      </c>
      <c r="BX249" s="643" t="s">
        <v>114</v>
      </c>
      <c r="BY249" s="814"/>
      <c r="BZ249" s="814"/>
      <c r="CA249" s="559"/>
      <c r="CB249" s="570"/>
      <c r="CC249" s="560"/>
    </row>
    <row r="250" spans="1:81" ht="63">
      <c r="A250" s="5"/>
      <c r="B250" s="448" t="s">
        <v>122</v>
      </c>
      <c r="C250" s="449" t="s">
        <v>121</v>
      </c>
      <c r="D250" s="450" t="s">
        <v>125</v>
      </c>
      <c r="E250" s="796" t="s">
        <v>1017</v>
      </c>
      <c r="F250" s="796"/>
      <c r="G250" s="797"/>
      <c r="H250" s="451" t="s">
        <v>121</v>
      </c>
      <c r="I250" s="450" t="s">
        <v>125</v>
      </c>
      <c r="J250" s="796" t="s">
        <v>1017</v>
      </c>
      <c r="K250" s="796"/>
      <c r="L250" s="797"/>
      <c r="M250" s="451" t="s">
        <v>121</v>
      </c>
      <c r="N250" s="450" t="s">
        <v>125</v>
      </c>
      <c r="O250" s="796" t="s">
        <v>1017</v>
      </c>
      <c r="P250" s="796"/>
      <c r="Q250" s="797"/>
      <c r="R250" s="451" t="s">
        <v>121</v>
      </c>
      <c r="S250" s="450" t="s">
        <v>125</v>
      </c>
      <c r="T250" s="796" t="s">
        <v>1017</v>
      </c>
      <c r="U250" s="796"/>
      <c r="V250" s="797"/>
      <c r="W250" s="5"/>
      <c r="X250" s="582" t="s">
        <v>121</v>
      </c>
      <c r="Y250" s="584" t="s">
        <v>126</v>
      </c>
      <c r="Z250" s="583" t="s">
        <v>127</v>
      </c>
      <c r="AA250" s="583" t="s">
        <v>128</v>
      </c>
      <c r="AB250" s="583" t="s">
        <v>129</v>
      </c>
      <c r="AC250" s="583" t="s">
        <v>130</v>
      </c>
      <c r="AD250" s="701" t="s">
        <v>131</v>
      </c>
      <c r="AE250" s="582" t="s">
        <v>121</v>
      </c>
      <c r="AF250" s="583" t="s">
        <v>126</v>
      </c>
      <c r="AG250" s="583" t="s">
        <v>127</v>
      </c>
      <c r="AH250" s="583" t="s">
        <v>128</v>
      </c>
      <c r="AI250" s="583" t="s">
        <v>129</v>
      </c>
      <c r="AJ250" s="583" t="s">
        <v>130</v>
      </c>
      <c r="AK250" s="701" t="s">
        <v>131</v>
      </c>
      <c r="AL250" s="582" t="s">
        <v>121</v>
      </c>
      <c r="AM250" s="583" t="s">
        <v>126</v>
      </c>
      <c r="AN250" s="583" t="s">
        <v>127</v>
      </c>
      <c r="AO250" s="583" t="s">
        <v>128</v>
      </c>
      <c r="AP250" s="583" t="s">
        <v>129</v>
      </c>
      <c r="AQ250" s="583" t="s">
        <v>130</v>
      </c>
      <c r="AR250" s="696" t="s">
        <v>131</v>
      </c>
      <c r="AS250" s="582" t="s">
        <v>121</v>
      </c>
      <c r="AT250" s="583" t="s">
        <v>126</v>
      </c>
      <c r="AU250" s="695" t="s">
        <v>127</v>
      </c>
      <c r="AV250" s="695" t="s">
        <v>128</v>
      </c>
      <c r="AW250" s="583" t="s">
        <v>129</v>
      </c>
      <c r="AX250" s="583" t="s">
        <v>130</v>
      </c>
      <c r="AY250" s="696" t="s">
        <v>131</v>
      </c>
      <c r="AZ250" s="75"/>
      <c r="BA250" s="648" t="s">
        <v>121</v>
      </c>
      <c r="BB250" s="583" t="s">
        <v>143</v>
      </c>
      <c r="BC250" s="583" t="s">
        <v>888</v>
      </c>
      <c r="BD250" s="583" t="s">
        <v>1045</v>
      </c>
      <c r="BE250" s="583" t="s">
        <v>1044</v>
      </c>
      <c r="BF250" s="666" t="s">
        <v>1051</v>
      </c>
      <c r="BG250" s="666" t="s">
        <v>1052</v>
      </c>
      <c r="BH250" s="648" t="s">
        <v>121</v>
      </c>
      <c r="BI250" s="583" t="s">
        <v>143</v>
      </c>
      <c r="BJ250" s="583" t="s">
        <v>888</v>
      </c>
      <c r="BK250" s="583" t="s">
        <v>1045</v>
      </c>
      <c r="BL250" s="583" t="s">
        <v>1044</v>
      </c>
      <c r="BM250" s="666" t="s">
        <v>1051</v>
      </c>
      <c r="BN250" s="666" t="s">
        <v>1052</v>
      </c>
      <c r="BO250" s="648" t="s">
        <v>121</v>
      </c>
      <c r="BP250" s="583" t="s">
        <v>143</v>
      </c>
      <c r="BQ250" s="583" t="s">
        <v>888</v>
      </c>
      <c r="BR250" s="583" t="s">
        <v>1045</v>
      </c>
      <c r="BS250" s="583" t="s">
        <v>1044</v>
      </c>
      <c r="BT250" s="666" t="s">
        <v>1051</v>
      </c>
      <c r="BU250" s="666" t="s">
        <v>1052</v>
      </c>
      <c r="BV250" s="648" t="s">
        <v>121</v>
      </c>
      <c r="BW250" s="583" t="s">
        <v>143</v>
      </c>
      <c r="BX250" s="583" t="s">
        <v>888</v>
      </c>
      <c r="BY250" s="583" t="s">
        <v>1045</v>
      </c>
      <c r="BZ250" s="583" t="s">
        <v>1044</v>
      </c>
      <c r="CA250" s="666" t="s">
        <v>1051</v>
      </c>
      <c r="CB250" s="666" t="s">
        <v>1052</v>
      </c>
      <c r="CC250" s="560"/>
    </row>
    <row r="251" spans="1:81" ht="15.75">
      <c r="A251" s="5"/>
      <c r="B251" s="452" t="s">
        <v>120</v>
      </c>
      <c r="C251" s="426">
        <v>0</v>
      </c>
      <c r="D251" s="311">
        <f>176.41+215.22</f>
        <v>391.63</v>
      </c>
      <c r="E251" s="27">
        <v>6.42</v>
      </c>
      <c r="F251" s="27">
        <v>7.44</v>
      </c>
      <c r="G251" s="94">
        <v>6.58</v>
      </c>
      <c r="H251" s="463">
        <v>0</v>
      </c>
      <c r="I251" s="311">
        <f>221.13+215.12</f>
        <v>436.25</v>
      </c>
      <c r="J251" s="27">
        <v>0</v>
      </c>
      <c r="K251" s="258">
        <v>0</v>
      </c>
      <c r="L251" s="94">
        <v>0</v>
      </c>
      <c r="M251" s="463">
        <v>0</v>
      </c>
      <c r="N251" s="231">
        <f>211.23+215.04</f>
        <v>426.27</v>
      </c>
      <c r="O251" s="27">
        <v>0</v>
      </c>
      <c r="P251" s="258">
        <v>0</v>
      </c>
      <c r="Q251" s="94">
        <v>0</v>
      </c>
      <c r="R251" s="463">
        <v>0</v>
      </c>
      <c r="S251" s="231">
        <f>215.07+214.77</f>
        <v>429.84000000000003</v>
      </c>
      <c r="T251" s="27">
        <v>0</v>
      </c>
      <c r="U251" s="258">
        <v>0</v>
      </c>
      <c r="V251" s="94">
        <v>0</v>
      </c>
      <c r="W251" s="5"/>
      <c r="X251" s="650">
        <v>0</v>
      </c>
      <c r="Y251" s="651">
        <f t="shared" ref="Y251:Y266" si="222">AVERAGE(E251:G251)/10</f>
        <v>0.68133333333333324</v>
      </c>
      <c r="Z251" s="620">
        <v>9.6440000000000001</v>
      </c>
      <c r="AA251" s="620">
        <v>4.5170000000000003</v>
      </c>
      <c r="AB251" s="620">
        <f t="shared" ref="AB251:AB266" si="223">Z251-(AA251+Y251)</f>
        <v>4.4456666666666669</v>
      </c>
      <c r="AC251" s="620">
        <f t="shared" ref="AC251:AC266" si="224">3*Z251+AA251+Y251</f>
        <v>34.13033333333334</v>
      </c>
      <c r="AD251" s="653">
        <f t="shared" ref="AD251:AD266" si="225">1.398*(10^-6)*(X251^2)*AB251*AC251</f>
        <v>0</v>
      </c>
      <c r="AE251" s="650">
        <v>0</v>
      </c>
      <c r="AF251" s="620">
        <f t="shared" ref="AF251:AF266" si="226">AVERAGE(J251:L251)/10</f>
        <v>0</v>
      </c>
      <c r="AG251" s="620">
        <v>9.6440000000000001</v>
      </c>
      <c r="AH251" s="620">
        <v>4.5170000000000003</v>
      </c>
      <c r="AI251" s="620">
        <f t="shared" ref="AI251:AI266" si="227">AG251-(AH251+AF251)</f>
        <v>5.1269999999999998</v>
      </c>
      <c r="AJ251" s="620">
        <f t="shared" ref="AJ251:AJ266" si="228">3*AG251+AH251+AF251</f>
        <v>33.449000000000005</v>
      </c>
      <c r="AK251" s="653">
        <f t="shared" ref="AK251:AK266" si="229">1.398*(10^-6)*(AE251^2)*AI251*AJ251</f>
        <v>0</v>
      </c>
      <c r="AL251" s="650">
        <v>0</v>
      </c>
      <c r="AM251" s="620">
        <f t="shared" ref="AM251:AM266" si="230">AVERAGE(O251:Q251)/10</f>
        <v>0</v>
      </c>
      <c r="AN251" s="620">
        <v>9.6440000000000001</v>
      </c>
      <c r="AO251" s="620">
        <v>4.5170000000000003</v>
      </c>
      <c r="AP251" s="620">
        <f t="shared" ref="AP251:AP266" si="231">AN251-(AO251+AM251)</f>
        <v>5.1269999999999998</v>
      </c>
      <c r="AQ251" s="620">
        <f t="shared" ref="AQ251:AQ266" si="232">3*AN251+AO251+AM251</f>
        <v>33.449000000000005</v>
      </c>
      <c r="AR251" s="698">
        <f t="shared" ref="AR251:AR266" si="233">1.398*(10^-6)*(AL251^2)*AP251*AQ251</f>
        <v>0</v>
      </c>
      <c r="AS251" s="650">
        <v>0</v>
      </c>
      <c r="AT251" s="620">
        <f t="shared" ref="AT251:AT266" si="234">AVERAGE(T251:V251)/10</f>
        <v>0</v>
      </c>
      <c r="AU251" s="620">
        <v>9.6440000000000001</v>
      </c>
      <c r="AV251" s="620">
        <v>4.5170000000000003</v>
      </c>
      <c r="AW251" s="620">
        <f t="shared" ref="AW251:AW266" si="235">AU251-(AV251+AT251)</f>
        <v>5.1269999999999998</v>
      </c>
      <c r="AX251" s="620">
        <f t="shared" ref="AX251:AX266" si="236">3*AU251+AV251+AT251</f>
        <v>33.449000000000005</v>
      </c>
      <c r="AY251" s="698">
        <f t="shared" ref="AY251:AY266" si="237">1.398*(10^-6)*(AS251^2)*AW251*AX251</f>
        <v>0</v>
      </c>
      <c r="AZ251" s="75"/>
      <c r="BA251" s="650">
        <v>0</v>
      </c>
      <c r="BB251" s="620">
        <v>103.50685607036536</v>
      </c>
      <c r="BC251" s="720">
        <f>(BB269-BB270)/BB251</f>
        <v>0.51127048013152165</v>
      </c>
      <c r="BD251" s="714">
        <f>D251-BB267</f>
        <v>50.949999999999989</v>
      </c>
      <c r="BE251" s="693">
        <f>BB269-BB270</f>
        <v>52.92</v>
      </c>
      <c r="BF251" s="693">
        <f t="shared" ref="BF251:BF266" si="238">BD251/BE251*100</f>
        <v>96.277399848828395</v>
      </c>
      <c r="BG251" s="668">
        <f t="shared" ref="BG251:BG266" si="239">BF251*BC251</f>
        <v>49.223792446524982</v>
      </c>
      <c r="BH251" s="650">
        <v>0</v>
      </c>
      <c r="BI251" s="620">
        <v>103.50685607036536</v>
      </c>
      <c r="BJ251" s="720">
        <f>(BI269-BI270)/BI251</f>
        <v>0.95703805294460553</v>
      </c>
      <c r="BK251" s="714">
        <f>I251-BI267</f>
        <v>49.31</v>
      </c>
      <c r="BL251" s="693">
        <f>BI269-BI270</f>
        <v>99.059999999999988</v>
      </c>
      <c r="BM251" s="693">
        <f t="shared" ref="BM251:BM266" si="240">BK251/BL251*100</f>
        <v>49.777912376337582</v>
      </c>
      <c r="BN251" s="668">
        <f t="shared" ref="BN251:BN266" si="241">BM251*BJ251</f>
        <v>47.639356340297304</v>
      </c>
      <c r="BO251" s="650">
        <v>0</v>
      </c>
      <c r="BP251" s="681">
        <v>103.50685607036536</v>
      </c>
      <c r="BQ251" s="720">
        <f>(BP269-BP270)/BP251</f>
        <v>0.84361561460854995</v>
      </c>
      <c r="BR251" s="714">
        <f t="shared" ref="BR251:BR266" si="242">N251-$BP$267</f>
        <v>51.379999999999995</v>
      </c>
      <c r="BS251" s="693">
        <f>BP269-BP270</f>
        <v>87.32</v>
      </c>
      <c r="BT251" s="693">
        <f t="shared" ref="BT251:BT266" si="243">BR251/BS251*100</f>
        <v>58.841044434264781</v>
      </c>
      <c r="BU251" s="668">
        <f t="shared" ref="BU251:BU266" si="244">BT251*BQ251</f>
        <v>49.639223864621279</v>
      </c>
      <c r="BV251" s="650">
        <v>0</v>
      </c>
      <c r="BW251" s="620">
        <v>103.50685607036536</v>
      </c>
      <c r="BX251" s="720">
        <f>(BW269-BW270)/BW251</f>
        <v>0.90650999906917373</v>
      </c>
      <c r="BY251" s="714">
        <f>S251-BW267</f>
        <v>48.060000000000059</v>
      </c>
      <c r="BZ251" s="693">
        <f>BW269-BW270</f>
        <v>93.83</v>
      </c>
      <c r="CA251" s="693">
        <f t="shared" ref="CA251:CA266" si="245">BY251/BZ251*100</f>
        <v>51.220292017478485</v>
      </c>
      <c r="CB251" s="668">
        <f t="shared" ref="CB251:CB266" si="246">CA251*BX251</f>
        <v>46.431706869087229</v>
      </c>
      <c r="CC251" s="560"/>
    </row>
    <row r="252" spans="1:81" ht="15.75">
      <c r="A252" s="5"/>
      <c r="B252" s="59" t="s">
        <v>116</v>
      </c>
      <c r="C252" s="154">
        <v>300</v>
      </c>
      <c r="D252" s="311">
        <v>383.72</v>
      </c>
      <c r="E252" s="27">
        <v>11.12</v>
      </c>
      <c r="F252" s="27">
        <v>10.69</v>
      </c>
      <c r="G252" s="94">
        <v>10</v>
      </c>
      <c r="H252" s="259">
        <v>300</v>
      </c>
      <c r="I252" s="315">
        <v>434.38</v>
      </c>
      <c r="J252" s="27">
        <v>0</v>
      </c>
      <c r="K252" s="258">
        <v>0</v>
      </c>
      <c r="L252" s="94">
        <v>0</v>
      </c>
      <c r="M252" s="259">
        <v>300</v>
      </c>
      <c r="N252" s="231">
        <v>415.47</v>
      </c>
      <c r="O252" s="27">
        <v>2.13</v>
      </c>
      <c r="P252" s="27">
        <v>3</v>
      </c>
      <c r="Q252" s="426">
        <v>4.71</v>
      </c>
      <c r="R252" s="259">
        <v>300</v>
      </c>
      <c r="S252" s="231">
        <v>426.11</v>
      </c>
      <c r="T252" s="27">
        <v>0</v>
      </c>
      <c r="U252" s="258">
        <v>0</v>
      </c>
      <c r="V252" s="94">
        <v>0</v>
      </c>
      <c r="W252" s="5"/>
      <c r="X252" s="650">
        <v>300</v>
      </c>
      <c r="Y252" s="651">
        <f t="shared" si="222"/>
        <v>1.0603333333333333</v>
      </c>
      <c r="Z252" s="620">
        <v>9.6440000000000001</v>
      </c>
      <c r="AA252" s="620">
        <v>4.5170000000000003</v>
      </c>
      <c r="AB252" s="620">
        <f t="shared" si="223"/>
        <v>4.0666666666666664</v>
      </c>
      <c r="AC252" s="620">
        <f t="shared" si="224"/>
        <v>34.509333333333338</v>
      </c>
      <c r="AD252" s="653">
        <f t="shared" si="225"/>
        <v>17.657321568</v>
      </c>
      <c r="AE252" s="650">
        <v>300</v>
      </c>
      <c r="AF252" s="620">
        <f t="shared" si="226"/>
        <v>0</v>
      </c>
      <c r="AG252" s="620">
        <v>9.6440000000000001</v>
      </c>
      <c r="AH252" s="620">
        <v>4.5170000000000003</v>
      </c>
      <c r="AI252" s="620">
        <f t="shared" si="227"/>
        <v>5.1269999999999998</v>
      </c>
      <c r="AJ252" s="620">
        <f t="shared" si="228"/>
        <v>33.449000000000005</v>
      </c>
      <c r="AK252" s="653">
        <f t="shared" si="229"/>
        <v>21.577252153859998</v>
      </c>
      <c r="AL252" s="650">
        <v>300</v>
      </c>
      <c r="AM252" s="620">
        <f t="shared" si="230"/>
        <v>0.32799999999999996</v>
      </c>
      <c r="AN252" s="620">
        <v>9.6440000000000001</v>
      </c>
      <c r="AO252" s="620">
        <v>4.5170000000000003</v>
      </c>
      <c r="AP252" s="620">
        <f t="shared" si="231"/>
        <v>4.7989999999999995</v>
      </c>
      <c r="AQ252" s="620">
        <f t="shared" si="232"/>
        <v>33.777000000000008</v>
      </c>
      <c r="AR252" s="698">
        <f t="shared" si="233"/>
        <v>20.394896449859999</v>
      </c>
      <c r="AS252" s="650">
        <v>300</v>
      </c>
      <c r="AT252" s="620">
        <f t="shared" si="234"/>
        <v>0</v>
      </c>
      <c r="AU252" s="620">
        <v>9.6440000000000001</v>
      </c>
      <c r="AV252" s="620">
        <v>4.5170000000000003</v>
      </c>
      <c r="AW252" s="620">
        <f t="shared" si="235"/>
        <v>5.1269999999999998</v>
      </c>
      <c r="AX252" s="620">
        <f t="shared" si="236"/>
        <v>33.449000000000005</v>
      </c>
      <c r="AY252" s="698">
        <f t="shared" si="237"/>
        <v>21.577252153859998</v>
      </c>
      <c r="AZ252" s="75"/>
      <c r="BA252" s="650">
        <v>300</v>
      </c>
      <c r="BB252" s="620">
        <v>103.50685607036536</v>
      </c>
      <c r="BC252" s="720">
        <f>(BB269-BB270)/BB251</f>
        <v>0.51127048013152165</v>
      </c>
      <c r="BD252" s="714">
        <f>D252-BB267</f>
        <v>43.04000000000002</v>
      </c>
      <c r="BE252" s="693">
        <f>BB269-BB270</f>
        <v>52.92</v>
      </c>
      <c r="BF252" s="693">
        <f t="shared" si="238"/>
        <v>81.330309901738502</v>
      </c>
      <c r="BG252" s="668">
        <f t="shared" si="239"/>
        <v>41.581786592707296</v>
      </c>
      <c r="BH252" s="650">
        <v>300</v>
      </c>
      <c r="BI252" s="620">
        <v>103.50685607036536</v>
      </c>
      <c r="BJ252" s="720">
        <f>(BI269-BI270)/BI251</f>
        <v>0.95703805294460553</v>
      </c>
      <c r="BK252" s="714">
        <f>I252-BI267</f>
        <v>47.44</v>
      </c>
      <c r="BL252" s="693">
        <f>BI269-BI270</f>
        <v>99.059999999999988</v>
      </c>
      <c r="BM252" s="693">
        <f t="shared" si="240"/>
        <v>47.890167575206952</v>
      </c>
      <c r="BN252" s="668">
        <f t="shared" si="241"/>
        <v>45.832712731366939</v>
      </c>
      <c r="BO252" s="650">
        <v>300</v>
      </c>
      <c r="BP252" s="681">
        <v>103.50685607036536</v>
      </c>
      <c r="BQ252" s="720">
        <f>(BP269-BP270)/BP251</f>
        <v>0.84361561460854995</v>
      </c>
      <c r="BR252" s="714">
        <f t="shared" si="242"/>
        <v>40.580000000000041</v>
      </c>
      <c r="BS252" s="693">
        <f>BP269-BP270</f>
        <v>87.32</v>
      </c>
      <c r="BT252" s="693">
        <f t="shared" si="243"/>
        <v>46.472743930371102</v>
      </c>
      <c r="BU252" s="668">
        <f t="shared" si="244"/>
        <v>39.205132433365776</v>
      </c>
      <c r="BV252" s="650">
        <v>300</v>
      </c>
      <c r="BW252" s="620">
        <v>103.50685607036536</v>
      </c>
      <c r="BX252" s="720">
        <f>(BW269-BW270)/BW251</f>
        <v>0.90650999906917373</v>
      </c>
      <c r="BY252" s="714">
        <f>S252-BW267</f>
        <v>44.330000000000041</v>
      </c>
      <c r="BZ252" s="693">
        <f>BW269-BW270</f>
        <v>93.83</v>
      </c>
      <c r="CA252" s="693">
        <f>BY252/BZ252*100</f>
        <v>47.24501758499418</v>
      </c>
      <c r="CB252" s="668">
        <f t="shared" si="246"/>
        <v>42.828080846996173</v>
      </c>
      <c r="CC252" s="560"/>
    </row>
    <row r="253" spans="1:81" ht="15.75">
      <c r="A253" s="5"/>
      <c r="B253" s="59" t="s">
        <v>116</v>
      </c>
      <c r="C253" s="154">
        <v>350</v>
      </c>
      <c r="D253" s="315">
        <v>380.27</v>
      </c>
      <c r="E253" s="185">
        <v>10.8</v>
      </c>
      <c r="F253" s="185">
        <v>11.35</v>
      </c>
      <c r="G253" s="303">
        <v>11.32</v>
      </c>
      <c r="H253" s="259">
        <v>350</v>
      </c>
      <c r="I253" s="315">
        <v>433.07</v>
      </c>
      <c r="J253" s="27">
        <v>0</v>
      </c>
      <c r="K253" s="258">
        <v>0</v>
      </c>
      <c r="L253" s="94">
        <v>0</v>
      </c>
      <c r="M253" s="259">
        <v>350</v>
      </c>
      <c r="N253" s="231">
        <v>414.39</v>
      </c>
      <c r="O253" s="27">
        <v>7.3</v>
      </c>
      <c r="P253" s="27">
        <v>3.22</v>
      </c>
      <c r="Q253" s="426">
        <v>3.03</v>
      </c>
      <c r="R253" s="259">
        <v>350</v>
      </c>
      <c r="S253" s="231">
        <v>424.88</v>
      </c>
      <c r="T253" s="260">
        <v>1.02</v>
      </c>
      <c r="U253" s="260">
        <v>0</v>
      </c>
      <c r="V253" s="464">
        <v>0.95</v>
      </c>
      <c r="W253" s="5"/>
      <c r="X253" s="650">
        <v>350</v>
      </c>
      <c r="Y253" s="651">
        <f t="shared" si="222"/>
        <v>1.1156666666666666</v>
      </c>
      <c r="Z253" s="620">
        <v>9.6440000000000001</v>
      </c>
      <c r="AA253" s="620">
        <v>4.5170000000000003</v>
      </c>
      <c r="AB253" s="620">
        <f t="shared" si="223"/>
        <v>4.011333333333333</v>
      </c>
      <c r="AC253" s="620">
        <f t="shared" si="224"/>
        <v>34.564666666666675</v>
      </c>
      <c r="AD253" s="653">
        <f t="shared" si="225"/>
        <v>23.744574175886665</v>
      </c>
      <c r="AE253" s="650">
        <v>350</v>
      </c>
      <c r="AF253" s="620">
        <f t="shared" si="226"/>
        <v>0</v>
      </c>
      <c r="AG253" s="620">
        <v>9.6440000000000001</v>
      </c>
      <c r="AH253" s="620">
        <v>4.5170000000000003</v>
      </c>
      <c r="AI253" s="620">
        <f t="shared" si="227"/>
        <v>5.1269999999999998</v>
      </c>
      <c r="AJ253" s="620">
        <f t="shared" si="228"/>
        <v>33.449000000000005</v>
      </c>
      <c r="AK253" s="653">
        <f t="shared" si="229"/>
        <v>29.369037653864996</v>
      </c>
      <c r="AL253" s="650">
        <v>350</v>
      </c>
      <c r="AM253" s="620">
        <f t="shared" si="230"/>
        <v>0.45166666666666666</v>
      </c>
      <c r="AN253" s="620">
        <v>9.6440000000000001</v>
      </c>
      <c r="AO253" s="620">
        <v>4.5170000000000003</v>
      </c>
      <c r="AP253" s="620">
        <f t="shared" si="231"/>
        <v>4.6753333333333327</v>
      </c>
      <c r="AQ253" s="620">
        <f t="shared" si="232"/>
        <v>33.900666666666673</v>
      </c>
      <c r="AR253" s="698">
        <f t="shared" si="233"/>
        <v>27.143389501806663</v>
      </c>
      <c r="AS253" s="650">
        <v>350</v>
      </c>
      <c r="AT253" s="620">
        <f t="shared" si="234"/>
        <v>6.5666666666666665E-2</v>
      </c>
      <c r="AU253" s="620">
        <v>9.6440000000000001</v>
      </c>
      <c r="AV253" s="620">
        <v>4.5170000000000003</v>
      </c>
      <c r="AW253" s="620">
        <f t="shared" si="235"/>
        <v>5.0613333333333328</v>
      </c>
      <c r="AX253" s="620">
        <f t="shared" si="236"/>
        <v>33.51466666666667</v>
      </c>
      <c r="AY253" s="698">
        <f t="shared" si="237"/>
        <v>29.049797193386659</v>
      </c>
      <c r="AZ253" s="75"/>
      <c r="BA253" s="650">
        <v>350</v>
      </c>
      <c r="BB253" s="620">
        <v>103.50685607036536</v>
      </c>
      <c r="BC253" s="720">
        <f>(BB269-BB270)/BB251</f>
        <v>0.51127048013152165</v>
      </c>
      <c r="BD253" s="714">
        <f>D253-BB267</f>
        <v>39.589999999999975</v>
      </c>
      <c r="BE253" s="693">
        <f>BB269-BB270</f>
        <v>52.92</v>
      </c>
      <c r="BF253" s="693">
        <f t="shared" si="238"/>
        <v>74.811035525321188</v>
      </c>
      <c r="BG253" s="668">
        <f t="shared" si="239"/>
        <v>38.248674052167289</v>
      </c>
      <c r="BH253" s="650">
        <v>350</v>
      </c>
      <c r="BI253" s="620">
        <v>103.50685607036536</v>
      </c>
      <c r="BJ253" s="720">
        <f>(BI269-BI270)/BI251</f>
        <v>0.95703805294460553</v>
      </c>
      <c r="BK253" s="714">
        <f>I253-BI267</f>
        <v>46.129999999999995</v>
      </c>
      <c r="BL253" s="693">
        <f>BI269-BI270</f>
        <v>99.059999999999988</v>
      </c>
      <c r="BM253" s="693">
        <f t="shared" si="240"/>
        <v>46.567736725217038</v>
      </c>
      <c r="BN253" s="668">
        <f t="shared" si="241"/>
        <v>44.567096085538715</v>
      </c>
      <c r="BO253" s="650">
        <v>350</v>
      </c>
      <c r="BP253" s="681">
        <v>103.50685607036536</v>
      </c>
      <c r="BQ253" s="720">
        <f>(BP269-BP270)/BP251</f>
        <v>0.84361561460854995</v>
      </c>
      <c r="BR253" s="714">
        <f t="shared" si="242"/>
        <v>39.5</v>
      </c>
      <c r="BS253" s="693">
        <f>BP269-BP270</f>
        <v>87.32</v>
      </c>
      <c r="BT253" s="693">
        <f t="shared" si="243"/>
        <v>45.23591387998168</v>
      </c>
      <c r="BU253" s="668">
        <f t="shared" si="244"/>
        <v>38.161723290240182</v>
      </c>
      <c r="BV253" s="650">
        <v>350</v>
      </c>
      <c r="BW253" s="620">
        <v>103.50685607036536</v>
      </c>
      <c r="BX253" s="720">
        <f>(BW269-BW270)/BW251</f>
        <v>0.90650999906917373</v>
      </c>
      <c r="BY253" s="714">
        <f>S253-BW267</f>
        <v>43.100000000000023</v>
      </c>
      <c r="BZ253" s="693">
        <f>BW269-BW270</f>
        <v>93.83</v>
      </c>
      <c r="CA253" s="693">
        <f t="shared" si="245"/>
        <v>45.934136203772809</v>
      </c>
      <c r="CB253" s="668">
        <f t="shared" si="246"/>
        <v>41.639753767325388</v>
      </c>
      <c r="CC253" s="560"/>
    </row>
    <row r="254" spans="1:81" ht="15.75">
      <c r="A254" s="5"/>
      <c r="B254" s="59" t="s">
        <v>116</v>
      </c>
      <c r="C254" s="154">
        <v>450</v>
      </c>
      <c r="D254" s="315">
        <v>377.22</v>
      </c>
      <c r="E254" s="185">
        <v>11.39</v>
      </c>
      <c r="F254" s="185">
        <v>11.79</v>
      </c>
      <c r="G254" s="303">
        <v>12.05</v>
      </c>
      <c r="H254" s="259">
        <v>450</v>
      </c>
      <c r="I254" s="311">
        <v>428.98</v>
      </c>
      <c r="J254" s="27">
        <v>0</v>
      </c>
      <c r="K254" s="258">
        <v>0</v>
      </c>
      <c r="L254" s="94">
        <v>0</v>
      </c>
      <c r="M254" s="259">
        <v>450</v>
      </c>
      <c r="N254" s="231">
        <v>411.45</v>
      </c>
      <c r="O254" s="426">
        <v>9.26</v>
      </c>
      <c r="P254" s="426">
        <v>3.12</v>
      </c>
      <c r="Q254" s="426">
        <v>3.7</v>
      </c>
      <c r="R254" s="259">
        <v>450</v>
      </c>
      <c r="S254" s="231">
        <v>423.42</v>
      </c>
      <c r="T254" s="464">
        <v>1.45</v>
      </c>
      <c r="U254" s="464">
        <v>0.66</v>
      </c>
      <c r="V254" s="464">
        <v>1.48</v>
      </c>
      <c r="W254" s="5"/>
      <c r="X254" s="650">
        <v>450</v>
      </c>
      <c r="Y254" s="651">
        <f t="shared" si="222"/>
        <v>1.1743333333333335</v>
      </c>
      <c r="Z254" s="620">
        <v>9.6440000000000001</v>
      </c>
      <c r="AA254" s="620">
        <v>4.5170000000000003</v>
      </c>
      <c r="AB254" s="620">
        <f t="shared" si="223"/>
        <v>3.9526666666666666</v>
      </c>
      <c r="AC254" s="620">
        <f t="shared" si="224"/>
        <v>34.623333333333342</v>
      </c>
      <c r="AD254" s="653">
        <f t="shared" si="225"/>
        <v>38.742823419300002</v>
      </c>
      <c r="AE254" s="650">
        <v>450</v>
      </c>
      <c r="AF254" s="620">
        <f t="shared" si="226"/>
        <v>0</v>
      </c>
      <c r="AG254" s="620">
        <v>9.6440000000000001</v>
      </c>
      <c r="AH254" s="620">
        <v>4.5170000000000003</v>
      </c>
      <c r="AI254" s="620">
        <f t="shared" si="227"/>
        <v>5.1269999999999998</v>
      </c>
      <c r="AJ254" s="620">
        <f t="shared" si="228"/>
        <v>33.449000000000005</v>
      </c>
      <c r="AK254" s="653">
        <f t="shared" si="229"/>
        <v>48.54881734618499</v>
      </c>
      <c r="AL254" s="650">
        <v>450</v>
      </c>
      <c r="AM254" s="620">
        <f t="shared" si="230"/>
        <v>0.53599999999999992</v>
      </c>
      <c r="AN254" s="620">
        <v>9.6440000000000001</v>
      </c>
      <c r="AO254" s="620">
        <v>4.5170000000000003</v>
      </c>
      <c r="AP254" s="620">
        <f t="shared" si="231"/>
        <v>4.5910000000000002</v>
      </c>
      <c r="AQ254" s="620">
        <f t="shared" si="232"/>
        <v>33.985000000000007</v>
      </c>
      <c r="AR254" s="698">
        <f t="shared" si="233"/>
        <v>44.169935592824999</v>
      </c>
      <c r="AS254" s="650">
        <v>450</v>
      </c>
      <c r="AT254" s="620">
        <f t="shared" si="234"/>
        <v>0.11966666666666666</v>
      </c>
      <c r="AU254" s="620">
        <v>9.6440000000000001</v>
      </c>
      <c r="AV254" s="620">
        <v>4.5170000000000003</v>
      </c>
      <c r="AW254" s="620">
        <f t="shared" si="235"/>
        <v>5.0073333333333334</v>
      </c>
      <c r="AX254" s="620">
        <f t="shared" si="236"/>
        <v>33.568666666666672</v>
      </c>
      <c r="AY254" s="698">
        <f t="shared" si="237"/>
        <v>47.585298009059997</v>
      </c>
      <c r="AZ254" s="75"/>
      <c r="BA254" s="650">
        <v>450</v>
      </c>
      <c r="BB254" s="620">
        <v>103.50685607036536</v>
      </c>
      <c r="BC254" s="720">
        <f>(BB269-BB270)/BB251</f>
        <v>0.51127048013152165</v>
      </c>
      <c r="BD254" s="714">
        <f>D254-BB267</f>
        <v>36.54000000000002</v>
      </c>
      <c r="BE254" s="693">
        <f>BB269-BB270</f>
        <v>52.92</v>
      </c>
      <c r="BF254" s="693">
        <f t="shared" si="238"/>
        <v>69.047619047619079</v>
      </c>
      <c r="BG254" s="668">
        <f t="shared" si="239"/>
        <v>35.302009342414607</v>
      </c>
      <c r="BH254" s="650">
        <v>450</v>
      </c>
      <c r="BI254" s="620">
        <v>103.50685607036536</v>
      </c>
      <c r="BJ254" s="720">
        <f>(BI269-BI270)/BI251</f>
        <v>0.95703805294460553</v>
      </c>
      <c r="BK254" s="714">
        <f>I254-BI267</f>
        <v>42.04000000000002</v>
      </c>
      <c r="BL254" s="693">
        <f>BI269-BI270</f>
        <v>99.059999999999988</v>
      </c>
      <c r="BM254" s="693">
        <f t="shared" si="240"/>
        <v>42.438925903492859</v>
      </c>
      <c r="BN254" s="668">
        <f t="shared" si="241"/>
        <v>40.615667015739191</v>
      </c>
      <c r="BO254" s="650">
        <v>450</v>
      </c>
      <c r="BP254" s="681">
        <v>103.50685607036536</v>
      </c>
      <c r="BQ254" s="720">
        <f>(BP269-BP270)/BP251</f>
        <v>0.84361561460854995</v>
      </c>
      <c r="BR254" s="714">
        <f t="shared" si="242"/>
        <v>36.56</v>
      </c>
      <c r="BS254" s="693">
        <f>BP269-BP270</f>
        <v>87.32</v>
      </c>
      <c r="BT254" s="693">
        <f t="shared" si="243"/>
        <v>41.868987631699497</v>
      </c>
      <c r="BU254" s="668">
        <f t="shared" si="244"/>
        <v>35.321331733953947</v>
      </c>
      <c r="BV254" s="650">
        <v>450</v>
      </c>
      <c r="BW254" s="620">
        <v>103.50685607036536</v>
      </c>
      <c r="BX254" s="720">
        <f>(BW269-BW270)/BW251</f>
        <v>0.90650999906917373</v>
      </c>
      <c r="BY254" s="714">
        <f>S254-BW267</f>
        <v>41.640000000000043</v>
      </c>
      <c r="BZ254" s="693">
        <f>BW269-BW270</f>
        <v>93.83</v>
      </c>
      <c r="CA254" s="693">
        <f t="shared" si="245"/>
        <v>44.378130661835279</v>
      </c>
      <c r="CB254" s="668">
        <f t="shared" si="246"/>
        <v>40.229219184951965</v>
      </c>
      <c r="CC254" s="560"/>
    </row>
    <row r="255" spans="1:81" ht="15.75">
      <c r="A255" s="5"/>
      <c r="B255" s="59" t="s">
        <v>116</v>
      </c>
      <c r="C255" s="154">
        <v>550</v>
      </c>
      <c r="D255" s="315">
        <v>375.9</v>
      </c>
      <c r="E255" s="185">
        <v>12.35</v>
      </c>
      <c r="F255" s="185">
        <v>12.11</v>
      </c>
      <c r="G255" s="303">
        <v>11.77</v>
      </c>
      <c r="H255" s="259">
        <v>550</v>
      </c>
      <c r="I255" s="315">
        <v>427.94</v>
      </c>
      <c r="J255" s="167">
        <v>0.8</v>
      </c>
      <c r="K255" s="262">
        <v>1</v>
      </c>
      <c r="L255" s="465">
        <v>0.74</v>
      </c>
      <c r="M255" s="259">
        <v>550</v>
      </c>
      <c r="N255" s="231">
        <v>409.22</v>
      </c>
      <c r="O255" s="426">
        <v>3.96</v>
      </c>
      <c r="P255" s="426">
        <v>3.95</v>
      </c>
      <c r="Q255" s="426">
        <v>9.6300000000000008</v>
      </c>
      <c r="R255" s="259">
        <v>550</v>
      </c>
      <c r="S255" s="231">
        <v>421.41</v>
      </c>
      <c r="T255" s="464">
        <v>1.57</v>
      </c>
      <c r="U255" s="464">
        <v>0.69</v>
      </c>
      <c r="V255" s="464">
        <v>1.77</v>
      </c>
      <c r="W255" s="5"/>
      <c r="X255" s="650">
        <v>550</v>
      </c>
      <c r="Y255" s="651">
        <f t="shared" si="222"/>
        <v>1.2076666666666669</v>
      </c>
      <c r="Z255" s="620">
        <v>9.6440000000000001</v>
      </c>
      <c r="AA255" s="620">
        <v>4.5170000000000003</v>
      </c>
      <c r="AB255" s="620">
        <f t="shared" si="223"/>
        <v>3.9193333333333324</v>
      </c>
      <c r="AC255" s="620">
        <f t="shared" si="224"/>
        <v>34.656666666666673</v>
      </c>
      <c r="AD255" s="653">
        <f t="shared" si="225"/>
        <v>57.442262961966655</v>
      </c>
      <c r="AE255" s="650">
        <v>550</v>
      </c>
      <c r="AF255" s="620">
        <f t="shared" si="226"/>
        <v>8.4666666666666668E-2</v>
      </c>
      <c r="AG255" s="620">
        <v>9.6440000000000001</v>
      </c>
      <c r="AH255" s="620">
        <v>4.5170000000000003</v>
      </c>
      <c r="AI255" s="620">
        <f t="shared" si="227"/>
        <v>5.0423333333333336</v>
      </c>
      <c r="AJ255" s="620">
        <f t="shared" si="228"/>
        <v>33.533666666666669</v>
      </c>
      <c r="AK255" s="653">
        <f t="shared" si="229"/>
        <v>71.506438136851656</v>
      </c>
      <c r="AL255" s="650">
        <v>550</v>
      </c>
      <c r="AM255" s="620">
        <f t="shared" si="230"/>
        <v>0.58466666666666667</v>
      </c>
      <c r="AN255" s="620">
        <v>9.6440000000000001</v>
      </c>
      <c r="AO255" s="620">
        <v>4.5170000000000003</v>
      </c>
      <c r="AP255" s="620">
        <f t="shared" si="231"/>
        <v>4.5423333333333336</v>
      </c>
      <c r="AQ255" s="620">
        <f t="shared" si="232"/>
        <v>34.033666666666669</v>
      </c>
      <c r="AR255" s="698">
        <f t="shared" si="233"/>
        <v>65.376293181851665</v>
      </c>
      <c r="AS255" s="650">
        <v>550</v>
      </c>
      <c r="AT255" s="620">
        <f t="shared" si="234"/>
        <v>0.1343333333333333</v>
      </c>
      <c r="AU255" s="620">
        <v>9.6440000000000001</v>
      </c>
      <c r="AV255" s="620">
        <v>4.5170000000000003</v>
      </c>
      <c r="AW255" s="620">
        <f t="shared" si="235"/>
        <v>4.9926666666666666</v>
      </c>
      <c r="AX255" s="620">
        <f t="shared" si="236"/>
        <v>33.583333333333336</v>
      </c>
      <c r="AY255" s="698">
        <f t="shared" si="237"/>
        <v>70.906969109166667</v>
      </c>
      <c r="AZ255" s="75"/>
      <c r="BA255" s="650">
        <v>550</v>
      </c>
      <c r="BB255" s="620">
        <v>103.50685607036536</v>
      </c>
      <c r="BC255" s="720">
        <f>(BB269-BB270)/BB251</f>
        <v>0.51127048013152165</v>
      </c>
      <c r="BD255" s="714">
        <f>D255-BB267</f>
        <v>35.21999999999997</v>
      </c>
      <c r="BE255" s="693">
        <f>BB269-BB270</f>
        <v>52.92</v>
      </c>
      <c r="BF255" s="693">
        <f t="shared" si="238"/>
        <v>66.553287981859356</v>
      </c>
      <c r="BG255" s="668">
        <f t="shared" si="239"/>
        <v>34.026731500816659</v>
      </c>
      <c r="BH255" s="650">
        <v>550</v>
      </c>
      <c r="BI255" s="620">
        <v>103.50685607036536</v>
      </c>
      <c r="BJ255" s="720">
        <f>(BI269-BI270)/BI251</f>
        <v>0.95703805294460553</v>
      </c>
      <c r="BK255" s="714">
        <f>I255-BI267</f>
        <v>41</v>
      </c>
      <c r="BL255" s="693">
        <f>BI269-BI270</f>
        <v>99.059999999999988</v>
      </c>
      <c r="BM255" s="693">
        <f t="shared" si="240"/>
        <v>41.389057137088635</v>
      </c>
      <c r="BN255" s="668">
        <f t="shared" si="241"/>
        <v>39.610902655692335</v>
      </c>
      <c r="BO255" s="650">
        <v>550</v>
      </c>
      <c r="BP255" s="681">
        <v>103.50685607036536</v>
      </c>
      <c r="BQ255" s="720">
        <f>(BP269-BP270)/BP251</f>
        <v>0.84361561460854995</v>
      </c>
      <c r="BR255" s="714">
        <f t="shared" si="242"/>
        <v>34.330000000000041</v>
      </c>
      <c r="BS255" s="693">
        <f>BP269-BP270</f>
        <v>87.32</v>
      </c>
      <c r="BT255" s="693">
        <f t="shared" si="243"/>
        <v>39.31516262024742</v>
      </c>
      <c r="BU255" s="668">
        <f t="shared" si="244"/>
        <v>33.166885077315115</v>
      </c>
      <c r="BV255" s="650">
        <v>550</v>
      </c>
      <c r="BW255" s="620">
        <v>103.50685607036536</v>
      </c>
      <c r="BX255" s="720">
        <f>(BW269-BW270)/BW251</f>
        <v>0.90650999906917373</v>
      </c>
      <c r="BY255" s="714">
        <f>S255-BW267</f>
        <v>39.630000000000052</v>
      </c>
      <c r="BZ255" s="693">
        <f>BW269-BW270</f>
        <v>93.83</v>
      </c>
      <c r="CA255" s="693">
        <f t="shared" si="245"/>
        <v>42.235958648619906</v>
      </c>
      <c r="CB255" s="668">
        <f>CA255*BX255</f>
        <v>38.28731883524609</v>
      </c>
      <c r="CC255" s="560"/>
    </row>
    <row r="256" spans="1:81" ht="15.75">
      <c r="A256" s="5"/>
      <c r="B256" s="59" t="s">
        <v>116</v>
      </c>
      <c r="C256" s="154">
        <v>650</v>
      </c>
      <c r="D256" s="315">
        <v>374.14</v>
      </c>
      <c r="E256" s="185">
        <v>12.26</v>
      </c>
      <c r="F256" s="185">
        <v>12.65</v>
      </c>
      <c r="G256" s="303">
        <v>12.67</v>
      </c>
      <c r="H256" s="259">
        <v>650</v>
      </c>
      <c r="I256" s="315">
        <v>426.64</v>
      </c>
      <c r="J256" s="167">
        <v>1.19</v>
      </c>
      <c r="K256" s="262">
        <v>0.88</v>
      </c>
      <c r="L256" s="465">
        <v>0.79</v>
      </c>
      <c r="M256" s="259">
        <v>650</v>
      </c>
      <c r="N256" s="231">
        <v>407.14</v>
      </c>
      <c r="O256" s="426">
        <v>4.22</v>
      </c>
      <c r="P256" s="426">
        <v>4.59</v>
      </c>
      <c r="Q256" s="426">
        <v>10.130000000000001</v>
      </c>
      <c r="R256" s="259">
        <v>650</v>
      </c>
      <c r="S256" s="231">
        <v>419.64</v>
      </c>
      <c r="T256" s="464">
        <v>2.2599999999999998</v>
      </c>
      <c r="U256" s="464">
        <v>1.01</v>
      </c>
      <c r="V256" s="464">
        <v>2.34</v>
      </c>
      <c r="W256" s="5"/>
      <c r="X256" s="650">
        <v>650</v>
      </c>
      <c r="Y256" s="651">
        <f t="shared" si="222"/>
        <v>1.2526666666666666</v>
      </c>
      <c r="Z256" s="620">
        <v>9.6440000000000001</v>
      </c>
      <c r="AA256" s="620">
        <v>4.5170000000000003</v>
      </c>
      <c r="AB256" s="620">
        <f t="shared" si="223"/>
        <v>3.8743333333333334</v>
      </c>
      <c r="AC256" s="620">
        <f t="shared" si="224"/>
        <v>34.701666666666675</v>
      </c>
      <c r="AD256" s="653">
        <f t="shared" si="225"/>
        <v>79.411098109091682</v>
      </c>
      <c r="AE256" s="650">
        <v>650</v>
      </c>
      <c r="AF256" s="620">
        <f t="shared" si="226"/>
        <v>9.5333333333333325E-2</v>
      </c>
      <c r="AG256" s="620">
        <v>9.6440000000000001</v>
      </c>
      <c r="AH256" s="620">
        <v>4.5170000000000003</v>
      </c>
      <c r="AI256" s="620">
        <f t="shared" si="227"/>
        <v>5.0316666666666663</v>
      </c>
      <c r="AJ256" s="620">
        <f t="shared" si="228"/>
        <v>33.544333333333341</v>
      </c>
      <c r="AK256" s="653">
        <f t="shared" si="229"/>
        <v>99.693056751491667</v>
      </c>
      <c r="AL256" s="650">
        <v>650</v>
      </c>
      <c r="AM256" s="620">
        <f t="shared" si="230"/>
        <v>0.6313333333333333</v>
      </c>
      <c r="AN256" s="620">
        <v>9.6440000000000001</v>
      </c>
      <c r="AO256" s="620">
        <v>4.5170000000000003</v>
      </c>
      <c r="AP256" s="620">
        <f t="shared" si="231"/>
        <v>4.4956666666666667</v>
      </c>
      <c r="AQ256" s="620">
        <f t="shared" si="232"/>
        <v>34.080333333333336</v>
      </c>
      <c r="AR256" s="698">
        <f t="shared" si="233"/>
        <v>90.496507998931662</v>
      </c>
      <c r="AS256" s="650">
        <v>650</v>
      </c>
      <c r="AT256" s="620">
        <f t="shared" si="234"/>
        <v>0.187</v>
      </c>
      <c r="AU256" s="620">
        <v>9.6440000000000001</v>
      </c>
      <c r="AV256" s="620">
        <v>4.5170000000000003</v>
      </c>
      <c r="AW256" s="620">
        <f t="shared" si="235"/>
        <v>4.9399999999999995</v>
      </c>
      <c r="AX256" s="620">
        <f t="shared" si="236"/>
        <v>33.636000000000003</v>
      </c>
      <c r="AY256" s="698">
        <f t="shared" si="237"/>
        <v>98.144321605199991</v>
      </c>
      <c r="AZ256" s="75"/>
      <c r="BA256" s="650">
        <v>650</v>
      </c>
      <c r="BB256" s="620">
        <v>103.50685607036536</v>
      </c>
      <c r="BC256" s="720">
        <f>(BB269-BB270)/BB251</f>
        <v>0.51127048013152165</v>
      </c>
      <c r="BD256" s="714">
        <f>D256-BB267</f>
        <v>33.45999999999998</v>
      </c>
      <c r="BE256" s="693">
        <f>BB269-BB270</f>
        <v>52.92</v>
      </c>
      <c r="BF256" s="693">
        <f t="shared" si="238"/>
        <v>63.227513227513185</v>
      </c>
      <c r="BG256" s="668">
        <f t="shared" si="239"/>
        <v>32.326361045352805</v>
      </c>
      <c r="BH256" s="650">
        <v>650</v>
      </c>
      <c r="BI256" s="620">
        <v>103.50685607036536</v>
      </c>
      <c r="BJ256" s="720">
        <f>(BI269-BI270)/BI251</f>
        <v>0.95703805294460553</v>
      </c>
      <c r="BK256" s="714">
        <f>I256-BI267</f>
        <v>39.699999999999989</v>
      </c>
      <c r="BL256" s="693">
        <f>BI269-BI270</f>
        <v>99.059999999999988</v>
      </c>
      <c r="BM256" s="693">
        <f t="shared" si="240"/>
        <v>40.076721179083371</v>
      </c>
      <c r="BN256" s="668">
        <f t="shared" si="241"/>
        <v>38.354947205633785</v>
      </c>
      <c r="BO256" s="650">
        <v>650</v>
      </c>
      <c r="BP256" s="681">
        <v>103.50685607036536</v>
      </c>
      <c r="BQ256" s="720">
        <f>(BP269-BP270)/BP251</f>
        <v>0.84361561460854995</v>
      </c>
      <c r="BR256" s="714">
        <f t="shared" si="242"/>
        <v>32.25</v>
      </c>
      <c r="BS256" s="693">
        <f>BP269-BP270</f>
        <v>87.32</v>
      </c>
      <c r="BT256" s="693">
        <f t="shared" si="243"/>
        <v>36.933119560238211</v>
      </c>
      <c r="BU256" s="668">
        <f t="shared" si="244"/>
        <v>31.157356357221417</v>
      </c>
      <c r="BV256" s="650">
        <v>650</v>
      </c>
      <c r="BW256" s="620">
        <v>103.50685607036536</v>
      </c>
      <c r="BX256" s="720">
        <f>(BW269-BW270)/BW251</f>
        <v>0.90650999906917373</v>
      </c>
      <c r="BY256" s="714">
        <f>S256-BW267</f>
        <v>37.860000000000014</v>
      </c>
      <c r="BZ256" s="693">
        <f>BW269-BW270</f>
        <v>93.83</v>
      </c>
      <c r="CA256" s="693">
        <f t="shared" si="245"/>
        <v>40.349568368325713</v>
      </c>
      <c r="CB256" s="668">
        <f t="shared" si="246"/>
        <v>36.577287184012505</v>
      </c>
      <c r="CC256" s="560"/>
    </row>
    <row r="257" spans="1:81" ht="15.75">
      <c r="A257" s="5"/>
      <c r="B257" s="59" t="s">
        <v>116</v>
      </c>
      <c r="C257" s="154">
        <v>750</v>
      </c>
      <c r="D257" s="315">
        <v>372.98</v>
      </c>
      <c r="E257" s="185">
        <v>12.8</v>
      </c>
      <c r="F257" s="185">
        <v>13.42</v>
      </c>
      <c r="G257" s="303">
        <v>13.01</v>
      </c>
      <c r="H257" s="259">
        <v>750</v>
      </c>
      <c r="I257" s="315">
        <v>425.59</v>
      </c>
      <c r="J257" s="167">
        <v>0.91</v>
      </c>
      <c r="K257" s="262">
        <v>1.2</v>
      </c>
      <c r="L257" s="465">
        <v>1.34</v>
      </c>
      <c r="M257" s="259">
        <v>750</v>
      </c>
      <c r="N257" s="231">
        <v>405.78</v>
      </c>
      <c r="O257" s="426">
        <v>5.23</v>
      </c>
      <c r="P257" s="426">
        <v>4.92</v>
      </c>
      <c r="Q257" s="426">
        <v>11.19</v>
      </c>
      <c r="R257" s="259">
        <v>750</v>
      </c>
      <c r="S257" s="231">
        <v>418.49</v>
      </c>
      <c r="T257" s="464">
        <v>2.6</v>
      </c>
      <c r="U257" s="464">
        <v>2.4700000000000002</v>
      </c>
      <c r="V257" s="464">
        <v>1.25</v>
      </c>
      <c r="W257" s="5"/>
      <c r="X257" s="650">
        <v>750</v>
      </c>
      <c r="Y257" s="651">
        <f t="shared" si="222"/>
        <v>1.3076666666666665</v>
      </c>
      <c r="Z257" s="620">
        <v>9.6440000000000001</v>
      </c>
      <c r="AA257" s="620">
        <v>4.5170000000000003</v>
      </c>
      <c r="AB257" s="620">
        <f t="shared" si="223"/>
        <v>3.8193333333333328</v>
      </c>
      <c r="AC257" s="620">
        <f t="shared" si="224"/>
        <v>34.756666666666675</v>
      </c>
      <c r="AD257" s="653">
        <f t="shared" si="225"/>
        <v>104.38915454250001</v>
      </c>
      <c r="AE257" s="650">
        <v>750</v>
      </c>
      <c r="AF257" s="620">
        <f t="shared" si="226"/>
        <v>0.11500000000000002</v>
      </c>
      <c r="AG257" s="620">
        <v>9.6440000000000001</v>
      </c>
      <c r="AH257" s="620">
        <v>4.5170000000000003</v>
      </c>
      <c r="AI257" s="620">
        <f t="shared" si="227"/>
        <v>5.0119999999999996</v>
      </c>
      <c r="AJ257" s="620">
        <f t="shared" si="228"/>
        <v>33.564000000000007</v>
      </c>
      <c r="AK257" s="653">
        <f t="shared" si="229"/>
        <v>132.286179186</v>
      </c>
      <c r="AL257" s="650">
        <v>750</v>
      </c>
      <c r="AM257" s="620">
        <f t="shared" si="230"/>
        <v>0.71133333333333337</v>
      </c>
      <c r="AN257" s="620">
        <v>9.6440000000000001</v>
      </c>
      <c r="AO257" s="620">
        <v>4.5170000000000003</v>
      </c>
      <c r="AP257" s="620">
        <f t="shared" si="231"/>
        <v>4.4156666666666666</v>
      </c>
      <c r="AQ257" s="620">
        <f t="shared" si="232"/>
        <v>34.160333333333341</v>
      </c>
      <c r="AR257" s="698">
        <f t="shared" si="233"/>
        <v>118.61731238662502</v>
      </c>
      <c r="AS257" s="650">
        <v>750</v>
      </c>
      <c r="AT257" s="620">
        <f t="shared" si="234"/>
        <v>0.2106666666666667</v>
      </c>
      <c r="AU257" s="620">
        <v>9.6440000000000001</v>
      </c>
      <c r="AV257" s="620">
        <v>4.5170000000000003</v>
      </c>
      <c r="AW257" s="620">
        <f t="shared" si="235"/>
        <v>4.9163333333333332</v>
      </c>
      <c r="AX257" s="620">
        <f t="shared" si="236"/>
        <v>33.659666666666674</v>
      </c>
      <c r="AY257" s="698">
        <f t="shared" si="237"/>
        <v>130.13101880362501</v>
      </c>
      <c r="AZ257" s="75"/>
      <c r="BA257" s="650">
        <v>750</v>
      </c>
      <c r="BB257" s="620">
        <v>103.50685607036536</v>
      </c>
      <c r="BC257" s="720">
        <f>(BB269-BB270)/BB251</f>
        <v>0.51127048013152165</v>
      </c>
      <c r="BD257" s="714">
        <f>D257-BB267</f>
        <v>32.300000000000011</v>
      </c>
      <c r="BE257" s="693">
        <f>BB269-BB270</f>
        <v>52.92</v>
      </c>
      <c r="BF257" s="693">
        <f t="shared" si="238"/>
        <v>61.035525321239625</v>
      </c>
      <c r="BG257" s="668">
        <f t="shared" si="239"/>
        <v>31.205662336069832</v>
      </c>
      <c r="BH257" s="650">
        <v>750</v>
      </c>
      <c r="BI257" s="620">
        <v>103.50685607036536</v>
      </c>
      <c r="BJ257" s="720">
        <f>(BI269-BI270)/BI251</f>
        <v>0.95703805294460553</v>
      </c>
      <c r="BK257" s="714">
        <f>I257-BI267</f>
        <v>38.649999999999977</v>
      </c>
      <c r="BL257" s="693">
        <f>BI269-BI270</f>
        <v>99.059999999999988</v>
      </c>
      <c r="BM257" s="693">
        <f t="shared" si="240"/>
        <v>39.016757520694512</v>
      </c>
      <c r="BN257" s="668">
        <f t="shared" si="241"/>
        <v>37.340521649817269</v>
      </c>
      <c r="BO257" s="650">
        <v>750</v>
      </c>
      <c r="BP257" s="681">
        <v>103.50685607036536</v>
      </c>
      <c r="BQ257" s="720">
        <f>(BP269-BP270)/BP251</f>
        <v>0.84361561460854995</v>
      </c>
      <c r="BR257" s="714">
        <f t="shared" si="242"/>
        <v>30.889999999999986</v>
      </c>
      <c r="BS257" s="693">
        <f>BP269-BP270</f>
        <v>87.32</v>
      </c>
      <c r="BT257" s="693">
        <f t="shared" si="243"/>
        <v>35.375629867155276</v>
      </c>
      <c r="BU257" s="668">
        <f t="shared" si="244"/>
        <v>29.843433732544774</v>
      </c>
      <c r="BV257" s="650">
        <v>750</v>
      </c>
      <c r="BW257" s="620">
        <v>103.50685607036536</v>
      </c>
      <c r="BX257" s="720">
        <f>(BW269-BW270)/BW251</f>
        <v>0.90650999906917373</v>
      </c>
      <c r="BY257" s="714">
        <f>S257-BW267</f>
        <v>36.710000000000036</v>
      </c>
      <c r="BZ257" s="693">
        <f>BW269-BW270</f>
        <v>93.83</v>
      </c>
      <c r="CA257" s="693">
        <f t="shared" si="245"/>
        <v>39.123947564744796</v>
      </c>
      <c r="CB257" s="668">
        <f t="shared" si="246"/>
        <v>35.466249670499209</v>
      </c>
      <c r="CC257" s="560"/>
    </row>
    <row r="258" spans="1:81" ht="15.75">
      <c r="A258" s="5"/>
      <c r="B258" s="59" t="s">
        <v>116</v>
      </c>
      <c r="C258" s="154">
        <v>850</v>
      </c>
      <c r="D258" s="315">
        <v>371.73</v>
      </c>
      <c r="E258" s="185">
        <v>13.19</v>
      </c>
      <c r="F258" s="185">
        <v>13.78</v>
      </c>
      <c r="G258" s="303">
        <v>13.4</v>
      </c>
      <c r="H258" s="259">
        <v>850</v>
      </c>
      <c r="I258" s="315">
        <v>424.38</v>
      </c>
      <c r="J258" s="167">
        <v>1.44</v>
      </c>
      <c r="K258" s="262">
        <v>1.33</v>
      </c>
      <c r="L258" s="465">
        <v>1.34</v>
      </c>
      <c r="M258" s="259">
        <v>850</v>
      </c>
      <c r="N258" s="231">
        <v>404.54</v>
      </c>
      <c r="O258" s="426">
        <v>11.69</v>
      </c>
      <c r="P258" s="426">
        <v>5.2</v>
      </c>
      <c r="Q258" s="426">
        <v>5.47</v>
      </c>
      <c r="R258" s="259">
        <v>850</v>
      </c>
      <c r="S258" s="231">
        <v>417.53</v>
      </c>
      <c r="T258" s="464">
        <v>1.81</v>
      </c>
      <c r="U258" s="464">
        <v>2.95</v>
      </c>
      <c r="V258" s="464">
        <v>2.87</v>
      </c>
      <c r="W258" s="5"/>
      <c r="X258" s="650">
        <v>850</v>
      </c>
      <c r="Y258" s="651">
        <f t="shared" si="222"/>
        <v>1.3456666666666666</v>
      </c>
      <c r="Z258" s="620">
        <v>9.6440000000000001</v>
      </c>
      <c r="AA258" s="620">
        <v>4.5170000000000003</v>
      </c>
      <c r="AB258" s="620">
        <f t="shared" si="223"/>
        <v>3.7813333333333334</v>
      </c>
      <c r="AC258" s="620">
        <f t="shared" si="224"/>
        <v>34.794666666666672</v>
      </c>
      <c r="AD258" s="653">
        <f t="shared" si="225"/>
        <v>132.89317158058668</v>
      </c>
      <c r="AE258" s="650">
        <v>850</v>
      </c>
      <c r="AF258" s="620">
        <f t="shared" si="226"/>
        <v>0.13700000000000001</v>
      </c>
      <c r="AG258" s="620">
        <v>9.6440000000000001</v>
      </c>
      <c r="AH258" s="620">
        <v>4.5170000000000003</v>
      </c>
      <c r="AI258" s="620">
        <f t="shared" si="227"/>
        <v>4.99</v>
      </c>
      <c r="AJ258" s="620">
        <f t="shared" si="228"/>
        <v>33.586000000000006</v>
      </c>
      <c r="AK258" s="653">
        <f t="shared" si="229"/>
        <v>169.27929907770002</v>
      </c>
      <c r="AL258" s="650">
        <v>850</v>
      </c>
      <c r="AM258" s="620">
        <f t="shared" si="230"/>
        <v>0.74533333333333329</v>
      </c>
      <c r="AN258" s="620">
        <v>9.6440000000000001</v>
      </c>
      <c r="AO258" s="620">
        <v>4.5170000000000003</v>
      </c>
      <c r="AP258" s="620">
        <f t="shared" si="231"/>
        <v>4.3816666666666668</v>
      </c>
      <c r="AQ258" s="620">
        <f t="shared" si="232"/>
        <v>34.19433333333334</v>
      </c>
      <c r="AR258" s="698">
        <f t="shared" si="233"/>
        <v>151.3346928104917</v>
      </c>
      <c r="AS258" s="650">
        <v>850</v>
      </c>
      <c r="AT258" s="620">
        <f t="shared" si="234"/>
        <v>0.25433333333333336</v>
      </c>
      <c r="AU258" s="620">
        <v>9.6440000000000001</v>
      </c>
      <c r="AV258" s="620">
        <v>4.5170000000000003</v>
      </c>
      <c r="AW258" s="620">
        <f t="shared" si="235"/>
        <v>4.8726666666666665</v>
      </c>
      <c r="AX258" s="620">
        <f t="shared" si="236"/>
        <v>33.70333333333334</v>
      </c>
      <c r="AY258" s="698">
        <f t="shared" si="237"/>
        <v>165.87639235876668</v>
      </c>
      <c r="AZ258" s="75"/>
      <c r="BA258" s="650">
        <v>850</v>
      </c>
      <c r="BB258" s="620">
        <v>103.50685607036536</v>
      </c>
      <c r="BC258" s="720">
        <f>(BB269-BB270)/BB251</f>
        <v>0.51127048013152165</v>
      </c>
      <c r="BD258" s="714">
        <f>D258-BB267</f>
        <v>31.050000000000011</v>
      </c>
      <c r="BE258" s="693">
        <f>BB269-BB270</f>
        <v>52.92</v>
      </c>
      <c r="BF258" s="693">
        <f t="shared" si="238"/>
        <v>58.673469387755119</v>
      </c>
      <c r="BG258" s="668">
        <f t="shared" si="239"/>
        <v>29.9980128648597</v>
      </c>
      <c r="BH258" s="650">
        <v>850</v>
      </c>
      <c r="BI258" s="620">
        <v>103.50685607036536</v>
      </c>
      <c r="BJ258" s="720">
        <f>(BI269-BI270)/BI251</f>
        <v>0.95703805294460553</v>
      </c>
      <c r="BK258" s="714">
        <f>I258-BI267</f>
        <v>37.44</v>
      </c>
      <c r="BL258" s="693">
        <f>BI269-BI270</f>
        <v>99.059999999999988</v>
      </c>
      <c r="BM258" s="693">
        <f t="shared" si="240"/>
        <v>37.795275590551185</v>
      </c>
      <c r="BN258" s="668">
        <f t="shared" si="241"/>
        <v>36.171516961685882</v>
      </c>
      <c r="BO258" s="650">
        <v>850</v>
      </c>
      <c r="BP258" s="681">
        <v>103.50685607036536</v>
      </c>
      <c r="BQ258" s="720">
        <f>(BP269-BP270)/BP251</f>
        <v>0.84361561460854995</v>
      </c>
      <c r="BR258" s="714">
        <f t="shared" si="242"/>
        <v>29.650000000000034</v>
      </c>
      <c r="BS258" s="693">
        <f>BP269-BP270</f>
        <v>87.32</v>
      </c>
      <c r="BT258" s="693">
        <f t="shared" si="243"/>
        <v>33.955565735226791</v>
      </c>
      <c r="BU258" s="668">
        <f t="shared" si="244"/>
        <v>28.645445457104369</v>
      </c>
      <c r="BV258" s="650">
        <v>850</v>
      </c>
      <c r="BW258" s="620">
        <v>103.50685607036536</v>
      </c>
      <c r="BX258" s="720">
        <f>(BW269-BW270)/BW251</f>
        <v>0.90650999906917373</v>
      </c>
      <c r="BY258" s="714">
        <f>S258-BW267</f>
        <v>35.75</v>
      </c>
      <c r="BZ258" s="693">
        <f>BW269-BW270</f>
        <v>93.83</v>
      </c>
      <c r="CA258" s="693">
        <f t="shared" si="245"/>
        <v>38.10082063305979</v>
      </c>
      <c r="CB258" s="668">
        <f t="shared" si="246"/>
        <v>34.538774876609786</v>
      </c>
      <c r="CC258" s="560"/>
    </row>
    <row r="259" spans="1:81" ht="15.75">
      <c r="A259" s="5"/>
      <c r="B259" s="59" t="s">
        <v>116</v>
      </c>
      <c r="C259" s="154">
        <v>950</v>
      </c>
      <c r="D259" s="315">
        <v>370.9</v>
      </c>
      <c r="E259" s="185">
        <v>13.61</v>
      </c>
      <c r="F259" s="185">
        <v>14.62</v>
      </c>
      <c r="G259" s="303">
        <v>13.45</v>
      </c>
      <c r="H259" s="259">
        <v>950</v>
      </c>
      <c r="I259" s="315">
        <v>423.48</v>
      </c>
      <c r="J259" s="167">
        <v>1.75</v>
      </c>
      <c r="K259" s="262">
        <v>1.49</v>
      </c>
      <c r="L259" s="465">
        <v>1.52</v>
      </c>
      <c r="M259" s="259">
        <v>950</v>
      </c>
      <c r="N259" s="231">
        <v>403.6</v>
      </c>
      <c r="O259" s="426">
        <v>5.5</v>
      </c>
      <c r="P259" s="426">
        <v>5.63</v>
      </c>
      <c r="Q259" s="426">
        <v>12.12</v>
      </c>
      <c r="R259" s="259">
        <v>950</v>
      </c>
      <c r="S259" s="231">
        <v>416.67</v>
      </c>
      <c r="T259" s="464">
        <v>3.15</v>
      </c>
      <c r="U259" s="464">
        <v>2.11</v>
      </c>
      <c r="V259" s="464">
        <v>3</v>
      </c>
      <c r="W259" s="5"/>
      <c r="X259" s="650">
        <v>950</v>
      </c>
      <c r="Y259" s="651">
        <f t="shared" si="222"/>
        <v>1.3893333333333331</v>
      </c>
      <c r="Z259" s="620">
        <v>9.6440000000000001</v>
      </c>
      <c r="AA259" s="620">
        <v>4.5170000000000003</v>
      </c>
      <c r="AB259" s="620">
        <f t="shared" si="223"/>
        <v>3.7376666666666667</v>
      </c>
      <c r="AC259" s="620">
        <f t="shared" si="224"/>
        <v>34.838333333333338</v>
      </c>
      <c r="AD259" s="653">
        <f t="shared" si="225"/>
        <v>164.29045016089165</v>
      </c>
      <c r="AE259" s="650">
        <v>950</v>
      </c>
      <c r="AF259" s="620">
        <f t="shared" si="226"/>
        <v>0.15866666666666668</v>
      </c>
      <c r="AG259" s="620">
        <v>9.6440000000000001</v>
      </c>
      <c r="AH259" s="620">
        <v>4.5170000000000003</v>
      </c>
      <c r="AI259" s="620">
        <f t="shared" si="227"/>
        <v>4.9683333333333328</v>
      </c>
      <c r="AJ259" s="620">
        <f t="shared" si="228"/>
        <v>33.607666666666674</v>
      </c>
      <c r="AK259" s="653">
        <f t="shared" si="229"/>
        <v>210.67037518349164</v>
      </c>
      <c r="AL259" s="650">
        <v>950</v>
      </c>
      <c r="AM259" s="620">
        <f t="shared" si="230"/>
        <v>0.77500000000000002</v>
      </c>
      <c r="AN259" s="620">
        <v>9.6440000000000001</v>
      </c>
      <c r="AO259" s="620">
        <v>4.5170000000000003</v>
      </c>
      <c r="AP259" s="620">
        <f t="shared" si="231"/>
        <v>4.3519999999999994</v>
      </c>
      <c r="AQ259" s="620">
        <f t="shared" si="232"/>
        <v>34.224000000000004</v>
      </c>
      <c r="AR259" s="698">
        <f t="shared" si="233"/>
        <v>187.92044660735996</v>
      </c>
      <c r="AS259" s="650">
        <v>950</v>
      </c>
      <c r="AT259" s="620">
        <f t="shared" si="234"/>
        <v>0.27533333333333332</v>
      </c>
      <c r="AU259" s="620">
        <v>9.6440000000000001</v>
      </c>
      <c r="AV259" s="620">
        <v>4.5170000000000003</v>
      </c>
      <c r="AW259" s="620">
        <f t="shared" si="235"/>
        <v>4.8516666666666666</v>
      </c>
      <c r="AX259" s="620">
        <f t="shared" si="236"/>
        <v>33.724333333333341</v>
      </c>
      <c r="AY259" s="698">
        <f t="shared" si="237"/>
        <v>206.43755668449168</v>
      </c>
      <c r="AZ259" s="75"/>
      <c r="BA259" s="650">
        <v>950</v>
      </c>
      <c r="BB259" s="620">
        <v>103.50685607036536</v>
      </c>
      <c r="BC259" s="720">
        <f>(BB269-BB270)/BB251</f>
        <v>0.51127048013152165</v>
      </c>
      <c r="BD259" s="714">
        <f>D259-BB267</f>
        <v>30.21999999999997</v>
      </c>
      <c r="BE259" s="693">
        <f>BB269-BB270</f>
        <v>52.92</v>
      </c>
      <c r="BF259" s="693">
        <f t="shared" si="238"/>
        <v>57.105064247921334</v>
      </c>
      <c r="BG259" s="668">
        <f t="shared" si="239"/>
        <v>29.19613361597613</v>
      </c>
      <c r="BH259" s="650">
        <v>950</v>
      </c>
      <c r="BI259" s="620">
        <v>103.50685607036536</v>
      </c>
      <c r="BJ259" s="720">
        <f>(BI269-BI270)/BI251</f>
        <v>0.95703805294460553</v>
      </c>
      <c r="BK259" s="714">
        <f>I259-BI267</f>
        <v>36.54000000000002</v>
      </c>
      <c r="BL259" s="693">
        <f>BI269-BI270</f>
        <v>99.059999999999988</v>
      </c>
      <c r="BM259" s="693">
        <f t="shared" si="240"/>
        <v>36.886735311932192</v>
      </c>
      <c r="BN259" s="668">
        <f t="shared" si="241"/>
        <v>35.302009342414614</v>
      </c>
      <c r="BO259" s="650">
        <v>950</v>
      </c>
      <c r="BP259" s="681">
        <v>103.50685607036536</v>
      </c>
      <c r="BQ259" s="720">
        <f>(BP269-BP270)/BP251</f>
        <v>0.84361561460854995</v>
      </c>
      <c r="BR259" s="714">
        <f t="shared" si="242"/>
        <v>28.710000000000036</v>
      </c>
      <c r="BS259" s="693">
        <f>BP269-BP270</f>
        <v>87.32</v>
      </c>
      <c r="BT259" s="693">
        <f t="shared" si="243"/>
        <v>32.879065506184197</v>
      </c>
      <c r="BU259" s="668">
        <f t="shared" si="244"/>
        <v>27.737293054754357</v>
      </c>
      <c r="BV259" s="650">
        <v>950</v>
      </c>
      <c r="BW259" s="620">
        <v>103.50685607036536</v>
      </c>
      <c r="BX259" s="720">
        <f>(BW269-BW270)/BW251</f>
        <v>0.90650999906917373</v>
      </c>
      <c r="BY259" s="714">
        <f>S259-BW267</f>
        <v>34.890000000000043</v>
      </c>
      <c r="BZ259" s="693">
        <f>BW269-BW270</f>
        <v>93.83</v>
      </c>
      <c r="CA259" s="693">
        <f t="shared" si="245"/>
        <v>37.184269423425391</v>
      </c>
      <c r="CB259" s="668">
        <f t="shared" si="246"/>
        <v>33.707912040417256</v>
      </c>
      <c r="CC259" s="560"/>
    </row>
    <row r="260" spans="1:81" ht="15.75">
      <c r="A260" s="5"/>
      <c r="B260" s="59" t="s">
        <v>116</v>
      </c>
      <c r="C260" s="154">
        <v>1000</v>
      </c>
      <c r="D260" s="315">
        <v>370.32</v>
      </c>
      <c r="E260" s="185">
        <v>14.72</v>
      </c>
      <c r="F260" s="185">
        <v>14.48</v>
      </c>
      <c r="G260" s="303">
        <v>14.24</v>
      </c>
      <c r="H260" s="259">
        <v>1000</v>
      </c>
      <c r="I260" s="315">
        <v>422.85</v>
      </c>
      <c r="J260" s="426">
        <v>1.94</v>
      </c>
      <c r="K260" s="464">
        <v>2.14</v>
      </c>
      <c r="L260" s="465">
        <v>2.0099999999999998</v>
      </c>
      <c r="M260" s="259">
        <v>1000</v>
      </c>
      <c r="N260" s="231">
        <v>403.03</v>
      </c>
      <c r="O260" s="426">
        <v>6.08</v>
      </c>
      <c r="P260" s="426">
        <v>11.54</v>
      </c>
      <c r="Q260" s="426">
        <v>6.02</v>
      </c>
      <c r="R260" s="259">
        <v>1000</v>
      </c>
      <c r="S260" s="231">
        <v>416.1</v>
      </c>
      <c r="T260" s="464">
        <v>2.5</v>
      </c>
      <c r="U260" s="464">
        <v>3.39</v>
      </c>
      <c r="V260" s="464">
        <v>3.5</v>
      </c>
      <c r="W260" s="5"/>
      <c r="X260" s="650">
        <v>1000</v>
      </c>
      <c r="Y260" s="651">
        <f t="shared" si="222"/>
        <v>1.4480000000000002</v>
      </c>
      <c r="Z260" s="620">
        <v>9.6440000000000001</v>
      </c>
      <c r="AA260" s="620">
        <v>4.5170000000000003</v>
      </c>
      <c r="AB260" s="620">
        <f t="shared" si="223"/>
        <v>3.6789999999999994</v>
      </c>
      <c r="AC260" s="620">
        <f t="shared" si="224"/>
        <v>34.897000000000006</v>
      </c>
      <c r="AD260" s="653">
        <f t="shared" si="225"/>
        <v>179.48371607399997</v>
      </c>
      <c r="AE260" s="650">
        <v>1000</v>
      </c>
      <c r="AF260" s="620">
        <f t="shared" si="226"/>
        <v>0.20299999999999999</v>
      </c>
      <c r="AG260" s="620">
        <v>9.6440000000000001</v>
      </c>
      <c r="AH260" s="620">
        <v>4.5170000000000003</v>
      </c>
      <c r="AI260" s="620">
        <f t="shared" si="227"/>
        <v>4.9239999999999995</v>
      </c>
      <c r="AJ260" s="620">
        <f t="shared" si="228"/>
        <v>33.652000000000008</v>
      </c>
      <c r="AK260" s="653">
        <f t="shared" si="229"/>
        <v>231.65202230399998</v>
      </c>
      <c r="AL260" s="650">
        <v>1000</v>
      </c>
      <c r="AM260" s="620">
        <f t="shared" si="230"/>
        <v>0.78799999999999992</v>
      </c>
      <c r="AN260" s="620">
        <v>9.6440000000000001</v>
      </c>
      <c r="AO260" s="620">
        <v>4.5170000000000003</v>
      </c>
      <c r="AP260" s="620">
        <f t="shared" si="231"/>
        <v>4.3389999999999995</v>
      </c>
      <c r="AQ260" s="620">
        <f t="shared" si="232"/>
        <v>34.237000000000002</v>
      </c>
      <c r="AR260" s="698">
        <f t="shared" si="233"/>
        <v>207.67897151399993</v>
      </c>
      <c r="AS260" s="650">
        <v>1000</v>
      </c>
      <c r="AT260" s="620">
        <f t="shared" si="234"/>
        <v>0.31300000000000006</v>
      </c>
      <c r="AU260" s="620">
        <v>9.6440000000000001</v>
      </c>
      <c r="AV260" s="620">
        <v>4.5170000000000003</v>
      </c>
      <c r="AW260" s="620">
        <f t="shared" si="235"/>
        <v>4.8140000000000001</v>
      </c>
      <c r="AX260" s="620">
        <f t="shared" si="236"/>
        <v>33.762000000000008</v>
      </c>
      <c r="AY260" s="698">
        <f t="shared" si="237"/>
        <v>227.21731466399999</v>
      </c>
      <c r="AZ260" s="75"/>
      <c r="BA260" s="650">
        <v>1000</v>
      </c>
      <c r="BB260" s="620">
        <v>103.50685607036536</v>
      </c>
      <c r="BC260" s="720">
        <f>(BB269-BB270)/BB251</f>
        <v>0.51127048013152165</v>
      </c>
      <c r="BD260" s="714">
        <f>D260-BB267</f>
        <v>29.639999999999986</v>
      </c>
      <c r="BE260" s="693">
        <f>BB269-BB270</f>
        <v>52.92</v>
      </c>
      <c r="BF260" s="693">
        <f t="shared" si="238"/>
        <v>56.009070294784557</v>
      </c>
      <c r="BG260" s="668">
        <f t="shared" si="239"/>
        <v>28.635784261334649</v>
      </c>
      <c r="BH260" s="650">
        <v>1000</v>
      </c>
      <c r="BI260" s="620">
        <v>103.50685607036536</v>
      </c>
      <c r="BJ260" s="720">
        <f>(BI269-BI270)/BI251</f>
        <v>0.95703805294460553</v>
      </c>
      <c r="BK260" s="714">
        <f>I260-BI267</f>
        <v>35.910000000000025</v>
      </c>
      <c r="BL260" s="693">
        <f>BI269-BI270</f>
        <v>99.059999999999988</v>
      </c>
      <c r="BM260" s="693">
        <f t="shared" si="240"/>
        <v>36.250757116898882</v>
      </c>
      <c r="BN260" s="668">
        <f t="shared" si="241"/>
        <v>34.693354008924707</v>
      </c>
      <c r="BO260" s="650">
        <v>1000</v>
      </c>
      <c r="BP260" s="681">
        <v>103.50685607036536</v>
      </c>
      <c r="BQ260" s="720">
        <f>(BP269-BP270)/BP251</f>
        <v>0.84361561460854995</v>
      </c>
      <c r="BR260" s="714">
        <f t="shared" si="242"/>
        <v>28.139999999999986</v>
      </c>
      <c r="BS260" s="693">
        <f>BP269-BP270</f>
        <v>87.32</v>
      </c>
      <c r="BT260" s="693">
        <f t="shared" si="243"/>
        <v>32.226294090700861</v>
      </c>
      <c r="BU260" s="668">
        <f t="shared" si="244"/>
        <v>27.186604895882489</v>
      </c>
      <c r="BV260" s="650">
        <v>1000</v>
      </c>
      <c r="BW260" s="620">
        <v>103.50685607036536</v>
      </c>
      <c r="BX260" s="720">
        <f>(BW269-BW270)/BW251</f>
        <v>0.90650999906917373</v>
      </c>
      <c r="BY260" s="714">
        <f>S260-BW267</f>
        <v>34.32000000000005</v>
      </c>
      <c r="BZ260" s="693">
        <f>BW269-BW270</f>
        <v>93.83</v>
      </c>
      <c r="CA260" s="693">
        <f t="shared" si="245"/>
        <v>36.576787807737446</v>
      </c>
      <c r="CB260" s="668">
        <f t="shared" si="246"/>
        <v>33.157223881545434</v>
      </c>
      <c r="CC260" s="560"/>
    </row>
    <row r="261" spans="1:81" ht="15.75">
      <c r="A261" s="5"/>
      <c r="B261" s="59" t="s">
        <v>116</v>
      </c>
      <c r="C261" s="154">
        <v>1350</v>
      </c>
      <c r="D261" s="315">
        <v>368.58</v>
      </c>
      <c r="E261" s="185">
        <v>15.94</v>
      </c>
      <c r="F261" s="185">
        <v>15.27</v>
      </c>
      <c r="G261" s="303">
        <v>14.44</v>
      </c>
      <c r="H261" s="259">
        <v>1350</v>
      </c>
      <c r="I261" s="315">
        <v>420.95</v>
      </c>
      <c r="J261" s="426">
        <v>3.17</v>
      </c>
      <c r="K261" s="464">
        <v>3.07</v>
      </c>
      <c r="L261" s="465">
        <v>3.07</v>
      </c>
      <c r="M261" s="259">
        <v>1350</v>
      </c>
      <c r="N261" s="231">
        <v>401.32</v>
      </c>
      <c r="O261" s="426">
        <v>7.11</v>
      </c>
      <c r="P261" s="426">
        <v>7.26</v>
      </c>
      <c r="Q261" s="426">
        <v>12.54</v>
      </c>
      <c r="R261" s="259">
        <v>1350</v>
      </c>
      <c r="S261" s="231">
        <v>414.35</v>
      </c>
      <c r="T261" s="464">
        <v>3.33</v>
      </c>
      <c r="U261" s="464">
        <v>3.99</v>
      </c>
      <c r="V261" s="464">
        <v>4.37</v>
      </c>
      <c r="W261" s="5"/>
      <c r="X261" s="650">
        <v>1350</v>
      </c>
      <c r="Y261" s="651">
        <f t="shared" si="222"/>
        <v>1.5216666666666667</v>
      </c>
      <c r="Z261" s="620">
        <v>9.6440000000000001</v>
      </c>
      <c r="AA261" s="620">
        <v>4.5170000000000003</v>
      </c>
      <c r="AB261" s="620">
        <f t="shared" si="223"/>
        <v>3.6053333333333333</v>
      </c>
      <c r="AC261" s="620">
        <f t="shared" si="224"/>
        <v>34.970666666666673</v>
      </c>
      <c r="AD261" s="653">
        <f t="shared" si="225"/>
        <v>321.23587751424003</v>
      </c>
      <c r="AE261" s="650">
        <v>1350</v>
      </c>
      <c r="AF261" s="620">
        <f t="shared" si="226"/>
        <v>0.31033333333333335</v>
      </c>
      <c r="AG261" s="620">
        <v>9.6440000000000001</v>
      </c>
      <c r="AH261" s="620">
        <v>4.5170000000000003</v>
      </c>
      <c r="AI261" s="620">
        <f t="shared" si="227"/>
        <v>4.8166666666666664</v>
      </c>
      <c r="AJ261" s="620">
        <f t="shared" si="228"/>
        <v>33.759333333333338</v>
      </c>
      <c r="AK261" s="653">
        <f t="shared" si="229"/>
        <v>414.3002186745</v>
      </c>
      <c r="AL261" s="650">
        <v>1350</v>
      </c>
      <c r="AM261" s="620">
        <f t="shared" si="230"/>
        <v>0.89700000000000002</v>
      </c>
      <c r="AN261" s="620">
        <v>9.6440000000000001</v>
      </c>
      <c r="AO261" s="620">
        <v>4.5170000000000003</v>
      </c>
      <c r="AP261" s="620">
        <f t="shared" si="231"/>
        <v>4.2299999999999995</v>
      </c>
      <c r="AQ261" s="620">
        <f t="shared" si="232"/>
        <v>34.346000000000004</v>
      </c>
      <c r="AR261" s="698">
        <f t="shared" si="233"/>
        <v>370.16149572089995</v>
      </c>
      <c r="AS261" s="650">
        <v>1350</v>
      </c>
      <c r="AT261" s="620">
        <f t="shared" si="234"/>
        <v>0.38966666666666672</v>
      </c>
      <c r="AU261" s="620">
        <v>9.6440000000000001</v>
      </c>
      <c r="AV261" s="620">
        <v>4.5170000000000003</v>
      </c>
      <c r="AW261" s="620">
        <f t="shared" si="235"/>
        <v>4.737333333333333</v>
      </c>
      <c r="AX261" s="620">
        <f t="shared" si="236"/>
        <v>33.838666666666668</v>
      </c>
      <c r="AY261" s="698">
        <f t="shared" si="237"/>
        <v>408.43400674823994</v>
      </c>
      <c r="AZ261" s="75"/>
      <c r="BA261" s="650">
        <v>1350</v>
      </c>
      <c r="BB261" s="620">
        <v>103.50685607036536</v>
      </c>
      <c r="BC261" s="720">
        <f>(BB269-BB270)/BB251</f>
        <v>0.51127048013152165</v>
      </c>
      <c r="BD261" s="714">
        <f>D261-BB267</f>
        <v>27.899999999999977</v>
      </c>
      <c r="BE261" s="693">
        <f>BB269-BB270</f>
        <v>52.92</v>
      </c>
      <c r="BF261" s="693">
        <f t="shared" si="238"/>
        <v>52.721088435374106</v>
      </c>
      <c r="BG261" s="668">
        <f t="shared" si="239"/>
        <v>26.954736197410135</v>
      </c>
      <c r="BH261" s="650">
        <v>1350</v>
      </c>
      <c r="BI261" s="620">
        <v>103.50685607036536</v>
      </c>
      <c r="BJ261" s="720">
        <f>(BI269-BI270)/BI251</f>
        <v>0.95703805294460553</v>
      </c>
      <c r="BK261" s="714">
        <f>I261-BI267</f>
        <v>34.009999999999991</v>
      </c>
      <c r="BL261" s="693">
        <f>BI269-BI270</f>
        <v>99.059999999999988</v>
      </c>
      <c r="BM261" s="693">
        <f t="shared" si="240"/>
        <v>34.332727639814244</v>
      </c>
      <c r="BN261" s="668">
        <f t="shared" si="241"/>
        <v>32.857726812685264</v>
      </c>
      <c r="BO261" s="650">
        <v>1350</v>
      </c>
      <c r="BP261" s="681">
        <v>103.50685607036536</v>
      </c>
      <c r="BQ261" s="720">
        <f>(BP269-BP270)/BP251</f>
        <v>0.84361561460854995</v>
      </c>
      <c r="BR261" s="714">
        <f t="shared" si="242"/>
        <v>26.430000000000007</v>
      </c>
      <c r="BS261" s="693">
        <f>BP269-BP270</f>
        <v>87.32</v>
      </c>
      <c r="BT261" s="693">
        <f t="shared" si="243"/>
        <v>30.267979844251041</v>
      </c>
      <c r="BU261" s="668">
        <f t="shared" si="244"/>
        <v>25.534540419267042</v>
      </c>
      <c r="BV261" s="650">
        <v>1350</v>
      </c>
      <c r="BW261" s="620">
        <v>103.50685607036536</v>
      </c>
      <c r="BX261" s="720">
        <f>(BW269-BW270)/BW251</f>
        <v>0.90650999906917373</v>
      </c>
      <c r="BY261" s="714">
        <f>S261-BW267</f>
        <v>32.57000000000005</v>
      </c>
      <c r="BZ261" s="693">
        <f>BW269-BW270</f>
        <v>93.83</v>
      </c>
      <c r="CA261" s="693">
        <f t="shared" si="245"/>
        <v>34.711712671853405</v>
      </c>
      <c r="CB261" s="668">
        <f t="shared" si="246"/>
        <v>31.466514621851257</v>
      </c>
      <c r="CC261" s="560"/>
    </row>
    <row r="262" spans="1:81" ht="15.75">
      <c r="A262" s="5"/>
      <c r="B262" s="59" t="s">
        <v>116</v>
      </c>
      <c r="C262" s="154">
        <v>2500</v>
      </c>
      <c r="D262" s="315">
        <v>365.31</v>
      </c>
      <c r="E262" s="185">
        <v>18.920000000000002</v>
      </c>
      <c r="F262" s="185">
        <v>17.760000000000002</v>
      </c>
      <c r="G262" s="303">
        <v>19.59</v>
      </c>
      <c r="H262" s="259">
        <v>2500</v>
      </c>
      <c r="I262" s="315">
        <v>417.04</v>
      </c>
      <c r="J262" s="426">
        <v>6.57</v>
      </c>
      <c r="K262" s="464">
        <v>6.26</v>
      </c>
      <c r="L262" s="465">
        <v>6.4</v>
      </c>
      <c r="M262" s="259">
        <v>2500</v>
      </c>
      <c r="N262" s="231">
        <v>398.01</v>
      </c>
      <c r="O262" s="426">
        <v>16.739999999999998</v>
      </c>
      <c r="P262" s="426">
        <v>10.29</v>
      </c>
      <c r="Q262" s="426">
        <v>11.37</v>
      </c>
      <c r="R262" s="259">
        <v>2500</v>
      </c>
      <c r="S262" s="231">
        <v>410.59</v>
      </c>
      <c r="T262" s="464">
        <v>6.62</v>
      </c>
      <c r="U262" s="464">
        <v>8.1300000000000008</v>
      </c>
      <c r="V262" s="464">
        <v>7.97</v>
      </c>
      <c r="W262" s="5"/>
      <c r="X262" s="650">
        <v>2500</v>
      </c>
      <c r="Y262" s="651">
        <f t="shared" si="222"/>
        <v>1.875666666666667</v>
      </c>
      <c r="Z262" s="620">
        <v>9.6440000000000001</v>
      </c>
      <c r="AA262" s="620">
        <v>4.5170000000000003</v>
      </c>
      <c r="AB262" s="620">
        <f t="shared" si="223"/>
        <v>3.2513333333333332</v>
      </c>
      <c r="AC262" s="620">
        <f t="shared" si="224"/>
        <v>35.324666666666673</v>
      </c>
      <c r="AD262" s="653">
        <f t="shared" si="225"/>
        <v>1003.5216761166666</v>
      </c>
      <c r="AE262" s="650">
        <v>2500</v>
      </c>
      <c r="AF262" s="620">
        <f t="shared" si="226"/>
        <v>0.64100000000000001</v>
      </c>
      <c r="AG262" s="620">
        <v>9.6440000000000001</v>
      </c>
      <c r="AH262" s="620">
        <v>4.5170000000000003</v>
      </c>
      <c r="AI262" s="620">
        <f t="shared" si="227"/>
        <v>4.4859999999999998</v>
      </c>
      <c r="AJ262" s="620">
        <f t="shared" si="228"/>
        <v>34.090000000000003</v>
      </c>
      <c r="AK262" s="653">
        <f t="shared" si="229"/>
        <v>1336.2061282499999</v>
      </c>
      <c r="AL262" s="650">
        <v>2500</v>
      </c>
      <c r="AM262" s="620">
        <f t="shared" si="230"/>
        <v>1.2799999999999998</v>
      </c>
      <c r="AN262" s="620">
        <v>9.6440000000000001</v>
      </c>
      <c r="AO262" s="620">
        <v>4.5170000000000003</v>
      </c>
      <c r="AP262" s="620">
        <f t="shared" si="231"/>
        <v>3.8469999999999995</v>
      </c>
      <c r="AQ262" s="620">
        <f t="shared" si="232"/>
        <v>34.729000000000006</v>
      </c>
      <c r="AR262" s="698">
        <f t="shared" si="233"/>
        <v>1167.3515204625</v>
      </c>
      <c r="AS262" s="650">
        <v>2500</v>
      </c>
      <c r="AT262" s="620">
        <f t="shared" si="234"/>
        <v>0.7573333333333333</v>
      </c>
      <c r="AU262" s="620">
        <v>9.6440000000000001</v>
      </c>
      <c r="AV262" s="620">
        <v>4.5170000000000003</v>
      </c>
      <c r="AW262" s="620">
        <f t="shared" si="235"/>
        <v>4.3696666666666664</v>
      </c>
      <c r="AX262" s="620">
        <f t="shared" si="236"/>
        <v>34.20633333333334</v>
      </c>
      <c r="AY262" s="698">
        <f t="shared" si="237"/>
        <v>1305.9965239291669</v>
      </c>
      <c r="AZ262" s="75"/>
      <c r="BA262" s="650">
        <v>2500</v>
      </c>
      <c r="BB262" s="620">
        <v>103.50685607036536</v>
      </c>
      <c r="BC262" s="720">
        <f>(BB269-BB270)/BB251</f>
        <v>0.51127048013152165</v>
      </c>
      <c r="BD262" s="714">
        <f>D262-BB267</f>
        <v>24.629999999999995</v>
      </c>
      <c r="BE262" s="693">
        <f>BB269-BB270</f>
        <v>52.92</v>
      </c>
      <c r="BF262" s="693">
        <f t="shared" si="238"/>
        <v>46.541950113378675</v>
      </c>
      <c r="BG262" s="668">
        <f t="shared" si="239"/>
        <v>23.795525180724443</v>
      </c>
      <c r="BH262" s="650">
        <v>2500</v>
      </c>
      <c r="BI262" s="620">
        <v>103.50685607036536</v>
      </c>
      <c r="BJ262" s="720">
        <f>(BI269-BI270)/BI251</f>
        <v>0.95703805294460553</v>
      </c>
      <c r="BK262" s="714">
        <f>I262-BI267</f>
        <v>30.100000000000023</v>
      </c>
      <c r="BL262" s="693">
        <f>BI269-BI270</f>
        <v>99.059999999999988</v>
      </c>
      <c r="BM262" s="693">
        <f t="shared" si="240"/>
        <v>30.385624873813878</v>
      </c>
      <c r="BN262" s="668">
        <f t="shared" si="241"/>
        <v>29.08019926674001</v>
      </c>
      <c r="BO262" s="650">
        <v>2500</v>
      </c>
      <c r="BP262" s="681">
        <v>103.50685607036536</v>
      </c>
      <c r="BQ262" s="720">
        <f>(BP269-BP270)/BP251</f>
        <v>0.84361561460854995</v>
      </c>
      <c r="BR262" s="714">
        <f t="shared" si="242"/>
        <v>23.120000000000005</v>
      </c>
      <c r="BS262" s="693">
        <f>BP269-BP270</f>
        <v>87.32</v>
      </c>
      <c r="BT262" s="693">
        <f t="shared" si="243"/>
        <v>26.477324782409532</v>
      </c>
      <c r="BU262" s="668">
        <f t="shared" si="244"/>
        <v>22.336684619502609</v>
      </c>
      <c r="BV262" s="650">
        <v>2500</v>
      </c>
      <c r="BW262" s="620">
        <v>103.50685607036536</v>
      </c>
      <c r="BX262" s="720">
        <f>(BW269-BW270)/BW251</f>
        <v>0.90650999906917373</v>
      </c>
      <c r="BY262" s="714">
        <f>S262-BW267</f>
        <v>28.810000000000002</v>
      </c>
      <c r="BZ262" s="693">
        <f>BW269-BW270</f>
        <v>93.83</v>
      </c>
      <c r="CA262" s="693">
        <f t="shared" si="245"/>
        <v>30.704465522753921</v>
      </c>
      <c r="CB262" s="668">
        <f t="shared" si="246"/>
        <v>27.833905012451133</v>
      </c>
      <c r="CC262" s="560"/>
    </row>
    <row r="263" spans="1:81" ht="15.75">
      <c r="A263" s="5"/>
      <c r="B263" s="59" t="s">
        <v>116</v>
      </c>
      <c r="C263" s="154">
        <v>5000</v>
      </c>
      <c r="D263" s="315">
        <v>361.5</v>
      </c>
      <c r="E263" s="185">
        <v>23.94</v>
      </c>
      <c r="F263" s="185">
        <v>21.75</v>
      </c>
      <c r="G263" s="303">
        <v>24.32</v>
      </c>
      <c r="H263" s="259">
        <v>5000</v>
      </c>
      <c r="I263" s="315">
        <v>412.38</v>
      </c>
      <c r="J263" s="426">
        <v>11.15</v>
      </c>
      <c r="K263" s="464">
        <v>11.61</v>
      </c>
      <c r="L263" s="465">
        <v>11.45</v>
      </c>
      <c r="M263" s="259">
        <v>5000</v>
      </c>
      <c r="N263" s="231">
        <v>394.39</v>
      </c>
      <c r="O263" s="426">
        <v>20.81</v>
      </c>
      <c r="P263" s="426">
        <v>13.86</v>
      </c>
      <c r="Q263" s="426">
        <v>16.43</v>
      </c>
      <c r="R263" s="259">
        <v>5000</v>
      </c>
      <c r="S263" s="231">
        <v>406.03</v>
      </c>
      <c r="T263" s="464">
        <v>13.56</v>
      </c>
      <c r="U263" s="464">
        <v>12.92</v>
      </c>
      <c r="V263" s="464">
        <v>11.56</v>
      </c>
      <c r="W263" s="5"/>
      <c r="X263" s="650">
        <v>5000</v>
      </c>
      <c r="Y263" s="651">
        <f t="shared" si="222"/>
        <v>2.3336666666666663</v>
      </c>
      <c r="Z263" s="620">
        <v>9.6440000000000001</v>
      </c>
      <c r="AA263" s="620">
        <v>4.5170000000000003</v>
      </c>
      <c r="AB263" s="620">
        <f t="shared" si="223"/>
        <v>2.793333333333333</v>
      </c>
      <c r="AC263" s="620">
        <f t="shared" si="224"/>
        <v>35.782666666666671</v>
      </c>
      <c r="AD263" s="653">
        <f t="shared" si="225"/>
        <v>3493.3543986666664</v>
      </c>
      <c r="AE263" s="650">
        <v>5000</v>
      </c>
      <c r="AF263" s="620">
        <f t="shared" si="226"/>
        <v>1.140333333333333</v>
      </c>
      <c r="AG263" s="620">
        <v>9.6440000000000001</v>
      </c>
      <c r="AH263" s="620">
        <v>4.5170000000000003</v>
      </c>
      <c r="AI263" s="620">
        <f t="shared" si="227"/>
        <v>3.9866666666666664</v>
      </c>
      <c r="AJ263" s="620">
        <f t="shared" si="228"/>
        <v>34.589333333333336</v>
      </c>
      <c r="AK263" s="653">
        <f t="shared" si="229"/>
        <v>4819.4701706666665</v>
      </c>
      <c r="AL263" s="650">
        <v>5000</v>
      </c>
      <c r="AM263" s="620">
        <f t="shared" si="230"/>
        <v>1.7033333333333336</v>
      </c>
      <c r="AN263" s="620">
        <v>9.6440000000000001</v>
      </c>
      <c r="AO263" s="620">
        <v>4.5170000000000003</v>
      </c>
      <c r="AP263" s="620">
        <f t="shared" si="231"/>
        <v>3.4236666666666657</v>
      </c>
      <c r="AQ263" s="620">
        <f t="shared" si="232"/>
        <v>35.152333333333338</v>
      </c>
      <c r="AR263" s="698">
        <f t="shared" si="233"/>
        <v>4206.228022516666</v>
      </c>
      <c r="AS263" s="650">
        <v>5000</v>
      </c>
      <c r="AT263" s="620">
        <f t="shared" si="234"/>
        <v>1.268</v>
      </c>
      <c r="AU263" s="620">
        <v>9.6440000000000001</v>
      </c>
      <c r="AV263" s="620">
        <v>4.5170000000000003</v>
      </c>
      <c r="AW263" s="620">
        <f t="shared" si="235"/>
        <v>3.859</v>
      </c>
      <c r="AX263" s="620">
        <f t="shared" si="236"/>
        <v>34.717000000000006</v>
      </c>
      <c r="AY263" s="698">
        <f t="shared" si="237"/>
        <v>4682.3529598499999</v>
      </c>
      <c r="AZ263" s="75"/>
      <c r="BA263" s="650">
        <v>5000</v>
      </c>
      <c r="BB263" s="620">
        <v>103.50685607036536</v>
      </c>
      <c r="BC263" s="720">
        <f>(BB269-BB270)/BB251</f>
        <v>0.51127048013152165</v>
      </c>
      <c r="BD263" s="714">
        <f>D263-BB267</f>
        <v>20.819999999999993</v>
      </c>
      <c r="BE263" s="693">
        <f>BB269-BB270</f>
        <v>52.92</v>
      </c>
      <c r="BF263" s="693">
        <f t="shared" si="238"/>
        <v>39.3424036281179</v>
      </c>
      <c r="BG263" s="668">
        <f t="shared" si="239"/>
        <v>20.114609592475958</v>
      </c>
      <c r="BH263" s="650">
        <v>5000</v>
      </c>
      <c r="BI263" s="620">
        <v>103.50685607036536</v>
      </c>
      <c r="BJ263" s="720">
        <f>(BI269-BI270)/BI251</f>
        <v>0.95703805294460553</v>
      </c>
      <c r="BK263" s="714">
        <f>I263-BI267</f>
        <v>25.439999999999998</v>
      </c>
      <c r="BL263" s="693">
        <f>BI269-BI270</f>
        <v>99.059999999999988</v>
      </c>
      <c r="BM263" s="693">
        <f t="shared" si="240"/>
        <v>25.681405208964264</v>
      </c>
      <c r="BN263" s="668">
        <f t="shared" si="241"/>
        <v>24.578082038068612</v>
      </c>
      <c r="BO263" s="650">
        <v>5000</v>
      </c>
      <c r="BP263" s="681">
        <v>103.50685607036536</v>
      </c>
      <c r="BQ263" s="720">
        <f>(BP269-BP270)/BP251</f>
        <v>0.84361561460854995</v>
      </c>
      <c r="BR263" s="714">
        <f t="shared" si="242"/>
        <v>19.5</v>
      </c>
      <c r="BS263" s="693">
        <f>BP269-BP270</f>
        <v>87.32</v>
      </c>
      <c r="BT263" s="693">
        <f t="shared" si="243"/>
        <v>22.331653687585892</v>
      </c>
      <c r="BU263" s="668">
        <f t="shared" si="244"/>
        <v>18.839331750878063</v>
      </c>
      <c r="BV263" s="650">
        <v>5000</v>
      </c>
      <c r="BW263" s="620">
        <v>103.50685607036536</v>
      </c>
      <c r="BX263" s="720">
        <f>(BW269-BW270)/BW251</f>
        <v>0.90650999906917373</v>
      </c>
      <c r="BY263" s="714">
        <f>S263-BW267</f>
        <v>24.25</v>
      </c>
      <c r="BZ263" s="693">
        <f>BW269-BW270</f>
        <v>93.83</v>
      </c>
      <c r="CA263" s="693">
        <f t="shared" si="245"/>
        <v>25.84461259725035</v>
      </c>
      <c r="CB263" s="668">
        <f t="shared" si="246"/>
        <v>23.428399741476571</v>
      </c>
      <c r="CC263" s="560"/>
    </row>
    <row r="264" spans="1:81" ht="15.75">
      <c r="A264" s="5"/>
      <c r="B264" s="59" t="s">
        <v>116</v>
      </c>
      <c r="C264" s="154">
        <v>7000</v>
      </c>
      <c r="D264" s="315">
        <v>359.62</v>
      </c>
      <c r="E264" s="185">
        <v>26.48</v>
      </c>
      <c r="F264" s="185">
        <v>26.89</v>
      </c>
      <c r="G264" s="303">
        <v>23.54</v>
      </c>
      <c r="H264" s="259">
        <v>7000</v>
      </c>
      <c r="I264" s="302">
        <v>409.84</v>
      </c>
      <c r="J264" s="426">
        <v>13.43</v>
      </c>
      <c r="K264" s="464">
        <v>13.45</v>
      </c>
      <c r="L264" s="465">
        <v>14.01</v>
      </c>
      <c r="M264" s="259">
        <v>7000</v>
      </c>
      <c r="N264" s="231">
        <v>392.6</v>
      </c>
      <c r="O264" s="426">
        <v>18.45</v>
      </c>
      <c r="P264" s="426">
        <v>22.56</v>
      </c>
      <c r="Q264" s="426">
        <v>15.58</v>
      </c>
      <c r="R264" s="259">
        <v>7000</v>
      </c>
      <c r="S264" s="231">
        <v>403.79</v>
      </c>
      <c r="T264" s="464">
        <v>15.6</v>
      </c>
      <c r="U264" s="464">
        <v>14.73</v>
      </c>
      <c r="V264" s="464">
        <v>13.36</v>
      </c>
      <c r="W264" s="5"/>
      <c r="X264" s="650">
        <v>7000</v>
      </c>
      <c r="Y264" s="651">
        <f t="shared" si="222"/>
        <v>2.5636666666666668</v>
      </c>
      <c r="Z264" s="620">
        <v>9.6440000000000001</v>
      </c>
      <c r="AA264" s="620">
        <v>4.5170000000000003</v>
      </c>
      <c r="AB264" s="620">
        <f t="shared" si="223"/>
        <v>2.5633333333333326</v>
      </c>
      <c r="AC264" s="620">
        <f t="shared" si="224"/>
        <v>36.012666666666675</v>
      </c>
      <c r="AD264" s="653">
        <f t="shared" si="225"/>
        <v>6323.5887438266654</v>
      </c>
      <c r="AE264" s="650">
        <v>7000</v>
      </c>
      <c r="AF264" s="620">
        <f t="shared" si="226"/>
        <v>1.363</v>
      </c>
      <c r="AG264" s="620">
        <v>9.6440000000000001</v>
      </c>
      <c r="AH264" s="620">
        <v>4.5170000000000003</v>
      </c>
      <c r="AI264" s="620">
        <f t="shared" si="227"/>
        <v>3.7639999999999993</v>
      </c>
      <c r="AJ264" s="620">
        <f t="shared" si="228"/>
        <v>34.812000000000005</v>
      </c>
      <c r="AK264" s="653">
        <f t="shared" si="229"/>
        <v>8975.9792727359982</v>
      </c>
      <c r="AL264" s="650">
        <v>7000</v>
      </c>
      <c r="AM264" s="620">
        <f t="shared" si="230"/>
        <v>1.8863333333333334</v>
      </c>
      <c r="AN264" s="620">
        <v>9.6440000000000001</v>
      </c>
      <c r="AO264" s="620">
        <v>4.5170000000000003</v>
      </c>
      <c r="AP264" s="620">
        <f t="shared" si="231"/>
        <v>3.2406666666666659</v>
      </c>
      <c r="AQ264" s="620">
        <f t="shared" si="232"/>
        <v>35.335333333333338</v>
      </c>
      <c r="AR264" s="698">
        <f t="shared" si="233"/>
        <v>7844.1665469626651</v>
      </c>
      <c r="AS264" s="650">
        <v>7000</v>
      </c>
      <c r="AT264" s="620">
        <f t="shared" si="234"/>
        <v>1.4563333333333333</v>
      </c>
      <c r="AU264" s="620">
        <v>9.6440000000000001</v>
      </c>
      <c r="AV264" s="620">
        <v>4.5170000000000003</v>
      </c>
      <c r="AW264" s="620">
        <f t="shared" si="235"/>
        <v>3.6706666666666665</v>
      </c>
      <c r="AX264" s="620">
        <f t="shared" si="236"/>
        <v>34.905333333333338</v>
      </c>
      <c r="AY264" s="698">
        <f t="shared" si="237"/>
        <v>8776.8765352426672</v>
      </c>
      <c r="AZ264" s="75"/>
      <c r="BA264" s="650">
        <v>7000</v>
      </c>
      <c r="BB264" s="620">
        <v>103.50685607036536</v>
      </c>
      <c r="BC264" s="720">
        <f>(BB269-BB270)/BB251</f>
        <v>0.51127048013152165</v>
      </c>
      <c r="BD264" s="714">
        <f>D264-BB267</f>
        <v>18.939999999999998</v>
      </c>
      <c r="BE264" s="693">
        <f>BB269-BB270</f>
        <v>52.92</v>
      </c>
      <c r="BF264" s="693">
        <f t="shared" si="238"/>
        <v>35.789871504157212</v>
      </c>
      <c r="BG264" s="668">
        <f t="shared" si="239"/>
        <v>18.298304787775923</v>
      </c>
      <c r="BH264" s="650">
        <v>7000</v>
      </c>
      <c r="BI264" s="620">
        <v>103.50685607036536</v>
      </c>
      <c r="BJ264" s="720">
        <f>(BI269-BI270)/BI251</f>
        <v>0.95703805294460553</v>
      </c>
      <c r="BK264" s="714">
        <f>I264-BI267</f>
        <v>22.899999999999977</v>
      </c>
      <c r="BL264" s="693">
        <f>BI269-BI270</f>
        <v>99.059999999999988</v>
      </c>
      <c r="BM264" s="693">
        <f t="shared" si="240"/>
        <v>23.117302644861677</v>
      </c>
      <c r="BN264" s="668">
        <f t="shared" si="241"/>
        <v>22.124138312569599</v>
      </c>
      <c r="BO264" s="650">
        <v>7000</v>
      </c>
      <c r="BP264" s="681">
        <v>103.50685607036536</v>
      </c>
      <c r="BQ264" s="720">
        <f>(BP269-BP270)/BP251</f>
        <v>0.84361561460854995</v>
      </c>
      <c r="BR264" s="714">
        <f t="shared" si="242"/>
        <v>17.710000000000036</v>
      </c>
      <c r="BS264" s="693">
        <f>BP269-BP270</f>
        <v>87.32</v>
      </c>
      <c r="BT264" s="693">
        <f t="shared" si="243"/>
        <v>20.281722400366512</v>
      </c>
      <c r="BU264" s="668">
        <f t="shared" si="244"/>
        <v>17.109977708105191</v>
      </c>
      <c r="BV264" s="650">
        <v>7000</v>
      </c>
      <c r="BW264" s="620">
        <v>103.50685607036536</v>
      </c>
      <c r="BX264" s="720">
        <f>(BW269-BW270)/BW251</f>
        <v>0.90650999906917373</v>
      </c>
      <c r="BY264" s="714">
        <f>S264-BW267</f>
        <v>22.010000000000048</v>
      </c>
      <c r="BZ264" s="693">
        <f>BW269-BW270</f>
        <v>93.83</v>
      </c>
      <c r="CA264" s="693">
        <f t="shared" si="245"/>
        <v>23.457316423318819</v>
      </c>
      <c r="CB264" s="668">
        <f t="shared" si="246"/>
        <v>21.264291889068055</v>
      </c>
      <c r="CC264" s="560"/>
    </row>
    <row r="265" spans="1:81" ht="15.75">
      <c r="A265" s="5"/>
      <c r="B265" s="59" t="s">
        <v>116</v>
      </c>
      <c r="C265" s="154">
        <v>9000</v>
      </c>
      <c r="D265" s="315">
        <v>358.18</v>
      </c>
      <c r="E265" s="27">
        <v>27.8</v>
      </c>
      <c r="F265" s="27">
        <v>27.92</v>
      </c>
      <c r="G265" s="94">
        <v>25.17</v>
      </c>
      <c r="H265" s="259">
        <v>9000</v>
      </c>
      <c r="I265" s="315">
        <v>408.04</v>
      </c>
      <c r="J265" s="426">
        <v>15.86</v>
      </c>
      <c r="K265" s="464">
        <v>15.23</v>
      </c>
      <c r="L265" s="465">
        <v>15.81</v>
      </c>
      <c r="M265" s="259">
        <v>9000</v>
      </c>
      <c r="N265" s="231">
        <v>391.13</v>
      </c>
      <c r="O265" s="426">
        <v>20.6</v>
      </c>
      <c r="P265" s="426">
        <v>23.76</v>
      </c>
      <c r="Q265" s="426">
        <v>17.13</v>
      </c>
      <c r="R265" s="259">
        <v>9000</v>
      </c>
      <c r="S265" s="231">
        <v>401.88</v>
      </c>
      <c r="T265" s="464">
        <v>14.92</v>
      </c>
      <c r="U265" s="464">
        <v>17.34</v>
      </c>
      <c r="V265" s="464">
        <v>16.52</v>
      </c>
      <c r="W265" s="5"/>
      <c r="X265" s="650">
        <v>9000</v>
      </c>
      <c r="Y265" s="651">
        <f t="shared" si="222"/>
        <v>2.6963333333333335</v>
      </c>
      <c r="Z265" s="620">
        <v>9.6440000000000001</v>
      </c>
      <c r="AA265" s="620">
        <v>4.5170000000000003</v>
      </c>
      <c r="AB265" s="620">
        <f t="shared" si="223"/>
        <v>2.4306666666666663</v>
      </c>
      <c r="AC265" s="620">
        <f t="shared" si="224"/>
        <v>36.14533333333334</v>
      </c>
      <c r="AD265" s="653">
        <f t="shared" si="225"/>
        <v>9948.7800555840004</v>
      </c>
      <c r="AE265" s="650">
        <v>9000</v>
      </c>
      <c r="AF265" s="620">
        <f t="shared" si="226"/>
        <v>1.5633333333333332</v>
      </c>
      <c r="AG265" s="620">
        <v>9.6440000000000001</v>
      </c>
      <c r="AH265" s="620">
        <v>4.5170000000000003</v>
      </c>
      <c r="AI265" s="620">
        <f t="shared" si="227"/>
        <v>3.5636666666666663</v>
      </c>
      <c r="AJ265" s="620">
        <f t="shared" si="228"/>
        <v>35.012333333333338</v>
      </c>
      <c r="AK265" s="653">
        <f t="shared" si="229"/>
        <v>14128.964033993998</v>
      </c>
      <c r="AL265" s="650">
        <v>9000</v>
      </c>
      <c r="AM265" s="620">
        <f t="shared" si="230"/>
        <v>2.0496666666666665</v>
      </c>
      <c r="AN265" s="620">
        <v>9.6440000000000001</v>
      </c>
      <c r="AO265" s="620">
        <v>4.5170000000000003</v>
      </c>
      <c r="AP265" s="620">
        <f t="shared" si="231"/>
        <v>3.0773333333333337</v>
      </c>
      <c r="AQ265" s="620">
        <f t="shared" si="232"/>
        <v>35.498666666666672</v>
      </c>
      <c r="AR265" s="698">
        <f t="shared" si="233"/>
        <v>12370.258427904002</v>
      </c>
      <c r="AS265" s="650">
        <v>9000</v>
      </c>
      <c r="AT265" s="620">
        <f t="shared" si="234"/>
        <v>1.6260000000000001</v>
      </c>
      <c r="AU265" s="620">
        <v>9.6440000000000001</v>
      </c>
      <c r="AV265" s="620">
        <v>4.5170000000000003</v>
      </c>
      <c r="AW265" s="620">
        <f t="shared" si="235"/>
        <v>3.5009999999999994</v>
      </c>
      <c r="AX265" s="620">
        <f t="shared" si="236"/>
        <v>35.075000000000003</v>
      </c>
      <c r="AY265" s="698">
        <f t="shared" si="237"/>
        <v>13905.351797849997</v>
      </c>
      <c r="AZ265" s="75"/>
      <c r="BA265" s="650">
        <v>9000</v>
      </c>
      <c r="BB265" s="620">
        <v>103.50685607036536</v>
      </c>
      <c r="BC265" s="720">
        <f>(BB269-BB270)/BB251</f>
        <v>0.51127048013152165</v>
      </c>
      <c r="BD265" s="714">
        <f>D265-BB267</f>
        <v>17.5</v>
      </c>
      <c r="BE265" s="693">
        <f>BB269-BB270</f>
        <v>52.92</v>
      </c>
      <c r="BF265" s="693">
        <f t="shared" si="238"/>
        <v>33.06878306878307</v>
      </c>
      <c r="BG265" s="668">
        <f t="shared" si="239"/>
        <v>16.907092596941855</v>
      </c>
      <c r="BH265" s="650">
        <v>9000</v>
      </c>
      <c r="BI265" s="620">
        <v>103.50685607036536</v>
      </c>
      <c r="BJ265" s="720">
        <f>(BI269-BI270)/BI251</f>
        <v>0.95703805294460553</v>
      </c>
      <c r="BK265" s="714">
        <f>I265-BI267</f>
        <v>21.100000000000023</v>
      </c>
      <c r="BL265" s="693">
        <f>BI269-BI270</f>
        <v>99.059999999999988</v>
      </c>
      <c r="BM265" s="693">
        <f t="shared" si="240"/>
        <v>21.300222087623688</v>
      </c>
      <c r="BN265" s="668">
        <f t="shared" si="241"/>
        <v>20.385123074027057</v>
      </c>
      <c r="BO265" s="650">
        <v>9000</v>
      </c>
      <c r="BP265" s="681">
        <v>103.50685607036536</v>
      </c>
      <c r="BQ265" s="720">
        <f>(BP269-BP270)/BP251</f>
        <v>0.84361561460854995</v>
      </c>
      <c r="BR265" s="714">
        <f t="shared" si="242"/>
        <v>16.240000000000009</v>
      </c>
      <c r="BS265" s="693">
        <f>BP269-BP270</f>
        <v>87.32</v>
      </c>
      <c r="BT265" s="693">
        <f t="shared" si="243"/>
        <v>18.598259276225392</v>
      </c>
      <c r="BU265" s="668">
        <f t="shared" si="244"/>
        <v>15.689781929962049</v>
      </c>
      <c r="BV265" s="650">
        <v>9000</v>
      </c>
      <c r="BW265" s="620">
        <v>103.50685607036536</v>
      </c>
      <c r="BX265" s="720">
        <f>(BW269-BW270)/BW251</f>
        <v>0.90650999906917373</v>
      </c>
      <c r="BY265" s="714">
        <f>S265-BW267</f>
        <v>20.100000000000023</v>
      </c>
      <c r="BZ265" s="693">
        <f>BW269-BW270</f>
        <v>93.83</v>
      </c>
      <c r="CA265" s="693">
        <f t="shared" si="245"/>
        <v>21.421720132153922</v>
      </c>
      <c r="CB265" s="668">
        <f t="shared" si="246"/>
        <v>19.419003497058952</v>
      </c>
      <c r="CC265" s="560"/>
    </row>
    <row r="266" spans="1:81" ht="15.75">
      <c r="A266" s="5"/>
      <c r="B266" s="60" t="s">
        <v>116</v>
      </c>
      <c r="C266" s="263">
        <v>10000</v>
      </c>
      <c r="D266" s="65">
        <v>357.29</v>
      </c>
      <c r="E266" s="304">
        <v>28.84</v>
      </c>
      <c r="F266" s="304">
        <v>28.8</v>
      </c>
      <c r="G266" s="305">
        <v>25.93</v>
      </c>
      <c r="H266" s="265">
        <v>10000</v>
      </c>
      <c r="I266" s="65">
        <v>407.39</v>
      </c>
      <c r="J266" s="466">
        <v>16.52</v>
      </c>
      <c r="K266" s="467">
        <v>16.2</v>
      </c>
      <c r="L266" s="468">
        <v>15.94</v>
      </c>
      <c r="M266" s="265">
        <v>10000</v>
      </c>
      <c r="N266" s="231">
        <v>390.23</v>
      </c>
      <c r="O266" s="315">
        <v>18.309999999999999</v>
      </c>
      <c r="P266" s="315">
        <v>20.71</v>
      </c>
      <c r="Q266" s="315">
        <v>24.31</v>
      </c>
      <c r="R266" s="265">
        <v>10000</v>
      </c>
      <c r="S266" s="231">
        <v>400.64</v>
      </c>
      <c r="T266" s="231">
        <v>18.37</v>
      </c>
      <c r="U266" s="231">
        <v>15.9</v>
      </c>
      <c r="V266" s="231">
        <v>17.73</v>
      </c>
      <c r="W266" s="5"/>
      <c r="X266" s="660">
        <v>10000</v>
      </c>
      <c r="Y266" s="608">
        <f t="shared" si="222"/>
        <v>2.7856666666666667</v>
      </c>
      <c r="Z266" s="609">
        <v>9.6440000000000001</v>
      </c>
      <c r="AA266" s="609">
        <v>4.5170000000000003</v>
      </c>
      <c r="AB266" s="609">
        <f t="shared" si="223"/>
        <v>2.341333333333333</v>
      </c>
      <c r="AC266" s="609">
        <f t="shared" si="224"/>
        <v>36.234666666666669</v>
      </c>
      <c r="AD266" s="702">
        <f t="shared" si="225"/>
        <v>11860.273117866665</v>
      </c>
      <c r="AE266" s="660">
        <v>10000</v>
      </c>
      <c r="AF266" s="609">
        <f t="shared" si="226"/>
        <v>1.6219999999999999</v>
      </c>
      <c r="AG266" s="609">
        <v>9.6440000000000001</v>
      </c>
      <c r="AH266" s="609">
        <v>4.5170000000000003</v>
      </c>
      <c r="AI266" s="609">
        <f t="shared" si="227"/>
        <v>3.5049999999999999</v>
      </c>
      <c r="AJ266" s="609">
        <f t="shared" si="228"/>
        <v>35.071000000000005</v>
      </c>
      <c r="AK266" s="702">
        <f t="shared" si="229"/>
        <v>17184.754928999999</v>
      </c>
      <c r="AL266" s="660">
        <v>10000</v>
      </c>
      <c r="AM266" s="609">
        <f t="shared" si="230"/>
        <v>2.1109999999999998</v>
      </c>
      <c r="AN266" s="609">
        <v>9.6440000000000001</v>
      </c>
      <c r="AO266" s="609">
        <v>4.5170000000000003</v>
      </c>
      <c r="AP266" s="609">
        <f t="shared" si="231"/>
        <v>3.016</v>
      </c>
      <c r="AQ266" s="609">
        <f t="shared" si="232"/>
        <v>35.56</v>
      </c>
      <c r="AR266" s="699">
        <f t="shared" si="233"/>
        <v>14993.404607999999</v>
      </c>
      <c r="AS266" s="660">
        <v>10000</v>
      </c>
      <c r="AT266" s="609">
        <f t="shared" si="234"/>
        <v>1.7333333333333332</v>
      </c>
      <c r="AU266" s="609">
        <v>9.6440000000000001</v>
      </c>
      <c r="AV266" s="609">
        <v>4.5170000000000003</v>
      </c>
      <c r="AW266" s="609">
        <f t="shared" si="235"/>
        <v>3.3936666666666664</v>
      </c>
      <c r="AX266" s="609">
        <f t="shared" si="236"/>
        <v>35.182333333333339</v>
      </c>
      <c r="AY266" s="699">
        <f t="shared" si="237"/>
        <v>16691.716242066665</v>
      </c>
      <c r="AZ266" s="75"/>
      <c r="BA266" s="660">
        <v>10000</v>
      </c>
      <c r="BB266" s="609">
        <v>103.50685607036536</v>
      </c>
      <c r="BC266" s="720">
        <f>(BB269-BB270)/BB251</f>
        <v>0.51127048013152165</v>
      </c>
      <c r="BD266" s="714">
        <f>D266-BB267</f>
        <v>16.610000000000014</v>
      </c>
      <c r="BE266" s="682">
        <f>BB269-BB270</f>
        <v>52.92</v>
      </c>
      <c r="BF266" s="682">
        <f t="shared" si="238"/>
        <v>31.386999244142128</v>
      </c>
      <c r="BG266" s="683">
        <f t="shared" si="239"/>
        <v>16.047246173440254</v>
      </c>
      <c r="BH266" s="660">
        <v>10000</v>
      </c>
      <c r="BI266" s="609">
        <v>103.50685607036536</v>
      </c>
      <c r="BJ266" s="720">
        <f>(BI269-BI270)/BI251</f>
        <v>0.95703805294460553</v>
      </c>
      <c r="BK266" s="714">
        <f>I266-BI267</f>
        <v>20.449999999999989</v>
      </c>
      <c r="BL266" s="682">
        <f>BI269-BI270</f>
        <v>99.059999999999988</v>
      </c>
      <c r="BM266" s="682">
        <f t="shared" si="240"/>
        <v>20.644054108621031</v>
      </c>
      <c r="BN266" s="683">
        <f t="shared" si="241"/>
        <v>19.757145348997756</v>
      </c>
      <c r="BO266" s="660">
        <v>10000</v>
      </c>
      <c r="BP266" s="684">
        <v>103.50685607036536</v>
      </c>
      <c r="BQ266" s="720">
        <f>(BP269-BP270)/BP251</f>
        <v>0.84361561460854995</v>
      </c>
      <c r="BR266" s="714">
        <f t="shared" si="242"/>
        <v>15.340000000000032</v>
      </c>
      <c r="BS266" s="682">
        <f>BP269-BP270</f>
        <v>87.32</v>
      </c>
      <c r="BT266" s="682">
        <f t="shared" si="243"/>
        <v>17.567567567567604</v>
      </c>
      <c r="BU266" s="683">
        <f t="shared" si="244"/>
        <v>14.820274310690772</v>
      </c>
      <c r="BV266" s="660">
        <v>10000</v>
      </c>
      <c r="BW266" s="609">
        <v>103.50685607036536</v>
      </c>
      <c r="BX266" s="720">
        <f>(BW269-BW270)/BW251</f>
        <v>0.90650999906917373</v>
      </c>
      <c r="BY266" s="714">
        <f>S266-BW267</f>
        <v>18.860000000000014</v>
      </c>
      <c r="BZ266" s="682">
        <f>BW269-BW270</f>
        <v>93.83</v>
      </c>
      <c r="CA266" s="682">
        <f t="shared" si="245"/>
        <v>20.1001811787275</v>
      </c>
      <c r="CB266" s="683">
        <f t="shared" si="246"/>
        <v>18.22101522161849</v>
      </c>
      <c r="CC266" s="560"/>
    </row>
    <row r="267" spans="1:81" ht="45">
      <c r="D267" s="315"/>
      <c r="I267" s="397"/>
      <c r="N267" s="204"/>
      <c r="S267" s="204"/>
      <c r="X267" s="560"/>
      <c r="Y267" s="560"/>
      <c r="Z267" s="560"/>
      <c r="AA267" s="560"/>
      <c r="AB267" s="560"/>
      <c r="AC267" s="560"/>
      <c r="AD267" s="560"/>
      <c r="AE267" s="559"/>
      <c r="AF267" s="559"/>
      <c r="AG267" s="559"/>
      <c r="AH267" s="559"/>
      <c r="AI267" s="559"/>
      <c r="AJ267" s="559"/>
      <c r="AK267" s="559"/>
      <c r="AL267" s="560"/>
      <c r="AM267" s="560"/>
      <c r="AN267" s="559"/>
      <c r="AO267" s="559"/>
      <c r="AP267" s="560"/>
      <c r="AQ267" s="560"/>
      <c r="AR267" s="560"/>
      <c r="AS267" s="560"/>
      <c r="AT267" s="560"/>
      <c r="AU267" s="560"/>
      <c r="AV267" s="560"/>
      <c r="AW267" s="560"/>
      <c r="AX267" s="560"/>
      <c r="AY267" s="560"/>
      <c r="AZ267" s="791" t="s">
        <v>144</v>
      </c>
      <c r="BA267" s="709" t="s">
        <v>1047</v>
      </c>
      <c r="BB267" s="565">
        <f>BB269+BB268</f>
        <v>340.68</v>
      </c>
      <c r="BC267" s="559"/>
      <c r="BD267" s="559"/>
      <c r="BE267" s="559"/>
      <c r="BF267" s="559"/>
      <c r="BG267" s="559"/>
      <c r="BH267" s="709" t="s">
        <v>1047</v>
      </c>
      <c r="BI267" s="565">
        <f>BI268+BI269</f>
        <v>386.94</v>
      </c>
      <c r="BJ267" s="559"/>
      <c r="BK267" s="569"/>
      <c r="BL267" s="569"/>
      <c r="BM267" s="569"/>
      <c r="BN267" s="569"/>
      <c r="BO267" s="709" t="s">
        <v>1047</v>
      </c>
      <c r="BP267" s="697">
        <f>BP268+BP269</f>
        <v>374.89</v>
      </c>
      <c r="BQ267" s="560"/>
      <c r="BR267" s="559"/>
      <c r="BS267" s="559"/>
      <c r="BT267" s="559"/>
      <c r="BU267" s="559"/>
      <c r="BV267" s="709" t="s">
        <v>1047</v>
      </c>
      <c r="BW267" s="697">
        <f>BW268+BW269</f>
        <v>381.78</v>
      </c>
      <c r="BX267" s="560"/>
      <c r="BY267" s="560"/>
      <c r="BZ267" s="560"/>
      <c r="CA267" s="560"/>
      <c r="CB267" s="560"/>
      <c r="CC267" s="560"/>
    </row>
    <row r="268" spans="1:81">
      <c r="X268" s="560"/>
      <c r="Y268" s="560"/>
      <c r="Z268" s="560"/>
      <c r="AA268" s="560"/>
      <c r="AB268" s="560"/>
      <c r="AC268" s="560"/>
      <c r="AD268" s="560"/>
      <c r="AE268" s="559"/>
      <c r="AF268" s="559"/>
      <c r="AG268" s="559"/>
      <c r="AH268" s="559"/>
      <c r="AI268" s="559"/>
      <c r="AJ268" s="559"/>
      <c r="AK268" s="559"/>
      <c r="AL268" s="560"/>
      <c r="AM268" s="560"/>
      <c r="AN268" s="559"/>
      <c r="AO268" s="559"/>
      <c r="AP268" s="560"/>
      <c r="AQ268" s="560"/>
      <c r="AR268" s="560"/>
      <c r="AS268" s="560"/>
      <c r="AT268" s="560"/>
      <c r="AU268" s="560"/>
      <c r="AV268" s="560"/>
      <c r="AW268" s="560"/>
      <c r="AX268" s="560"/>
      <c r="AY268" s="560"/>
      <c r="AZ268" s="791"/>
      <c r="BA268" s="655" t="s">
        <v>1048</v>
      </c>
      <c r="BB268" s="569">
        <v>215</v>
      </c>
      <c r="BC268" s="559"/>
      <c r="BD268" s="559"/>
      <c r="BE268" s="559"/>
      <c r="BF268" s="559"/>
      <c r="BG268" s="559"/>
      <c r="BH268" s="655" t="s">
        <v>1048</v>
      </c>
      <c r="BI268" s="569">
        <v>214.9</v>
      </c>
      <c r="BJ268" s="559"/>
      <c r="BK268" s="569"/>
      <c r="BL268" s="569"/>
      <c r="BM268" s="569"/>
      <c r="BN268" s="569"/>
      <c r="BO268" s="655" t="s">
        <v>1048</v>
      </c>
      <c r="BP268" s="559">
        <v>214.89</v>
      </c>
      <c r="BQ268" s="560"/>
      <c r="BR268" s="559"/>
      <c r="BS268" s="559"/>
      <c r="BT268" s="620"/>
      <c r="BU268" s="620"/>
      <c r="BV268" s="655" t="s">
        <v>1048</v>
      </c>
      <c r="BW268" s="559">
        <v>214.59</v>
      </c>
      <c r="BX268" s="560"/>
      <c r="BY268" s="560"/>
      <c r="BZ268" s="560"/>
      <c r="CA268" s="560"/>
      <c r="CB268" s="560"/>
      <c r="CC268" s="560"/>
    </row>
    <row r="269" spans="1:81">
      <c r="X269" s="560"/>
      <c r="Y269" s="560"/>
      <c r="Z269" s="560"/>
      <c r="AA269" s="560"/>
      <c r="AB269" s="560"/>
      <c r="AC269" s="560"/>
      <c r="AD269" s="560"/>
      <c r="AE269" s="559"/>
      <c r="AF269" s="559"/>
      <c r="AG269" s="559"/>
      <c r="AH269" s="559"/>
      <c r="AI269" s="559"/>
      <c r="AJ269" s="559"/>
      <c r="AK269" s="559"/>
      <c r="AL269" s="560"/>
      <c r="AM269" s="560"/>
      <c r="AN269" s="559"/>
      <c r="AO269" s="559"/>
      <c r="AP269" s="560"/>
      <c r="AQ269" s="560"/>
      <c r="AR269" s="560"/>
      <c r="AS269" s="560"/>
      <c r="AT269" s="560"/>
      <c r="AU269" s="560"/>
      <c r="AV269" s="560"/>
      <c r="AW269" s="560"/>
      <c r="AX269" s="560"/>
      <c r="AY269" s="560"/>
      <c r="AZ269" s="791"/>
      <c r="BA269" s="655" t="s">
        <v>1049</v>
      </c>
      <c r="BB269" s="565">
        <v>125.68</v>
      </c>
      <c r="BC269" s="559"/>
      <c r="BD269" s="559"/>
      <c r="BE269" s="559"/>
      <c r="BF269" s="559"/>
      <c r="BG269" s="559"/>
      <c r="BH269" s="655" t="s">
        <v>1049</v>
      </c>
      <c r="BI269" s="565">
        <v>172.04</v>
      </c>
      <c r="BJ269" s="559"/>
      <c r="BK269" s="569"/>
      <c r="BL269" s="569"/>
      <c r="BM269" s="569"/>
      <c r="BN269" s="569"/>
      <c r="BO269" s="655" t="s">
        <v>1049</v>
      </c>
      <c r="BP269" s="697">
        <v>160</v>
      </c>
      <c r="BQ269" s="560"/>
      <c r="BR269" s="559"/>
      <c r="BS269" s="559"/>
      <c r="BT269" s="620"/>
      <c r="BU269" s="620"/>
      <c r="BV269" s="655" t="s">
        <v>1049</v>
      </c>
      <c r="BW269" s="697">
        <v>167.19</v>
      </c>
      <c r="BX269" s="560"/>
      <c r="BY269" s="560"/>
      <c r="BZ269" s="560"/>
      <c r="CA269" s="560"/>
      <c r="CB269" s="560"/>
      <c r="CC269" s="560"/>
    </row>
    <row r="270" spans="1:81">
      <c r="X270" s="560"/>
      <c r="Y270" s="560"/>
      <c r="Z270" s="560"/>
      <c r="AA270" s="560"/>
      <c r="AB270" s="560"/>
      <c r="AC270" s="560"/>
      <c r="AD270" s="560"/>
      <c r="AE270" s="559"/>
      <c r="AF270" s="559"/>
      <c r="AG270" s="559"/>
      <c r="AH270" s="559"/>
      <c r="AI270" s="559"/>
      <c r="AJ270" s="559"/>
      <c r="AK270" s="559"/>
      <c r="AL270" s="560"/>
      <c r="AM270" s="560"/>
      <c r="AN270" s="559"/>
      <c r="AO270" s="559"/>
      <c r="AP270" s="560"/>
      <c r="AQ270" s="560"/>
      <c r="AR270" s="560"/>
      <c r="AS270" s="560"/>
      <c r="AT270" s="560"/>
      <c r="AU270" s="560"/>
      <c r="AV270" s="560"/>
      <c r="AW270" s="560"/>
      <c r="AX270" s="560"/>
      <c r="AY270" s="560"/>
      <c r="AZ270" s="791"/>
      <c r="BA270" s="655" t="s">
        <v>1050</v>
      </c>
      <c r="BB270" s="569">
        <v>72.760000000000005</v>
      </c>
      <c r="BC270" s="559"/>
      <c r="BD270" s="560"/>
      <c r="BE270" s="560"/>
      <c r="BF270" s="560"/>
      <c r="BG270" s="560"/>
      <c r="BH270" s="655" t="s">
        <v>1050</v>
      </c>
      <c r="BI270" s="569">
        <v>72.98</v>
      </c>
      <c r="BJ270" s="559"/>
      <c r="BK270" s="560"/>
      <c r="BL270" s="560"/>
      <c r="BM270" s="560"/>
      <c r="BN270" s="560"/>
      <c r="BO270" s="655" t="s">
        <v>1050</v>
      </c>
      <c r="BP270" s="559">
        <v>72.680000000000007</v>
      </c>
      <c r="BQ270" s="560"/>
      <c r="BR270" s="560"/>
      <c r="BS270" s="560"/>
      <c r="BT270" s="560"/>
      <c r="BU270" s="560"/>
      <c r="BV270" s="655" t="s">
        <v>1050</v>
      </c>
      <c r="BW270" s="559">
        <v>73.36</v>
      </c>
      <c r="BX270" s="560"/>
      <c r="BY270" s="560"/>
      <c r="BZ270" s="560"/>
      <c r="CA270" s="560"/>
      <c r="CB270" s="560"/>
      <c r="CC270" s="560"/>
    </row>
    <row r="271" spans="1:81">
      <c r="C271" s="73" t="s">
        <v>856</v>
      </c>
      <c r="X271" s="560"/>
      <c r="Y271" s="560"/>
      <c r="Z271" s="560"/>
      <c r="AA271" s="560"/>
      <c r="AB271" s="560"/>
      <c r="AC271" s="560"/>
      <c r="AD271" s="560"/>
      <c r="AE271" s="559"/>
      <c r="AF271" s="559"/>
      <c r="AG271" s="559"/>
      <c r="AH271" s="559"/>
      <c r="AI271" s="559"/>
      <c r="AJ271" s="559"/>
      <c r="AK271" s="559"/>
      <c r="AL271" s="560"/>
      <c r="AM271" s="560"/>
      <c r="AN271" s="559"/>
      <c r="AO271" s="559"/>
      <c r="AP271" s="560"/>
      <c r="AQ271" s="560"/>
      <c r="AR271" s="560"/>
      <c r="AS271" s="560"/>
      <c r="AT271" s="560"/>
      <c r="AU271" s="560"/>
      <c r="AV271" s="560"/>
      <c r="AW271" s="560"/>
      <c r="AX271" s="560"/>
      <c r="AY271" s="560"/>
      <c r="BA271" s="560"/>
      <c r="BB271" s="560"/>
      <c r="BC271" s="559"/>
      <c r="BD271" s="560"/>
      <c r="BE271" s="560"/>
      <c r="BF271" s="560"/>
      <c r="BG271" s="560"/>
      <c r="BH271" s="560"/>
      <c r="BI271" s="560"/>
      <c r="BJ271" s="559"/>
      <c r="BK271" s="560"/>
      <c r="BL271" s="560"/>
      <c r="BM271" s="560"/>
      <c r="BN271" s="560"/>
      <c r="BO271" s="560"/>
      <c r="BP271" s="560"/>
      <c r="BQ271" s="560"/>
      <c r="BR271" s="560"/>
      <c r="BS271" s="560"/>
      <c r="BT271" s="560"/>
      <c r="BU271" s="560"/>
      <c r="BV271" s="560"/>
      <c r="BW271" s="560"/>
      <c r="BX271" s="560"/>
      <c r="BY271" s="560"/>
      <c r="BZ271" s="560"/>
      <c r="CA271" s="560"/>
      <c r="CB271" s="560"/>
      <c r="CC271" s="560"/>
    </row>
    <row r="272" spans="1:81">
      <c r="C272" s="306" t="s">
        <v>860</v>
      </c>
      <c r="D272" s="306" t="s">
        <v>861</v>
      </c>
      <c r="E272" s="306" t="s">
        <v>862</v>
      </c>
      <c r="F272" s="306" t="s">
        <v>863</v>
      </c>
      <c r="X272" s="560"/>
      <c r="Y272" s="560"/>
      <c r="Z272" s="560"/>
      <c r="AA272" s="560"/>
      <c r="AB272" s="560"/>
      <c r="AC272" s="560"/>
      <c r="AD272" s="560"/>
      <c r="AE272" s="559"/>
      <c r="AF272" s="559"/>
      <c r="AG272" s="559"/>
      <c r="AH272" s="559"/>
      <c r="AI272" s="559"/>
      <c r="AJ272" s="559"/>
      <c r="AK272" s="559"/>
      <c r="AL272" s="560"/>
      <c r="AM272" s="560"/>
      <c r="AN272" s="559"/>
      <c r="AO272" s="559"/>
      <c r="AP272" s="560"/>
      <c r="AQ272" s="560"/>
      <c r="AR272" s="560"/>
      <c r="AS272" s="560"/>
      <c r="AT272" s="560"/>
      <c r="AU272" s="560"/>
      <c r="AV272" s="560"/>
      <c r="AW272" s="560"/>
      <c r="AX272" s="560"/>
      <c r="AY272" s="560"/>
      <c r="BA272" s="560"/>
      <c r="BB272" s="560"/>
      <c r="BC272" s="559"/>
      <c r="BD272" s="560"/>
      <c r="BE272" s="560"/>
      <c r="BF272" s="560"/>
      <c r="BG272" s="560"/>
      <c r="BH272" s="560"/>
      <c r="BI272" s="560"/>
      <c r="BJ272" s="559"/>
      <c r="BK272" s="560"/>
      <c r="BL272" s="560"/>
      <c r="BM272" s="560"/>
      <c r="BN272" s="560"/>
      <c r="BO272" s="560"/>
      <c r="BP272" s="560"/>
      <c r="BQ272" s="560"/>
      <c r="BR272" s="560"/>
      <c r="BS272" s="560"/>
      <c r="BT272" s="560"/>
      <c r="BU272" s="560"/>
      <c r="BV272" s="560"/>
      <c r="BW272" s="560"/>
      <c r="BX272" s="560"/>
      <c r="BY272" s="560"/>
      <c r="BZ272" s="560"/>
      <c r="CA272" s="560"/>
      <c r="CB272" s="560"/>
      <c r="CC272" s="560"/>
    </row>
    <row r="273" spans="1:81" ht="18.75">
      <c r="A273" s="70" t="s">
        <v>864</v>
      </c>
      <c r="B273" s="71"/>
      <c r="C273" s="307">
        <v>205.73</v>
      </c>
      <c r="D273" s="307">
        <v>236.48</v>
      </c>
      <c r="E273" s="308">
        <v>192.41</v>
      </c>
      <c r="F273" s="307">
        <v>205.65</v>
      </c>
      <c r="X273" s="560"/>
      <c r="Y273" s="560"/>
      <c r="Z273" s="560"/>
      <c r="AA273" s="560"/>
      <c r="AB273" s="560"/>
      <c r="AC273" s="560"/>
      <c r="AD273" s="560"/>
      <c r="AE273" s="559"/>
      <c r="AF273" s="559"/>
      <c r="AG273" s="559"/>
      <c r="AH273" s="559"/>
      <c r="AI273" s="559"/>
      <c r="AJ273" s="559"/>
      <c r="AK273" s="559"/>
      <c r="AL273" s="560"/>
      <c r="AM273" s="560"/>
      <c r="AN273" s="559"/>
      <c r="AO273" s="559"/>
      <c r="AP273" s="560"/>
      <c r="AQ273" s="560"/>
      <c r="AR273" s="560"/>
      <c r="AS273" s="560"/>
      <c r="AT273" s="560"/>
      <c r="AU273" s="560"/>
      <c r="AV273" s="560"/>
      <c r="AW273" s="560"/>
      <c r="AX273" s="560"/>
      <c r="AY273" s="560"/>
      <c r="BA273" s="560"/>
      <c r="BB273" s="560"/>
      <c r="BC273" s="559"/>
      <c r="BD273" s="560"/>
      <c r="BE273" s="560"/>
      <c r="BF273" s="560"/>
      <c r="BG273" s="560"/>
      <c r="BH273" s="560"/>
      <c r="BI273" s="560"/>
      <c r="BJ273" s="559"/>
      <c r="BK273" s="560"/>
      <c r="BL273" s="560"/>
      <c r="BM273" s="560"/>
      <c r="BN273" s="560"/>
      <c r="BO273" s="560"/>
      <c r="BP273" s="560"/>
      <c r="BQ273" s="560"/>
      <c r="BR273" s="560"/>
      <c r="BS273" s="560"/>
      <c r="BT273" s="560"/>
      <c r="BU273" s="560"/>
      <c r="BV273" s="560"/>
      <c r="BW273" s="560"/>
      <c r="BX273" s="560"/>
      <c r="BY273" s="560"/>
      <c r="BZ273" s="560"/>
      <c r="CA273" s="560"/>
      <c r="CB273" s="560"/>
      <c r="CC273" s="560"/>
    </row>
    <row r="274" spans="1:81" ht="18.75">
      <c r="A274" s="804" t="s">
        <v>865</v>
      </c>
      <c r="B274" s="804"/>
      <c r="C274" s="804"/>
      <c r="D274" s="804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89"/>
      <c r="P274" s="89"/>
      <c r="Q274" s="89"/>
      <c r="R274" s="90"/>
      <c r="S274" s="90"/>
      <c r="T274" s="90"/>
      <c r="U274" s="90"/>
      <c r="V274" s="90"/>
      <c r="W274" s="90"/>
      <c r="X274" s="613"/>
      <c r="Y274" s="613"/>
      <c r="Z274" s="613"/>
      <c r="AA274" s="613"/>
      <c r="AB274" s="613"/>
      <c r="AC274" s="613"/>
      <c r="AD274" s="613"/>
      <c r="AE274" s="614"/>
      <c r="AF274" s="614"/>
      <c r="AG274" s="614"/>
      <c r="AH274" s="614"/>
      <c r="AI274" s="614"/>
      <c r="AJ274" s="614"/>
      <c r="AK274" s="614"/>
      <c r="AL274" s="613"/>
      <c r="AM274" s="613"/>
      <c r="AN274" s="614"/>
      <c r="AO274" s="614"/>
      <c r="AP274" s="613"/>
      <c r="AQ274" s="613"/>
      <c r="AR274" s="613"/>
      <c r="AS274" s="613"/>
      <c r="AT274" s="613"/>
      <c r="AU274" s="613"/>
      <c r="AV274" s="613"/>
      <c r="AW274" s="613"/>
      <c r="AX274" s="613"/>
      <c r="AY274" s="613"/>
      <c r="AZ274" s="89"/>
      <c r="BA274" s="613"/>
      <c r="BB274" s="613"/>
      <c r="BC274" s="614"/>
      <c r="BD274" s="613"/>
      <c r="BE274" s="613"/>
      <c r="BF274" s="613"/>
      <c r="BG274" s="613"/>
      <c r="BH274" s="613"/>
      <c r="BI274" s="613"/>
      <c r="BJ274" s="614"/>
      <c r="BK274" s="613"/>
      <c r="BL274" s="613"/>
      <c r="BM274" s="613"/>
      <c r="BN274" s="613"/>
      <c r="BO274" s="613"/>
      <c r="BP274" s="613"/>
      <c r="BQ274" s="613"/>
      <c r="BR274" s="613"/>
      <c r="BS274" s="613"/>
      <c r="BT274" s="613"/>
      <c r="BU274" s="613"/>
      <c r="BV274" s="613"/>
      <c r="BW274" s="613"/>
      <c r="BX274" s="613"/>
      <c r="BY274" s="613"/>
      <c r="BZ274" s="613"/>
      <c r="CA274" s="613"/>
      <c r="CB274" s="613"/>
      <c r="CC274" s="560"/>
    </row>
    <row r="275" spans="1:81">
      <c r="X275" s="560"/>
      <c r="Y275" s="560"/>
      <c r="Z275" s="560"/>
      <c r="AA275" s="560"/>
      <c r="AB275" s="560"/>
      <c r="AC275" s="560"/>
      <c r="AD275" s="560"/>
      <c r="AE275" s="559"/>
      <c r="AF275" s="559"/>
      <c r="AG275" s="559"/>
      <c r="AH275" s="559"/>
      <c r="AI275" s="559"/>
      <c r="AJ275" s="559"/>
      <c r="AK275" s="559"/>
      <c r="AL275" s="560"/>
      <c r="AM275" s="560"/>
      <c r="AN275" s="559"/>
      <c r="AO275" s="559"/>
      <c r="AP275" s="560"/>
      <c r="AQ275" s="560"/>
      <c r="AR275" s="560"/>
      <c r="AS275" s="560"/>
      <c r="AT275" s="560"/>
      <c r="AU275" s="560"/>
      <c r="AV275" s="560"/>
      <c r="AW275" s="560"/>
      <c r="AX275" s="560"/>
      <c r="AY275" s="560"/>
      <c r="BA275" s="560"/>
      <c r="BB275" s="560"/>
      <c r="BC275" s="559"/>
      <c r="BD275" s="560"/>
      <c r="BE275" s="560"/>
      <c r="BF275" s="560"/>
      <c r="BG275" s="560"/>
      <c r="BH275" s="560"/>
      <c r="BI275" s="560"/>
      <c r="BJ275" s="559"/>
      <c r="BK275" s="560"/>
      <c r="BL275" s="560"/>
      <c r="BM275" s="560"/>
      <c r="BN275" s="560"/>
      <c r="BO275" s="560"/>
      <c r="BP275" s="560"/>
      <c r="BQ275" s="560"/>
      <c r="BR275" s="560"/>
      <c r="BS275" s="560"/>
      <c r="BT275" s="560"/>
      <c r="BU275" s="560"/>
      <c r="BV275" s="560"/>
      <c r="BW275" s="560"/>
      <c r="BX275" s="560"/>
      <c r="BY275" s="560"/>
      <c r="BZ275" s="560"/>
      <c r="CA275" s="560"/>
      <c r="CB275" s="560"/>
      <c r="CC275" s="560"/>
    </row>
    <row r="276" spans="1:81">
      <c r="A276" s="447" t="s">
        <v>134</v>
      </c>
      <c r="B276" s="253" t="s">
        <v>124</v>
      </c>
      <c r="C276" s="254" t="s">
        <v>119</v>
      </c>
      <c r="D276" s="255" t="s">
        <v>111</v>
      </c>
      <c r="E276" s="73"/>
      <c r="F276" s="73"/>
      <c r="G276" s="78"/>
      <c r="H276" s="253" t="s">
        <v>124</v>
      </c>
      <c r="I276" s="255" t="s">
        <v>119</v>
      </c>
      <c r="J276" s="255" t="s">
        <v>111</v>
      </c>
      <c r="K276" s="73"/>
      <c r="L276" s="73"/>
      <c r="M276" s="79" t="s">
        <v>124</v>
      </c>
      <c r="N276" s="255" t="s">
        <v>119</v>
      </c>
      <c r="O276" s="254" t="s">
        <v>111</v>
      </c>
      <c r="R276" s="79" t="s">
        <v>124</v>
      </c>
      <c r="S276" s="255" t="s">
        <v>119</v>
      </c>
      <c r="T276" s="255" t="s">
        <v>111</v>
      </c>
      <c r="U276" s="73"/>
      <c r="V276" s="73"/>
      <c r="W276" s="447" t="s">
        <v>133</v>
      </c>
      <c r="X276" s="571" t="s">
        <v>124</v>
      </c>
      <c r="Y276" s="642" t="s">
        <v>119</v>
      </c>
      <c r="Z276" s="642" t="s">
        <v>111</v>
      </c>
      <c r="AA276" s="569"/>
      <c r="AB276" s="569"/>
      <c r="AC276" s="569"/>
      <c r="AD276" s="570"/>
      <c r="AE276" s="640" t="s">
        <v>124</v>
      </c>
      <c r="AF276" s="642" t="s">
        <v>119</v>
      </c>
      <c r="AG276" s="642" t="s">
        <v>111</v>
      </c>
      <c r="AH276" s="569"/>
      <c r="AI276" s="569"/>
      <c r="AJ276" s="569"/>
      <c r="AK276" s="570"/>
      <c r="AL276" s="571" t="s">
        <v>124</v>
      </c>
      <c r="AM276" s="642" t="s">
        <v>119</v>
      </c>
      <c r="AN276" s="642" t="s">
        <v>111</v>
      </c>
      <c r="AO276" s="569"/>
      <c r="AP276" s="569"/>
      <c r="AQ276" s="569"/>
      <c r="AR276" s="700"/>
      <c r="AS276" s="571" t="s">
        <v>124</v>
      </c>
      <c r="AT276" s="642" t="s">
        <v>119</v>
      </c>
      <c r="AU276" s="642" t="s">
        <v>111</v>
      </c>
      <c r="AV276" s="569"/>
      <c r="AW276" s="569"/>
      <c r="AX276" s="569"/>
      <c r="AY276" s="700"/>
      <c r="AZ276" s="447" t="s">
        <v>141</v>
      </c>
      <c r="BA276" s="640" t="s">
        <v>124</v>
      </c>
      <c r="BB276" s="642" t="s">
        <v>119</v>
      </c>
      <c r="BC276" s="642" t="s">
        <v>111</v>
      </c>
      <c r="BD276" s="569"/>
      <c r="BE276" s="569"/>
      <c r="BF276" s="569"/>
      <c r="BG276" s="569"/>
      <c r="BH276" s="640" t="s">
        <v>124</v>
      </c>
      <c r="BI276" s="641" t="s">
        <v>119</v>
      </c>
      <c r="BJ276" s="641" t="s">
        <v>111</v>
      </c>
      <c r="BK276" s="569"/>
      <c r="BL276" s="569"/>
      <c r="BM276" s="569"/>
      <c r="BN276" s="569"/>
      <c r="BO276" s="571" t="s">
        <v>124</v>
      </c>
      <c r="BP276" s="642" t="s">
        <v>119</v>
      </c>
      <c r="BQ276" s="642" t="s">
        <v>111</v>
      </c>
      <c r="BR276" s="560"/>
      <c r="BS276" s="569"/>
      <c r="BT276" s="569"/>
      <c r="BU276" s="569"/>
      <c r="BV276" s="672" t="s">
        <v>124</v>
      </c>
      <c r="BW276" s="641" t="s">
        <v>119</v>
      </c>
      <c r="BX276" s="641" t="s">
        <v>111</v>
      </c>
      <c r="BY276" s="559"/>
      <c r="BZ276" s="559"/>
      <c r="CA276" s="559"/>
      <c r="CB276" s="570"/>
      <c r="CC276" s="560"/>
    </row>
    <row r="277" spans="1:81">
      <c r="A277" s="80"/>
      <c r="B277" s="81"/>
      <c r="C277" s="86" t="s">
        <v>789</v>
      </c>
      <c r="D277" s="82" t="s">
        <v>112</v>
      </c>
      <c r="E277" s="73"/>
      <c r="F277" s="73"/>
      <c r="G277" s="78"/>
      <c r="H277" s="81"/>
      <c r="I277" s="86" t="s">
        <v>789</v>
      </c>
      <c r="J277" s="256" t="s">
        <v>114</v>
      </c>
      <c r="K277" s="73"/>
      <c r="L277" s="73"/>
      <c r="M277" s="81"/>
      <c r="N277" s="86" t="s">
        <v>774</v>
      </c>
      <c r="O277" s="257" t="s">
        <v>4</v>
      </c>
      <c r="R277" s="81"/>
      <c r="S277" s="86" t="s">
        <v>774</v>
      </c>
      <c r="T277" s="256" t="s">
        <v>114</v>
      </c>
      <c r="U277" s="813"/>
      <c r="V277" s="813"/>
      <c r="W277" s="80"/>
      <c r="X277" s="572"/>
      <c r="Y277" s="573" t="s">
        <v>789</v>
      </c>
      <c r="Z277" s="574" t="s">
        <v>112</v>
      </c>
      <c r="AA277" s="569"/>
      <c r="AB277" s="569"/>
      <c r="AC277" s="569"/>
      <c r="AD277" s="570"/>
      <c r="AE277" s="572"/>
      <c r="AF277" s="573" t="s">
        <v>789</v>
      </c>
      <c r="AG277" s="643" t="s">
        <v>114</v>
      </c>
      <c r="AH277" s="569"/>
      <c r="AI277" s="569"/>
      <c r="AJ277" s="569"/>
      <c r="AK277" s="570"/>
      <c r="AL277" s="572"/>
      <c r="AM277" s="573" t="s">
        <v>774</v>
      </c>
      <c r="AN277" s="645" t="s">
        <v>4</v>
      </c>
      <c r="AO277" s="569"/>
      <c r="AP277" s="569"/>
      <c r="AQ277" s="569"/>
      <c r="AR277" s="700"/>
      <c r="AS277" s="572"/>
      <c r="AT277" s="573" t="s">
        <v>774</v>
      </c>
      <c r="AU277" s="643" t="s">
        <v>114</v>
      </c>
      <c r="AV277" s="801"/>
      <c r="AW277" s="801"/>
      <c r="AX277" s="569"/>
      <c r="AY277" s="700"/>
      <c r="AZ277" s="80"/>
      <c r="BA277" s="572"/>
      <c r="BB277" s="573" t="s">
        <v>789</v>
      </c>
      <c r="BC277" s="574" t="s">
        <v>112</v>
      </c>
      <c r="BD277" s="569"/>
      <c r="BE277" s="569"/>
      <c r="BF277" s="673"/>
      <c r="BG277" s="674"/>
      <c r="BH277" s="572"/>
      <c r="BI277" s="573" t="s">
        <v>789</v>
      </c>
      <c r="BJ277" s="643" t="s">
        <v>114</v>
      </c>
      <c r="BK277" s="569" t="s">
        <v>143</v>
      </c>
      <c r="BL277" s="569"/>
      <c r="BM277" s="569"/>
      <c r="BN277" s="569"/>
      <c r="BO277" s="572"/>
      <c r="BP277" s="573" t="s">
        <v>774</v>
      </c>
      <c r="BQ277" s="645" t="s">
        <v>4</v>
      </c>
      <c r="BR277" s="560"/>
      <c r="BS277" s="569"/>
      <c r="BT277" s="569"/>
      <c r="BU277" s="569"/>
      <c r="BV277" s="572"/>
      <c r="BW277" s="573" t="s">
        <v>774</v>
      </c>
      <c r="BX277" s="643" t="s">
        <v>114</v>
      </c>
      <c r="BY277" s="814"/>
      <c r="BZ277" s="814"/>
      <c r="CA277" s="559"/>
      <c r="CB277" s="570"/>
      <c r="CC277" s="560"/>
    </row>
    <row r="278" spans="1:81" ht="63">
      <c r="A278" s="5"/>
      <c r="B278" s="448" t="s">
        <v>122</v>
      </c>
      <c r="C278" s="449" t="s">
        <v>121</v>
      </c>
      <c r="D278" s="450" t="s">
        <v>125</v>
      </c>
      <c r="E278" s="796" t="s">
        <v>1017</v>
      </c>
      <c r="F278" s="796"/>
      <c r="G278" s="797"/>
      <c r="H278" s="451" t="s">
        <v>121</v>
      </c>
      <c r="I278" s="450" t="s">
        <v>125</v>
      </c>
      <c r="J278" s="796" t="s">
        <v>1017</v>
      </c>
      <c r="K278" s="796"/>
      <c r="L278" s="797"/>
      <c r="M278" s="451" t="s">
        <v>121</v>
      </c>
      <c r="N278" s="450" t="s">
        <v>125</v>
      </c>
      <c r="O278" s="796" t="s">
        <v>1017</v>
      </c>
      <c r="P278" s="796"/>
      <c r="Q278" s="797"/>
      <c r="R278" s="451" t="s">
        <v>121</v>
      </c>
      <c r="S278" s="450" t="s">
        <v>125</v>
      </c>
      <c r="T278" s="796" t="s">
        <v>1017</v>
      </c>
      <c r="U278" s="796"/>
      <c r="V278" s="797"/>
      <c r="W278" s="5"/>
      <c r="X278" s="582" t="s">
        <v>121</v>
      </c>
      <c r="Y278" s="584" t="s">
        <v>126</v>
      </c>
      <c r="Z278" s="583" t="s">
        <v>127</v>
      </c>
      <c r="AA278" s="583" t="s">
        <v>128</v>
      </c>
      <c r="AB278" s="583" t="s">
        <v>129</v>
      </c>
      <c r="AC278" s="583" t="s">
        <v>130</v>
      </c>
      <c r="AD278" s="701" t="s">
        <v>131</v>
      </c>
      <c r="AE278" s="582" t="s">
        <v>121</v>
      </c>
      <c r="AF278" s="583" t="s">
        <v>126</v>
      </c>
      <c r="AG278" s="583" t="s">
        <v>127</v>
      </c>
      <c r="AH278" s="583" t="s">
        <v>128</v>
      </c>
      <c r="AI278" s="583" t="s">
        <v>129</v>
      </c>
      <c r="AJ278" s="583" t="s">
        <v>130</v>
      </c>
      <c r="AK278" s="701" t="s">
        <v>131</v>
      </c>
      <c r="AL278" s="582" t="s">
        <v>121</v>
      </c>
      <c r="AM278" s="583" t="s">
        <v>126</v>
      </c>
      <c r="AN278" s="583" t="s">
        <v>127</v>
      </c>
      <c r="AO278" s="583" t="s">
        <v>128</v>
      </c>
      <c r="AP278" s="583" t="s">
        <v>129</v>
      </c>
      <c r="AQ278" s="583" t="s">
        <v>130</v>
      </c>
      <c r="AR278" s="696" t="s">
        <v>131</v>
      </c>
      <c r="AS278" s="582" t="s">
        <v>121</v>
      </c>
      <c r="AT278" s="583" t="s">
        <v>126</v>
      </c>
      <c r="AU278" s="695" t="s">
        <v>127</v>
      </c>
      <c r="AV278" s="695" t="s">
        <v>128</v>
      </c>
      <c r="AW278" s="583" t="s">
        <v>129</v>
      </c>
      <c r="AX278" s="583" t="s">
        <v>130</v>
      </c>
      <c r="AY278" s="696" t="s">
        <v>131</v>
      </c>
      <c r="AZ278" s="75"/>
      <c r="BA278" s="648" t="s">
        <v>121</v>
      </c>
      <c r="BB278" s="583" t="s">
        <v>143</v>
      </c>
      <c r="BC278" s="583" t="s">
        <v>888</v>
      </c>
      <c r="BD278" s="583" t="s">
        <v>1045</v>
      </c>
      <c r="BE278" s="583" t="s">
        <v>1044</v>
      </c>
      <c r="BF278" s="666" t="s">
        <v>1051</v>
      </c>
      <c r="BG278" s="666" t="s">
        <v>1052</v>
      </c>
      <c r="BH278" s="648" t="s">
        <v>121</v>
      </c>
      <c r="BI278" s="583" t="s">
        <v>143</v>
      </c>
      <c r="BJ278" s="583" t="s">
        <v>888</v>
      </c>
      <c r="BK278" s="583" t="s">
        <v>1045</v>
      </c>
      <c r="BL278" s="583" t="s">
        <v>1044</v>
      </c>
      <c r="BM278" s="666" t="s">
        <v>1051</v>
      </c>
      <c r="BN278" s="666" t="s">
        <v>1052</v>
      </c>
      <c r="BO278" s="648" t="s">
        <v>121</v>
      </c>
      <c r="BP278" s="583" t="s">
        <v>143</v>
      </c>
      <c r="BQ278" s="583" t="s">
        <v>888</v>
      </c>
      <c r="BR278" s="583" t="s">
        <v>1045</v>
      </c>
      <c r="BS278" s="583" t="s">
        <v>1044</v>
      </c>
      <c r="BT278" s="666" t="s">
        <v>1051</v>
      </c>
      <c r="BU278" s="666" t="s">
        <v>1052</v>
      </c>
      <c r="BV278" s="648" t="s">
        <v>121</v>
      </c>
      <c r="BW278" s="583" t="s">
        <v>143</v>
      </c>
      <c r="BX278" s="583" t="s">
        <v>888</v>
      </c>
      <c r="BY278" s="583" t="s">
        <v>1045</v>
      </c>
      <c r="BZ278" s="583" t="s">
        <v>1044</v>
      </c>
      <c r="CA278" s="666" t="s">
        <v>1051</v>
      </c>
      <c r="CB278" s="666" t="s">
        <v>1052</v>
      </c>
      <c r="CC278" s="560"/>
    </row>
    <row r="279" spans="1:81" ht="15.75">
      <c r="A279" s="5"/>
      <c r="B279" s="452" t="s">
        <v>120</v>
      </c>
      <c r="C279" s="426">
        <v>0</v>
      </c>
      <c r="D279" s="311">
        <f>235.06+215+0.1</f>
        <v>450.16</v>
      </c>
      <c r="E279" s="27">
        <v>0</v>
      </c>
      <c r="F279" s="27">
        <v>0</v>
      </c>
      <c r="G279" s="94">
        <v>0</v>
      </c>
      <c r="H279" s="426">
        <v>0</v>
      </c>
      <c r="I279" s="311">
        <f>256.67+214.9+0.09</f>
        <v>471.66</v>
      </c>
      <c r="J279" s="27">
        <v>0.44</v>
      </c>
      <c r="K279" s="258">
        <v>0</v>
      </c>
      <c r="L279" s="94">
        <v>0</v>
      </c>
      <c r="M279" s="426">
        <v>0</v>
      </c>
      <c r="N279" s="231">
        <f>214.89+214.89+0.1</f>
        <v>429.88</v>
      </c>
      <c r="O279" s="27">
        <v>0</v>
      </c>
      <c r="P279" s="258">
        <v>0</v>
      </c>
      <c r="Q279" s="94">
        <v>0</v>
      </c>
      <c r="R279" s="426">
        <v>0</v>
      </c>
      <c r="S279" s="231">
        <f>228.55+214.59+0.09</f>
        <v>443.22999999999996</v>
      </c>
      <c r="T279" s="27">
        <v>0</v>
      </c>
      <c r="U279" s="258">
        <v>0</v>
      </c>
      <c r="V279" s="94">
        <v>0</v>
      </c>
      <c r="W279" s="5"/>
      <c r="X279" s="650">
        <v>0</v>
      </c>
      <c r="Y279" s="651">
        <f t="shared" ref="Y279:Y294" si="247">AVERAGE(E279:G279)/10</f>
        <v>0</v>
      </c>
      <c r="Z279" s="620">
        <v>9.6440000000000001</v>
      </c>
      <c r="AA279" s="620">
        <v>4.5170000000000003</v>
      </c>
      <c r="AB279" s="620">
        <f t="shared" ref="AB279:AB294" si="248">Z279-(AA279+Y279)</f>
        <v>5.1269999999999998</v>
      </c>
      <c r="AC279" s="620">
        <f t="shared" ref="AC279:AC294" si="249">3*Z279+AA279+Y279</f>
        <v>33.449000000000005</v>
      </c>
      <c r="AD279" s="653">
        <f t="shared" ref="AD279:AD294" si="250">1.398*(10^-6)*(X279^2)*AB279*AC279</f>
        <v>0</v>
      </c>
      <c r="AE279" s="650">
        <v>0</v>
      </c>
      <c r="AF279" s="620">
        <f t="shared" ref="AF279:AF294" si="251">AVERAGE(J279:L279)/10</f>
        <v>1.4666666666666666E-2</v>
      </c>
      <c r="AG279" s="620">
        <v>9.6440000000000001</v>
      </c>
      <c r="AH279" s="620">
        <v>4.5170000000000003</v>
      </c>
      <c r="AI279" s="620">
        <f t="shared" ref="AI279:AI294" si="252">AG279-(AH279+AF279)</f>
        <v>5.112333333333333</v>
      </c>
      <c r="AJ279" s="620">
        <f t="shared" ref="AJ279:AJ294" si="253">3*AG279+AH279+AF279</f>
        <v>33.463666666666668</v>
      </c>
      <c r="AK279" s="653">
        <f t="shared" ref="AK279:AK294" si="254">1.398*(10^-6)*(AE279^2)*AI279*AJ279</f>
        <v>0</v>
      </c>
      <c r="AL279" s="650">
        <v>0</v>
      </c>
      <c r="AM279" s="620">
        <f t="shared" ref="AM279:AM294" si="255">AVERAGE(O279:Q279)/10</f>
        <v>0</v>
      </c>
      <c r="AN279" s="620">
        <v>9.6440000000000001</v>
      </c>
      <c r="AO279" s="620">
        <v>4.5170000000000003</v>
      </c>
      <c r="AP279" s="620">
        <f t="shared" ref="AP279:AP294" si="256">AN279-(AO279+AM279)</f>
        <v>5.1269999999999998</v>
      </c>
      <c r="AQ279" s="620">
        <f t="shared" ref="AQ279:AQ294" si="257">3*AN279+AO279+AM279</f>
        <v>33.449000000000005</v>
      </c>
      <c r="AR279" s="698">
        <f t="shared" ref="AR279:AR294" si="258">1.398*(10^-6)*(AL279^2)*AP279*AQ279</f>
        <v>0</v>
      </c>
      <c r="AS279" s="650">
        <v>0</v>
      </c>
      <c r="AT279" s="620">
        <f t="shared" ref="AT279:AT294" si="259">AVERAGE(T279:V279)/10</f>
        <v>0</v>
      </c>
      <c r="AU279" s="620">
        <v>9.6440000000000001</v>
      </c>
      <c r="AV279" s="620">
        <v>4.5170000000000003</v>
      </c>
      <c r="AW279" s="620">
        <f t="shared" ref="AW279:AW294" si="260">AU279-(AV279+AT279)</f>
        <v>5.1269999999999998</v>
      </c>
      <c r="AX279" s="620">
        <f t="shared" ref="AX279:AX294" si="261">3*AU279+AV279+AT279</f>
        <v>33.449000000000005</v>
      </c>
      <c r="AY279" s="698">
        <f t="shared" ref="AY279:AY294" si="262">1.398*(10^-6)*(AS279^2)*AW279*AX279</f>
        <v>0</v>
      </c>
      <c r="AZ279" s="75"/>
      <c r="BA279" s="650">
        <v>0</v>
      </c>
      <c r="BB279" s="620">
        <v>103.50685607036536</v>
      </c>
      <c r="BC279" s="720">
        <f>(BB297-BB298)/BB279</f>
        <v>1.1936407373440947</v>
      </c>
      <c r="BD279" s="714">
        <f>D279-BB295</f>
        <v>38.460000000000036</v>
      </c>
      <c r="BE279" s="693">
        <f>BB297-BB298</f>
        <v>123.54999999999998</v>
      </c>
      <c r="BF279" s="693">
        <f t="shared" ref="BF279:BF294" si="263">BD279/BE279*100</f>
        <v>31.129097531363854</v>
      </c>
      <c r="BG279" s="668">
        <f t="shared" ref="BG279:BG294" si="264">BF279*BC279</f>
        <v>37.15695893019339</v>
      </c>
      <c r="BH279" s="650">
        <v>0</v>
      </c>
      <c r="BI279" s="620">
        <v>103.50685607036536</v>
      </c>
      <c r="BJ279" s="720">
        <f>(BI297-BI298)/BI279</f>
        <v>1.4429962001595629</v>
      </c>
      <c r="BK279" s="714">
        <f>I279-BI295</f>
        <v>29.78000000000003</v>
      </c>
      <c r="BL279" s="693">
        <f>BI297-BI298</f>
        <v>149.35999999999999</v>
      </c>
      <c r="BM279" s="693">
        <f t="shared" ref="BM279:BM294" si="265">BK279/BL279*100</f>
        <v>19.938403856454226</v>
      </c>
      <c r="BN279" s="668">
        <f t="shared" ref="BN279:BN294" si="266">BM279*BJ279</f>
        <v>28.771041002110223</v>
      </c>
      <c r="BO279" s="650">
        <v>0</v>
      </c>
      <c r="BP279" s="681">
        <v>103.50685607036536</v>
      </c>
      <c r="BQ279" s="720">
        <f>(BP297-BP298)/BP279</f>
        <v>0.9800316988764467</v>
      </c>
      <c r="BR279" s="714">
        <f t="shared" ref="BR279:BR294" si="267">N279-$BP$295</f>
        <v>41.970000000000027</v>
      </c>
      <c r="BS279" s="693">
        <f>BP297-BP298</f>
        <v>101.44000000000001</v>
      </c>
      <c r="BT279" s="693">
        <f t="shared" ref="BT279:BT294" si="268">BR279/BS279*100</f>
        <v>41.374211356466901</v>
      </c>
      <c r="BU279" s="668">
        <f t="shared" ref="BU279:BU294" si="269">BT279*BQ279</f>
        <v>40.548038645351433</v>
      </c>
      <c r="BV279" s="650">
        <v>0</v>
      </c>
      <c r="BW279" s="620">
        <v>103.50685607036536</v>
      </c>
      <c r="BX279" s="720">
        <f>(BW297-BW298)/BW279</f>
        <v>1.0651468336073366</v>
      </c>
      <c r="BY279" s="714">
        <f>S279-BW295</f>
        <v>45.229999999999961</v>
      </c>
      <c r="BZ279" s="693">
        <f>BW297-BW298</f>
        <v>110.25</v>
      </c>
      <c r="CA279" s="693">
        <f t="shared" ref="CA279:CA294" si="270">BY279/BZ279*100</f>
        <v>41.024943310657562</v>
      </c>
      <c r="CB279" s="668">
        <f t="shared" ref="CB279:CB294" si="271">CA279*BX279</f>
        <v>43.697588466267391</v>
      </c>
      <c r="CC279" s="560"/>
    </row>
    <row r="280" spans="1:81" ht="15.75">
      <c r="A280" s="5"/>
      <c r="B280" s="59" t="s">
        <v>116</v>
      </c>
      <c r="C280" s="154">
        <v>300</v>
      </c>
      <c r="D280" s="311">
        <v>446.64</v>
      </c>
      <c r="E280" s="27">
        <v>1.58</v>
      </c>
      <c r="F280" s="27">
        <v>1.99</v>
      </c>
      <c r="G280" s="94">
        <v>1.86</v>
      </c>
      <c r="H280" s="154">
        <v>300</v>
      </c>
      <c r="I280" s="315">
        <v>470.63</v>
      </c>
      <c r="J280" s="27">
        <v>1.24</v>
      </c>
      <c r="K280" s="258">
        <v>0</v>
      </c>
      <c r="L280" s="94">
        <v>0</v>
      </c>
      <c r="M280" s="154">
        <v>300</v>
      </c>
      <c r="N280" s="231">
        <v>423.34</v>
      </c>
      <c r="O280" s="27">
        <v>2.14</v>
      </c>
      <c r="P280" s="27">
        <v>2.44</v>
      </c>
      <c r="Q280" s="426">
        <v>3.01</v>
      </c>
      <c r="R280" s="154">
        <v>300</v>
      </c>
      <c r="S280" s="231">
        <v>442.32</v>
      </c>
      <c r="T280" s="27">
        <v>0.71</v>
      </c>
      <c r="U280" s="258">
        <v>0</v>
      </c>
      <c r="V280" s="94">
        <v>0</v>
      </c>
      <c r="W280" s="5"/>
      <c r="X280" s="650">
        <v>300</v>
      </c>
      <c r="Y280" s="651">
        <f t="shared" si="247"/>
        <v>0.18100000000000002</v>
      </c>
      <c r="Z280" s="620">
        <v>9.6440000000000001</v>
      </c>
      <c r="AA280" s="620">
        <v>4.5170000000000003</v>
      </c>
      <c r="AB280" s="620">
        <f t="shared" si="248"/>
        <v>4.9459999999999997</v>
      </c>
      <c r="AC280" s="620">
        <f t="shared" si="249"/>
        <v>33.630000000000003</v>
      </c>
      <c r="AD280" s="653">
        <f t="shared" si="250"/>
        <v>20.928141363599998</v>
      </c>
      <c r="AE280" s="650">
        <v>300</v>
      </c>
      <c r="AF280" s="620">
        <f t="shared" si="251"/>
        <v>4.1333333333333333E-2</v>
      </c>
      <c r="AG280" s="620">
        <v>9.6440000000000001</v>
      </c>
      <c r="AH280" s="620">
        <v>4.5170000000000003</v>
      </c>
      <c r="AI280" s="620">
        <f t="shared" si="252"/>
        <v>5.0856666666666666</v>
      </c>
      <c r="AJ280" s="620">
        <f t="shared" si="253"/>
        <v>33.490333333333339</v>
      </c>
      <c r="AK280" s="653">
        <f t="shared" si="254"/>
        <v>21.429746937060003</v>
      </c>
      <c r="AL280" s="650">
        <v>300</v>
      </c>
      <c r="AM280" s="620">
        <f t="shared" si="255"/>
        <v>0.253</v>
      </c>
      <c r="AN280" s="620">
        <v>9.6440000000000001</v>
      </c>
      <c r="AO280" s="620">
        <v>4.5170000000000003</v>
      </c>
      <c r="AP280" s="620">
        <f t="shared" si="256"/>
        <v>4.8739999999999997</v>
      </c>
      <c r="AQ280" s="620">
        <f t="shared" si="257"/>
        <v>33.702000000000005</v>
      </c>
      <c r="AR280" s="698">
        <f t="shared" si="258"/>
        <v>20.667639609360002</v>
      </c>
      <c r="AS280" s="650">
        <v>300</v>
      </c>
      <c r="AT280" s="620">
        <f t="shared" si="259"/>
        <v>2.3666666666666666E-2</v>
      </c>
      <c r="AU280" s="620">
        <v>9.6440000000000001</v>
      </c>
      <c r="AV280" s="620">
        <v>4.5170000000000003</v>
      </c>
      <c r="AW280" s="620">
        <f t="shared" si="260"/>
        <v>5.1033333333333335</v>
      </c>
      <c r="AX280" s="620">
        <f t="shared" si="261"/>
        <v>33.472666666666669</v>
      </c>
      <c r="AY280" s="698">
        <f t="shared" si="262"/>
        <v>21.4928461284</v>
      </c>
      <c r="AZ280" s="75"/>
      <c r="BA280" s="650">
        <v>300</v>
      </c>
      <c r="BB280" s="620">
        <v>103.50685607036536</v>
      </c>
      <c r="BC280" s="720">
        <f>(BB297-BB298)/BB279</f>
        <v>1.1936407373440947</v>
      </c>
      <c r="BD280" s="714">
        <f>D280-BB295</f>
        <v>34.94</v>
      </c>
      <c r="BE280" s="693">
        <f>BB297-BB298</f>
        <v>123.54999999999998</v>
      </c>
      <c r="BF280" s="693">
        <f t="shared" si="263"/>
        <v>28.280048563334688</v>
      </c>
      <c r="BG280" s="668">
        <f t="shared" si="264"/>
        <v>33.756218019265624</v>
      </c>
      <c r="BH280" s="650">
        <v>300</v>
      </c>
      <c r="BI280" s="620">
        <v>103.50685607036536</v>
      </c>
      <c r="BJ280" s="720">
        <f>(BI297-BI298)/BI279</f>
        <v>1.4429962001595629</v>
      </c>
      <c r="BK280" s="714">
        <f>I280-BI295</f>
        <v>28.75</v>
      </c>
      <c r="BL280" s="693">
        <f>BI297-BI298</f>
        <v>149.35999999999999</v>
      </c>
      <c r="BM280" s="693">
        <f t="shared" si="265"/>
        <v>19.248794858061064</v>
      </c>
      <c r="BN280" s="668">
        <f t="shared" si="266"/>
        <v>27.775937837833048</v>
      </c>
      <c r="BO280" s="650">
        <v>300</v>
      </c>
      <c r="BP280" s="681">
        <v>103.50685607036536</v>
      </c>
      <c r="BQ280" s="720">
        <f>(BP297-BP298)/BP279</f>
        <v>0.9800316988764467</v>
      </c>
      <c r="BR280" s="714">
        <f t="shared" si="267"/>
        <v>35.430000000000007</v>
      </c>
      <c r="BS280" s="693">
        <f>BP297-BP298</f>
        <v>101.44000000000001</v>
      </c>
      <c r="BT280" s="693">
        <f t="shared" si="268"/>
        <v>34.927050473186121</v>
      </c>
      <c r="BU280" s="668">
        <f t="shared" si="269"/>
        <v>34.229616611979999</v>
      </c>
      <c r="BV280" s="650">
        <v>300</v>
      </c>
      <c r="BW280" s="620">
        <v>103.50685607036536</v>
      </c>
      <c r="BX280" s="720">
        <f>(BW297-BW298)/BW279</f>
        <v>1.0651468336073366</v>
      </c>
      <c r="BY280" s="714">
        <f>S280-BW295</f>
        <v>44.319999999999993</v>
      </c>
      <c r="BZ280" s="693">
        <f>BW297-BW298</f>
        <v>110.25</v>
      </c>
      <c r="CA280" s="693">
        <f t="shared" si="270"/>
        <v>40.199546485260761</v>
      </c>
      <c r="CB280" s="668">
        <f t="shared" si="271"/>
        <v>42.818419651226435</v>
      </c>
      <c r="CC280" s="560"/>
    </row>
    <row r="281" spans="1:81" ht="15.75">
      <c r="A281" s="5"/>
      <c r="B281" s="59" t="s">
        <v>116</v>
      </c>
      <c r="C281" s="154">
        <v>350</v>
      </c>
      <c r="D281" s="315">
        <v>446.45</v>
      </c>
      <c r="E281" s="185">
        <v>2.15</v>
      </c>
      <c r="F281" s="185">
        <v>1.99</v>
      </c>
      <c r="G281" s="303">
        <v>2.65</v>
      </c>
      <c r="H281" s="154">
        <v>350</v>
      </c>
      <c r="I281" s="315">
        <v>470.62</v>
      </c>
      <c r="J281" s="27">
        <v>2.2000000000000002</v>
      </c>
      <c r="K281" s="258">
        <v>0.63</v>
      </c>
      <c r="L281" s="94">
        <v>0</v>
      </c>
      <c r="M281" s="154">
        <v>350</v>
      </c>
      <c r="N281" s="231">
        <v>422.6</v>
      </c>
      <c r="O281" s="27">
        <v>3.51</v>
      </c>
      <c r="P281" s="27">
        <v>2.35</v>
      </c>
      <c r="Q281" s="426">
        <v>2.91</v>
      </c>
      <c r="R281" s="154">
        <v>350</v>
      </c>
      <c r="S281" s="231">
        <v>441.87</v>
      </c>
      <c r="T281" s="260">
        <v>1.01</v>
      </c>
      <c r="U281" s="260">
        <v>0</v>
      </c>
      <c r="V281" s="464">
        <v>0</v>
      </c>
      <c r="W281" s="5"/>
      <c r="X281" s="650">
        <v>350</v>
      </c>
      <c r="Y281" s="651">
        <f t="shared" si="247"/>
        <v>0.22633333333333333</v>
      </c>
      <c r="Z281" s="620">
        <v>9.6440000000000001</v>
      </c>
      <c r="AA281" s="620">
        <v>4.5170000000000003</v>
      </c>
      <c r="AB281" s="620">
        <f t="shared" si="248"/>
        <v>4.9006666666666661</v>
      </c>
      <c r="AC281" s="620">
        <f t="shared" si="249"/>
        <v>33.675333333333342</v>
      </c>
      <c r="AD281" s="653">
        <f t="shared" si="250"/>
        <v>28.262483841806663</v>
      </c>
      <c r="AE281" s="650">
        <v>350</v>
      </c>
      <c r="AF281" s="620">
        <f t="shared" si="251"/>
        <v>9.4333333333333338E-2</v>
      </c>
      <c r="AG281" s="620">
        <v>9.6440000000000001</v>
      </c>
      <c r="AH281" s="620">
        <v>4.5170000000000003</v>
      </c>
      <c r="AI281" s="620">
        <f t="shared" si="252"/>
        <v>5.0326666666666666</v>
      </c>
      <c r="AJ281" s="620">
        <f t="shared" si="253"/>
        <v>33.543333333333337</v>
      </c>
      <c r="AK281" s="653">
        <f t="shared" si="254"/>
        <v>28.90997022596666</v>
      </c>
      <c r="AL281" s="650">
        <v>350</v>
      </c>
      <c r="AM281" s="620">
        <f t="shared" si="255"/>
        <v>0.29233333333333333</v>
      </c>
      <c r="AN281" s="620">
        <v>9.6440000000000001</v>
      </c>
      <c r="AO281" s="620">
        <v>4.5170000000000003</v>
      </c>
      <c r="AP281" s="620">
        <f t="shared" si="256"/>
        <v>4.8346666666666662</v>
      </c>
      <c r="AQ281" s="620">
        <f t="shared" si="257"/>
        <v>33.741333333333337</v>
      </c>
      <c r="AR281" s="698">
        <f t="shared" si="258"/>
        <v>27.936502689386661</v>
      </c>
      <c r="AS281" s="650">
        <v>350</v>
      </c>
      <c r="AT281" s="620">
        <f t="shared" si="259"/>
        <v>3.3666666666666664E-2</v>
      </c>
      <c r="AU281" s="620">
        <v>9.6440000000000001</v>
      </c>
      <c r="AV281" s="620">
        <v>4.5170000000000003</v>
      </c>
      <c r="AW281" s="620">
        <f t="shared" si="260"/>
        <v>5.0933333333333328</v>
      </c>
      <c r="AX281" s="620">
        <f t="shared" si="261"/>
        <v>33.482666666666674</v>
      </c>
      <c r="AY281" s="698">
        <f t="shared" si="262"/>
        <v>29.205550647466666</v>
      </c>
      <c r="AZ281" s="75"/>
      <c r="BA281" s="650">
        <v>350</v>
      </c>
      <c r="BB281" s="620">
        <v>103.50685607036536</v>
      </c>
      <c r="BC281" s="720">
        <f>(BB297-BB298)/BB279</f>
        <v>1.1936407373440947</v>
      </c>
      <c r="BD281" s="714">
        <f>D281-BB295</f>
        <v>34.75</v>
      </c>
      <c r="BE281" s="693">
        <f>BB297-BB298</f>
        <v>123.54999999999998</v>
      </c>
      <c r="BF281" s="693">
        <f t="shared" si="263"/>
        <v>28.126264670174024</v>
      </c>
      <c r="BG281" s="668">
        <f t="shared" si="264"/>
        <v>33.572655299641681</v>
      </c>
      <c r="BH281" s="650">
        <v>350</v>
      </c>
      <c r="BI281" s="620">
        <v>103.50685607036536</v>
      </c>
      <c r="BJ281" s="720">
        <f>(BI297-BI298)/BI279</f>
        <v>1.4429962001595629</v>
      </c>
      <c r="BK281" s="714">
        <f>I281-BI295</f>
        <v>28.740000000000009</v>
      </c>
      <c r="BL281" s="693">
        <f>BI297-BI298</f>
        <v>149.35999999999999</v>
      </c>
      <c r="BM281" s="693">
        <f t="shared" si="265"/>
        <v>19.24209962506696</v>
      </c>
      <c r="BN281" s="668">
        <f t="shared" si="266"/>
        <v>27.766276642063371</v>
      </c>
      <c r="BO281" s="650">
        <v>350</v>
      </c>
      <c r="BP281" s="681">
        <v>103.50685607036536</v>
      </c>
      <c r="BQ281" s="720">
        <f>(BP297-BP298)/BP279</f>
        <v>0.9800316988764467</v>
      </c>
      <c r="BR281" s="714">
        <f t="shared" si="267"/>
        <v>34.690000000000055</v>
      </c>
      <c r="BS281" s="693">
        <f>BP297-BP298</f>
        <v>101.44000000000001</v>
      </c>
      <c r="BT281" s="693">
        <f t="shared" si="268"/>
        <v>34.197555205047372</v>
      </c>
      <c r="BU281" s="668">
        <f t="shared" si="269"/>
        <v>33.514688125023646</v>
      </c>
      <c r="BV281" s="650">
        <v>350</v>
      </c>
      <c r="BW281" s="620">
        <v>103.50685607036536</v>
      </c>
      <c r="BX281" s="720">
        <f>(BW297-BW298)/BW279</f>
        <v>1.0651468336073366</v>
      </c>
      <c r="BY281" s="714">
        <f>S281-BW295</f>
        <v>43.870000000000005</v>
      </c>
      <c r="BZ281" s="693">
        <f>BW297-BW298</f>
        <v>110.25</v>
      </c>
      <c r="CA281" s="693">
        <f t="shared" si="270"/>
        <v>39.791383219954653</v>
      </c>
      <c r="CB281" s="668">
        <f t="shared" si="271"/>
        <v>42.383665841590805</v>
      </c>
      <c r="CC281" s="560"/>
    </row>
    <row r="282" spans="1:81" ht="15.75">
      <c r="A282" s="5"/>
      <c r="B282" s="59" t="s">
        <v>116</v>
      </c>
      <c r="C282" s="154">
        <v>450</v>
      </c>
      <c r="D282" s="315">
        <v>444.67</v>
      </c>
      <c r="E282" s="185">
        <v>3.56</v>
      </c>
      <c r="F282" s="185">
        <v>3.63</v>
      </c>
      <c r="G282" s="303">
        <v>2.92</v>
      </c>
      <c r="H282" s="154">
        <v>450</v>
      </c>
      <c r="I282" s="311">
        <v>470.62</v>
      </c>
      <c r="J282" s="27">
        <v>0.82</v>
      </c>
      <c r="K282" s="258">
        <v>2.29</v>
      </c>
      <c r="L282" s="94">
        <v>0</v>
      </c>
      <c r="M282" s="154">
        <v>450</v>
      </c>
      <c r="N282" s="231">
        <v>421.22</v>
      </c>
      <c r="O282" s="426">
        <v>4.21</v>
      </c>
      <c r="P282" s="426">
        <v>3.37</v>
      </c>
      <c r="Q282" s="426">
        <v>3.92</v>
      </c>
      <c r="R282" s="154">
        <v>450</v>
      </c>
      <c r="S282" s="231">
        <v>440.58</v>
      </c>
      <c r="T282" s="464">
        <v>0.46</v>
      </c>
      <c r="U282" s="464">
        <v>0.43</v>
      </c>
      <c r="V282" s="464">
        <v>2.04</v>
      </c>
      <c r="W282" s="5"/>
      <c r="X282" s="650">
        <v>450</v>
      </c>
      <c r="Y282" s="651">
        <f t="shared" si="247"/>
        <v>0.33699999999999997</v>
      </c>
      <c r="Z282" s="620">
        <v>9.6440000000000001</v>
      </c>
      <c r="AA282" s="620">
        <v>4.5170000000000003</v>
      </c>
      <c r="AB282" s="620">
        <f t="shared" si="248"/>
        <v>4.79</v>
      </c>
      <c r="AC282" s="620">
        <f t="shared" si="249"/>
        <v>33.786000000000008</v>
      </c>
      <c r="AD282" s="653">
        <f t="shared" si="250"/>
        <v>45.8146623393</v>
      </c>
      <c r="AE282" s="650">
        <v>450</v>
      </c>
      <c r="AF282" s="620">
        <f t="shared" si="251"/>
        <v>0.10366666666666666</v>
      </c>
      <c r="AG282" s="620">
        <v>9.6440000000000001</v>
      </c>
      <c r="AH282" s="620">
        <v>4.5170000000000003</v>
      </c>
      <c r="AI282" s="620">
        <f t="shared" si="252"/>
        <v>5.0233333333333334</v>
      </c>
      <c r="AJ282" s="620">
        <f t="shared" si="253"/>
        <v>33.552666666666674</v>
      </c>
      <c r="AK282" s="653">
        <f t="shared" si="254"/>
        <v>47.714594667300005</v>
      </c>
      <c r="AL282" s="650">
        <v>450</v>
      </c>
      <c r="AM282" s="620">
        <f t="shared" si="255"/>
        <v>0.38333333333333336</v>
      </c>
      <c r="AN282" s="620">
        <v>9.6440000000000001</v>
      </c>
      <c r="AO282" s="620">
        <v>4.5170000000000003</v>
      </c>
      <c r="AP282" s="620">
        <f t="shared" si="256"/>
        <v>4.743666666666666</v>
      </c>
      <c r="AQ282" s="620">
        <f t="shared" si="257"/>
        <v>33.832333333333338</v>
      </c>
      <c r="AR282" s="698">
        <f t="shared" si="258"/>
        <v>45.43372174918499</v>
      </c>
      <c r="AS282" s="650">
        <v>450</v>
      </c>
      <c r="AT282" s="620">
        <f t="shared" si="259"/>
        <v>9.7666666666666666E-2</v>
      </c>
      <c r="AU282" s="620">
        <v>9.6440000000000001</v>
      </c>
      <c r="AV282" s="620">
        <v>4.5170000000000003</v>
      </c>
      <c r="AW282" s="620">
        <f t="shared" si="260"/>
        <v>5.0293333333333328</v>
      </c>
      <c r="AX282" s="620">
        <f t="shared" si="261"/>
        <v>33.546666666666674</v>
      </c>
      <c r="AY282" s="698">
        <f t="shared" si="262"/>
        <v>47.763043545599992</v>
      </c>
      <c r="AZ282" s="75"/>
      <c r="BA282" s="650">
        <v>450</v>
      </c>
      <c r="BB282" s="620">
        <v>103.50685607036536</v>
      </c>
      <c r="BC282" s="720">
        <f>(BB297-BB298)/BB279</f>
        <v>1.1936407373440947</v>
      </c>
      <c r="BD282" s="714">
        <f>D282-BB295</f>
        <v>32.970000000000027</v>
      </c>
      <c r="BE282" s="693">
        <f>BB297-BB298</f>
        <v>123.54999999999998</v>
      </c>
      <c r="BF282" s="693">
        <f t="shared" si="263"/>
        <v>26.68555240793204</v>
      </c>
      <c r="BG282" s="668">
        <f t="shared" si="264"/>
        <v>31.852962452638483</v>
      </c>
      <c r="BH282" s="650">
        <v>450</v>
      </c>
      <c r="BI282" s="620">
        <v>103.50685607036536</v>
      </c>
      <c r="BJ282" s="720">
        <f>(BI297-BI298)/BI279</f>
        <v>1.4429962001595629</v>
      </c>
      <c r="BK282" s="714">
        <f>I282-BI295</f>
        <v>28.740000000000009</v>
      </c>
      <c r="BL282" s="693">
        <f>BI297-BI298</f>
        <v>149.35999999999999</v>
      </c>
      <c r="BM282" s="693">
        <f t="shared" si="265"/>
        <v>19.24209962506696</v>
      </c>
      <c r="BN282" s="668">
        <f t="shared" si="266"/>
        <v>27.766276642063371</v>
      </c>
      <c r="BO282" s="650">
        <v>450</v>
      </c>
      <c r="BP282" s="681">
        <v>103.50685607036536</v>
      </c>
      <c r="BQ282" s="720">
        <f>(BP297-BP298)/BP279</f>
        <v>0.9800316988764467</v>
      </c>
      <c r="BR282" s="714">
        <f t="shared" si="267"/>
        <v>33.310000000000059</v>
      </c>
      <c r="BS282" s="693">
        <f>BP297-BP298</f>
        <v>101.44000000000001</v>
      </c>
      <c r="BT282" s="693">
        <f t="shared" si="268"/>
        <v>32.837145110410148</v>
      </c>
      <c r="BU282" s="668">
        <f t="shared" si="269"/>
        <v>32.181443108807663</v>
      </c>
      <c r="BV282" s="650">
        <v>450</v>
      </c>
      <c r="BW282" s="620">
        <v>103.50685607036536</v>
      </c>
      <c r="BX282" s="720">
        <f>(BW297-BW298)/BW279</f>
        <v>1.0651468336073366</v>
      </c>
      <c r="BY282" s="714">
        <f>S282-BW295</f>
        <v>42.579999999999984</v>
      </c>
      <c r="BZ282" s="693">
        <f>BW297-BW298</f>
        <v>110.25</v>
      </c>
      <c r="CA282" s="693">
        <f t="shared" si="270"/>
        <v>38.621315192743751</v>
      </c>
      <c r="CB282" s="668">
        <f t="shared" si="271"/>
        <v>41.137371587301928</v>
      </c>
      <c r="CC282" s="560"/>
    </row>
    <row r="283" spans="1:81" ht="15.75">
      <c r="A283" s="5"/>
      <c r="B283" s="59" t="s">
        <v>116</v>
      </c>
      <c r="C283" s="154">
        <v>550</v>
      </c>
      <c r="D283" s="315">
        <v>443.22</v>
      </c>
      <c r="E283" s="185">
        <v>3.99</v>
      </c>
      <c r="F283" s="185">
        <v>3.46</v>
      </c>
      <c r="G283" s="303">
        <v>4.33</v>
      </c>
      <c r="H283" s="154">
        <v>550</v>
      </c>
      <c r="I283" s="315">
        <v>470.6</v>
      </c>
      <c r="J283" s="167">
        <v>2.75</v>
      </c>
      <c r="K283" s="262">
        <v>0.8</v>
      </c>
      <c r="L283" s="465">
        <v>0</v>
      </c>
      <c r="M283" s="154">
        <v>550</v>
      </c>
      <c r="N283" s="231">
        <v>420.09</v>
      </c>
      <c r="O283" s="426">
        <v>5.0599999999999996</v>
      </c>
      <c r="P283" s="426">
        <v>4.3</v>
      </c>
      <c r="Q283" s="426">
        <v>4.63</v>
      </c>
      <c r="R283" s="154">
        <v>550</v>
      </c>
      <c r="S283" s="231">
        <v>439.73</v>
      </c>
      <c r="T283" s="464">
        <v>2.06</v>
      </c>
      <c r="U283" s="464">
        <v>0.85</v>
      </c>
      <c r="V283" s="464">
        <v>1.0900000000000001</v>
      </c>
      <c r="W283" s="5"/>
      <c r="X283" s="650">
        <v>550</v>
      </c>
      <c r="Y283" s="651">
        <f t="shared" si="247"/>
        <v>0.39266666666666672</v>
      </c>
      <c r="Z283" s="620">
        <v>9.6440000000000001</v>
      </c>
      <c r="AA283" s="620">
        <v>4.5170000000000003</v>
      </c>
      <c r="AB283" s="620">
        <f t="shared" si="248"/>
        <v>4.7343333333333328</v>
      </c>
      <c r="AC283" s="620">
        <f t="shared" si="249"/>
        <v>33.841666666666669</v>
      </c>
      <c r="AD283" s="653">
        <f t="shared" si="250"/>
        <v>67.755277163291652</v>
      </c>
      <c r="AE283" s="650">
        <v>550</v>
      </c>
      <c r="AF283" s="620">
        <f t="shared" si="251"/>
        <v>0.11833333333333333</v>
      </c>
      <c r="AG283" s="620">
        <v>9.6440000000000001</v>
      </c>
      <c r="AH283" s="620">
        <v>4.5170000000000003</v>
      </c>
      <c r="AI283" s="620">
        <f t="shared" si="252"/>
        <v>5.0086666666666666</v>
      </c>
      <c r="AJ283" s="620">
        <f t="shared" si="253"/>
        <v>33.567333333333337</v>
      </c>
      <c r="AK283" s="653">
        <f t="shared" si="254"/>
        <v>71.10031444772666</v>
      </c>
      <c r="AL283" s="650">
        <v>550</v>
      </c>
      <c r="AM283" s="620">
        <f t="shared" si="255"/>
        <v>0.46633333333333332</v>
      </c>
      <c r="AN283" s="620">
        <v>9.6440000000000001</v>
      </c>
      <c r="AO283" s="620">
        <v>4.5170000000000003</v>
      </c>
      <c r="AP283" s="620">
        <f t="shared" si="256"/>
        <v>4.6606666666666667</v>
      </c>
      <c r="AQ283" s="620">
        <f t="shared" si="257"/>
        <v>33.915333333333336</v>
      </c>
      <c r="AR283" s="698">
        <f t="shared" si="258"/>
        <v>66.846193737326658</v>
      </c>
      <c r="AS283" s="650">
        <v>550</v>
      </c>
      <c r="AT283" s="620">
        <f t="shared" si="259"/>
        <v>0.13333333333333333</v>
      </c>
      <c r="AU283" s="620">
        <v>9.6440000000000001</v>
      </c>
      <c r="AV283" s="620">
        <v>4.5170000000000003</v>
      </c>
      <c r="AW283" s="620">
        <f t="shared" si="260"/>
        <v>4.993666666666666</v>
      </c>
      <c r="AX283" s="620">
        <f t="shared" si="261"/>
        <v>33.582333333333338</v>
      </c>
      <c r="AY283" s="698">
        <f t="shared" si="262"/>
        <v>70.919059536251652</v>
      </c>
      <c r="AZ283" s="75"/>
      <c r="BA283" s="650">
        <v>550</v>
      </c>
      <c r="BB283" s="620">
        <v>103.50685607036536</v>
      </c>
      <c r="BC283" s="720">
        <f>(BB297-BB298)/BB279</f>
        <v>1.1936407373440947</v>
      </c>
      <c r="BD283" s="714">
        <f>D283-BB295</f>
        <v>31.520000000000039</v>
      </c>
      <c r="BE283" s="693">
        <f>BB297-BB298</f>
        <v>123.54999999999998</v>
      </c>
      <c r="BF283" s="693">
        <f t="shared" si="263"/>
        <v>25.511938486442769</v>
      </c>
      <c r="BG283" s="668">
        <f t="shared" si="264"/>
        <v>30.452089066034734</v>
      </c>
      <c r="BH283" s="650">
        <v>550</v>
      </c>
      <c r="BI283" s="620">
        <v>103.50685607036536</v>
      </c>
      <c r="BJ283" s="720">
        <f>(BI297-BI298)/BI279</f>
        <v>1.4429962001595629</v>
      </c>
      <c r="BK283" s="714">
        <f>I283-BI295</f>
        <v>28.720000000000027</v>
      </c>
      <c r="BL283" s="693">
        <f>BI297-BI298</f>
        <v>149.35999999999999</v>
      </c>
      <c r="BM283" s="693">
        <f t="shared" si="265"/>
        <v>19.228709159078754</v>
      </c>
      <c r="BN283" s="668">
        <f t="shared" si="266"/>
        <v>27.746954250524027</v>
      </c>
      <c r="BO283" s="650">
        <v>550</v>
      </c>
      <c r="BP283" s="681">
        <v>103.50685607036536</v>
      </c>
      <c r="BQ283" s="720">
        <f>(BP297-BP298)/BP279</f>
        <v>0.9800316988764467</v>
      </c>
      <c r="BR283" s="714">
        <f t="shared" si="267"/>
        <v>32.180000000000007</v>
      </c>
      <c r="BS283" s="693">
        <f>BP297-BP298</f>
        <v>101.44000000000001</v>
      </c>
      <c r="BT283" s="693">
        <f t="shared" si="268"/>
        <v>31.723186119873819</v>
      </c>
      <c r="BU283" s="668">
        <f t="shared" si="269"/>
        <v>31.089727986833651</v>
      </c>
      <c r="BV283" s="650">
        <v>550</v>
      </c>
      <c r="BW283" s="620">
        <v>103.50685607036536</v>
      </c>
      <c r="BX283" s="720">
        <f>(BW297-BW298)/BW279</f>
        <v>1.0651468336073366</v>
      </c>
      <c r="BY283" s="714">
        <f>S283-BW295</f>
        <v>41.730000000000018</v>
      </c>
      <c r="BZ283" s="693">
        <f>BW297-BW298</f>
        <v>110.25</v>
      </c>
      <c r="CA283" s="693">
        <f t="shared" si="270"/>
        <v>37.850340136054442</v>
      </c>
      <c r="CB283" s="668">
        <f t="shared" si="271"/>
        <v>40.316169946879079</v>
      </c>
      <c r="CC283" s="560"/>
    </row>
    <row r="284" spans="1:81" ht="15.75">
      <c r="A284" s="5"/>
      <c r="B284" s="59" t="s">
        <v>116</v>
      </c>
      <c r="C284" s="154">
        <v>650</v>
      </c>
      <c r="D284" s="315">
        <v>442.28</v>
      </c>
      <c r="E284" s="185">
        <v>4.87</v>
      </c>
      <c r="F284" s="185">
        <v>4.76</v>
      </c>
      <c r="G284" s="303">
        <v>3.82</v>
      </c>
      <c r="H284" s="154">
        <v>650</v>
      </c>
      <c r="I284" s="315">
        <v>470.03</v>
      </c>
      <c r="J284" s="167">
        <v>0.89</v>
      </c>
      <c r="K284" s="262">
        <v>0.56000000000000005</v>
      </c>
      <c r="L284" s="465">
        <v>2.63</v>
      </c>
      <c r="M284" s="154">
        <v>650</v>
      </c>
      <c r="N284" s="231">
        <v>419.32</v>
      </c>
      <c r="O284" s="426">
        <v>5.4</v>
      </c>
      <c r="P284" s="426">
        <v>5.46</v>
      </c>
      <c r="Q284" s="426">
        <v>4.9400000000000004</v>
      </c>
      <c r="R284" s="154">
        <v>650</v>
      </c>
      <c r="S284" s="231">
        <v>438.78</v>
      </c>
      <c r="T284" s="464">
        <v>1.07</v>
      </c>
      <c r="U284" s="464">
        <v>2.4300000000000002</v>
      </c>
      <c r="V284" s="464">
        <v>1.27</v>
      </c>
      <c r="W284" s="5"/>
      <c r="X284" s="650">
        <v>650</v>
      </c>
      <c r="Y284" s="651">
        <f t="shared" si="247"/>
        <v>0.44833333333333336</v>
      </c>
      <c r="Z284" s="620">
        <v>9.6440000000000001</v>
      </c>
      <c r="AA284" s="620">
        <v>4.5170000000000003</v>
      </c>
      <c r="AB284" s="620">
        <f t="shared" si="248"/>
        <v>4.6786666666666665</v>
      </c>
      <c r="AC284" s="620">
        <f t="shared" si="249"/>
        <v>33.897333333333336</v>
      </c>
      <c r="AD284" s="653">
        <f t="shared" si="250"/>
        <v>93.674530179706665</v>
      </c>
      <c r="AE284" s="650">
        <v>650</v>
      </c>
      <c r="AF284" s="620">
        <f t="shared" si="251"/>
        <v>0.13600000000000001</v>
      </c>
      <c r="AG284" s="620">
        <v>9.6440000000000001</v>
      </c>
      <c r="AH284" s="620">
        <v>4.5170000000000003</v>
      </c>
      <c r="AI284" s="620">
        <f t="shared" si="252"/>
        <v>4.9909999999999997</v>
      </c>
      <c r="AJ284" s="620">
        <f t="shared" si="253"/>
        <v>33.585000000000008</v>
      </c>
      <c r="AK284" s="653">
        <f t="shared" si="254"/>
        <v>99.007206541425006</v>
      </c>
      <c r="AL284" s="650">
        <v>650</v>
      </c>
      <c r="AM284" s="620">
        <f t="shared" si="255"/>
        <v>0.52666666666666662</v>
      </c>
      <c r="AN284" s="620">
        <v>9.6440000000000001</v>
      </c>
      <c r="AO284" s="620">
        <v>4.5170000000000003</v>
      </c>
      <c r="AP284" s="620">
        <f t="shared" si="256"/>
        <v>4.6003333333333334</v>
      </c>
      <c r="AQ284" s="620">
        <f t="shared" si="257"/>
        <v>33.975666666666669</v>
      </c>
      <c r="AR284" s="698">
        <f t="shared" si="258"/>
        <v>92.319017316131649</v>
      </c>
      <c r="AS284" s="650">
        <v>650</v>
      </c>
      <c r="AT284" s="620">
        <f t="shared" si="259"/>
        <v>0.15899999999999997</v>
      </c>
      <c r="AU284" s="620">
        <v>9.6440000000000001</v>
      </c>
      <c r="AV284" s="620">
        <v>4.5170000000000003</v>
      </c>
      <c r="AW284" s="620">
        <f t="shared" si="260"/>
        <v>4.968</v>
      </c>
      <c r="AX284" s="620">
        <f t="shared" si="261"/>
        <v>33.608000000000004</v>
      </c>
      <c r="AY284" s="698">
        <f t="shared" si="262"/>
        <v>98.618442736320006</v>
      </c>
      <c r="AZ284" s="75"/>
      <c r="BA284" s="650">
        <v>650</v>
      </c>
      <c r="BB284" s="620">
        <v>103.50685607036536</v>
      </c>
      <c r="BC284" s="720">
        <f>(BB297-BB298)/BB279</f>
        <v>1.1936407373440947</v>
      </c>
      <c r="BD284" s="714">
        <f>D284-BB295</f>
        <v>30.579999999999984</v>
      </c>
      <c r="BE284" s="693">
        <f>BB297-BB298</f>
        <v>123.54999999999998</v>
      </c>
      <c r="BF284" s="693">
        <f t="shared" si="263"/>
        <v>24.751112909753125</v>
      </c>
      <c r="BG284" s="668">
        <f t="shared" si="264"/>
        <v>29.543936663684661</v>
      </c>
      <c r="BH284" s="650">
        <v>650</v>
      </c>
      <c r="BI284" s="620">
        <v>103.50685607036536</v>
      </c>
      <c r="BJ284" s="720">
        <f>(BI297-BI298)/BI279</f>
        <v>1.4429962001595629</v>
      </c>
      <c r="BK284" s="714">
        <f>I284-BI295</f>
        <v>28.149999999999977</v>
      </c>
      <c r="BL284" s="693">
        <f>BI297-BI298</f>
        <v>149.35999999999999</v>
      </c>
      <c r="BM284" s="693">
        <f t="shared" si="265"/>
        <v>18.847080878414555</v>
      </c>
      <c r="BN284" s="668">
        <f t="shared" si="266"/>
        <v>27.196266091652159</v>
      </c>
      <c r="BO284" s="650">
        <v>650</v>
      </c>
      <c r="BP284" s="681">
        <v>103.50685607036536</v>
      </c>
      <c r="BQ284" s="720">
        <f>(BP297-BP298)/BP279</f>
        <v>0.9800316988764467</v>
      </c>
      <c r="BR284" s="714">
        <f t="shared" si="267"/>
        <v>31.410000000000025</v>
      </c>
      <c r="BS284" s="693">
        <f>BP297-BP298</f>
        <v>101.44000000000001</v>
      </c>
      <c r="BT284" s="693">
        <f t="shared" si="268"/>
        <v>30.964116719242924</v>
      </c>
      <c r="BU284" s="668">
        <f t="shared" si="269"/>
        <v>30.345815912568231</v>
      </c>
      <c r="BV284" s="650">
        <v>650</v>
      </c>
      <c r="BW284" s="620">
        <v>103.50685607036536</v>
      </c>
      <c r="BX284" s="720">
        <f>(BW297-BW298)/BW279</f>
        <v>1.0651468336073366</v>
      </c>
      <c r="BY284" s="714">
        <f>S284-BW295</f>
        <v>40.779999999999973</v>
      </c>
      <c r="BZ284" s="693">
        <f>BW297-BW298</f>
        <v>110.25</v>
      </c>
      <c r="CA284" s="693">
        <f t="shared" si="270"/>
        <v>36.988662131519249</v>
      </c>
      <c r="CB284" s="668">
        <f t="shared" si="271"/>
        <v>39.398356348759329</v>
      </c>
      <c r="CC284" s="560"/>
    </row>
    <row r="285" spans="1:81" ht="15.75">
      <c r="A285" s="5"/>
      <c r="B285" s="59" t="s">
        <v>116</v>
      </c>
      <c r="C285" s="154">
        <v>750</v>
      </c>
      <c r="D285" s="315">
        <v>441.46</v>
      </c>
      <c r="E285" s="185">
        <v>5.07</v>
      </c>
      <c r="F285" s="185">
        <v>4.2</v>
      </c>
      <c r="G285" s="303">
        <v>5.29</v>
      </c>
      <c r="H285" s="154">
        <v>750</v>
      </c>
      <c r="I285" s="315">
        <v>469.63</v>
      </c>
      <c r="J285" s="167">
        <v>3.42</v>
      </c>
      <c r="K285" s="262">
        <v>1.73</v>
      </c>
      <c r="L285" s="465">
        <v>1.04</v>
      </c>
      <c r="M285" s="154">
        <v>750</v>
      </c>
      <c r="N285" s="231">
        <v>418.69</v>
      </c>
      <c r="O285" s="426">
        <v>6.45</v>
      </c>
      <c r="P285" s="426">
        <v>5.51</v>
      </c>
      <c r="Q285" s="426">
        <v>6.28</v>
      </c>
      <c r="R285" s="154">
        <v>750</v>
      </c>
      <c r="S285" s="231">
        <v>438.09</v>
      </c>
      <c r="T285" s="464">
        <v>1.66</v>
      </c>
      <c r="U285" s="464">
        <v>1.4</v>
      </c>
      <c r="V285" s="464">
        <v>3.34</v>
      </c>
      <c r="W285" s="5"/>
      <c r="X285" s="650">
        <v>750</v>
      </c>
      <c r="Y285" s="651">
        <f t="shared" si="247"/>
        <v>0.48533333333333328</v>
      </c>
      <c r="Z285" s="620">
        <v>9.6440000000000001</v>
      </c>
      <c r="AA285" s="620">
        <v>4.5170000000000003</v>
      </c>
      <c r="AB285" s="620">
        <f t="shared" si="248"/>
        <v>4.6416666666666666</v>
      </c>
      <c r="AC285" s="620">
        <f t="shared" si="249"/>
        <v>33.934333333333342</v>
      </c>
      <c r="AD285" s="653">
        <f t="shared" si="250"/>
        <v>123.86339196562503</v>
      </c>
      <c r="AE285" s="650">
        <v>750</v>
      </c>
      <c r="AF285" s="620">
        <f t="shared" si="251"/>
        <v>0.20633333333333334</v>
      </c>
      <c r="AG285" s="620">
        <v>9.6440000000000001</v>
      </c>
      <c r="AH285" s="620">
        <v>4.5170000000000003</v>
      </c>
      <c r="AI285" s="620">
        <f t="shared" si="252"/>
        <v>4.9206666666666665</v>
      </c>
      <c r="AJ285" s="620">
        <f t="shared" si="253"/>
        <v>33.655333333333338</v>
      </c>
      <c r="AK285" s="653">
        <f t="shared" si="254"/>
        <v>130.22895053850002</v>
      </c>
      <c r="AL285" s="650">
        <v>750</v>
      </c>
      <c r="AM285" s="620">
        <f t="shared" si="255"/>
        <v>0.6080000000000001</v>
      </c>
      <c r="AN285" s="620">
        <v>9.6440000000000001</v>
      </c>
      <c r="AO285" s="620">
        <v>4.5170000000000003</v>
      </c>
      <c r="AP285" s="620">
        <f t="shared" si="256"/>
        <v>4.5190000000000001</v>
      </c>
      <c r="AQ285" s="620">
        <f t="shared" si="257"/>
        <v>34.057000000000002</v>
      </c>
      <c r="AR285" s="698">
        <f t="shared" si="258"/>
        <v>121.02593008162501</v>
      </c>
      <c r="AS285" s="650">
        <v>750</v>
      </c>
      <c r="AT285" s="620">
        <f t="shared" si="259"/>
        <v>0.21333333333333332</v>
      </c>
      <c r="AU285" s="620">
        <v>9.6440000000000001</v>
      </c>
      <c r="AV285" s="620">
        <v>4.5170000000000003</v>
      </c>
      <c r="AW285" s="620">
        <f t="shared" si="260"/>
        <v>4.9136666666666668</v>
      </c>
      <c r="AX285" s="620">
        <f t="shared" si="261"/>
        <v>33.662333333333336</v>
      </c>
      <c r="AY285" s="698">
        <f t="shared" si="262"/>
        <v>130.070738441625</v>
      </c>
      <c r="AZ285" s="75"/>
      <c r="BA285" s="650">
        <v>750</v>
      </c>
      <c r="BB285" s="620">
        <v>103.50685607036536</v>
      </c>
      <c r="BC285" s="720">
        <f>(BB297-BB298)/BB279</f>
        <v>1.1936407373440947</v>
      </c>
      <c r="BD285" s="714">
        <f>D285-BB295</f>
        <v>29.759999999999991</v>
      </c>
      <c r="BE285" s="693">
        <f>BB297-BB298</f>
        <v>123.54999999999998</v>
      </c>
      <c r="BF285" s="693">
        <f t="shared" si="263"/>
        <v>24.087414002428162</v>
      </c>
      <c r="BG285" s="668">
        <f t="shared" si="264"/>
        <v>28.751718610570823</v>
      </c>
      <c r="BH285" s="650">
        <v>750</v>
      </c>
      <c r="BI285" s="620">
        <v>103.50685607036536</v>
      </c>
      <c r="BJ285" s="720">
        <f>(BI297-BI298)/BI279</f>
        <v>1.4429962001595629</v>
      </c>
      <c r="BK285" s="714">
        <f>I285-BI295</f>
        <v>27.75</v>
      </c>
      <c r="BL285" s="693">
        <f>BI297-BI298</f>
        <v>149.35999999999999</v>
      </c>
      <c r="BM285" s="693">
        <f t="shared" si="265"/>
        <v>18.579271558650241</v>
      </c>
      <c r="BN285" s="668">
        <f t="shared" si="266"/>
        <v>26.809818260864937</v>
      </c>
      <c r="BO285" s="650">
        <v>750</v>
      </c>
      <c r="BP285" s="681">
        <v>103.50685607036536</v>
      </c>
      <c r="BQ285" s="720">
        <f>(BP297-BP298)/BP279</f>
        <v>0.9800316988764467</v>
      </c>
      <c r="BR285" s="714">
        <f t="shared" si="267"/>
        <v>30.78000000000003</v>
      </c>
      <c r="BS285" s="693">
        <f>BP297-BP298</f>
        <v>101.44000000000001</v>
      </c>
      <c r="BT285" s="693">
        <f t="shared" si="268"/>
        <v>30.343059936908546</v>
      </c>
      <c r="BU285" s="668">
        <f t="shared" si="269"/>
        <v>29.737160579078331</v>
      </c>
      <c r="BV285" s="650">
        <v>750</v>
      </c>
      <c r="BW285" s="620">
        <v>103.50685607036536</v>
      </c>
      <c r="BX285" s="720">
        <f>(BW297-BW298)/BW279</f>
        <v>1.0651468336073366</v>
      </c>
      <c r="BY285" s="714">
        <f>S285-BW295</f>
        <v>40.089999999999975</v>
      </c>
      <c r="BZ285" s="693">
        <f>BW297-BW298</f>
        <v>110.25</v>
      </c>
      <c r="CA285" s="693">
        <f t="shared" si="270"/>
        <v>36.362811791383201</v>
      </c>
      <c r="CB285" s="668">
        <f t="shared" si="271"/>
        <v>38.731733840651344</v>
      </c>
      <c r="CC285" s="560"/>
    </row>
    <row r="286" spans="1:81" ht="15.75">
      <c r="A286" s="5"/>
      <c r="B286" s="59" t="s">
        <v>116</v>
      </c>
      <c r="C286" s="154">
        <v>850</v>
      </c>
      <c r="D286" s="315">
        <v>440.39</v>
      </c>
      <c r="E286" s="185">
        <v>5.23</v>
      </c>
      <c r="F286" s="185">
        <v>4.79</v>
      </c>
      <c r="G286" s="303">
        <v>5.88</v>
      </c>
      <c r="H286" s="154">
        <v>850</v>
      </c>
      <c r="I286" s="315">
        <v>469.07</v>
      </c>
      <c r="J286" s="167">
        <v>1.75</v>
      </c>
      <c r="K286" s="262">
        <v>0.95</v>
      </c>
      <c r="L286" s="465">
        <v>3.7</v>
      </c>
      <c r="M286" s="154">
        <v>850</v>
      </c>
      <c r="N286" s="231">
        <v>418.06</v>
      </c>
      <c r="O286" s="426">
        <v>6.62</v>
      </c>
      <c r="P286" s="426">
        <v>6.06</v>
      </c>
      <c r="Q286" s="426">
        <v>6.6</v>
      </c>
      <c r="R286" s="154">
        <v>850</v>
      </c>
      <c r="S286" s="231">
        <v>437.42</v>
      </c>
      <c r="T286" s="464">
        <v>2.0499999999999998</v>
      </c>
      <c r="U286" s="464">
        <v>3.27</v>
      </c>
      <c r="V286" s="464">
        <v>1.7</v>
      </c>
      <c r="W286" s="5"/>
      <c r="X286" s="650">
        <v>850</v>
      </c>
      <c r="Y286" s="651">
        <f t="shared" si="247"/>
        <v>0.53</v>
      </c>
      <c r="Z286" s="620">
        <v>9.6440000000000001</v>
      </c>
      <c r="AA286" s="620">
        <v>4.5170000000000003</v>
      </c>
      <c r="AB286" s="620">
        <f t="shared" si="248"/>
        <v>4.5969999999999995</v>
      </c>
      <c r="AC286" s="620">
        <f t="shared" si="249"/>
        <v>33.979000000000006</v>
      </c>
      <c r="AD286" s="653">
        <f t="shared" si="250"/>
        <v>157.77206871046502</v>
      </c>
      <c r="AE286" s="650">
        <v>850</v>
      </c>
      <c r="AF286" s="620">
        <f t="shared" si="251"/>
        <v>0.21333333333333332</v>
      </c>
      <c r="AG286" s="620">
        <v>9.6440000000000001</v>
      </c>
      <c r="AH286" s="620">
        <v>4.5170000000000003</v>
      </c>
      <c r="AI286" s="620">
        <f t="shared" si="252"/>
        <v>4.9136666666666668</v>
      </c>
      <c r="AJ286" s="620">
        <f t="shared" si="253"/>
        <v>33.662333333333336</v>
      </c>
      <c r="AK286" s="653">
        <f t="shared" si="254"/>
        <v>167.06863737613168</v>
      </c>
      <c r="AL286" s="650">
        <v>850</v>
      </c>
      <c r="AM286" s="620">
        <f t="shared" si="255"/>
        <v>0.64266666666666672</v>
      </c>
      <c r="AN286" s="620">
        <v>9.6440000000000001</v>
      </c>
      <c r="AO286" s="620">
        <v>4.5170000000000003</v>
      </c>
      <c r="AP286" s="620">
        <f t="shared" si="256"/>
        <v>4.4843333333333328</v>
      </c>
      <c r="AQ286" s="620">
        <f t="shared" si="257"/>
        <v>34.091666666666669</v>
      </c>
      <c r="AR286" s="698">
        <f t="shared" si="258"/>
        <v>154.41558950629164</v>
      </c>
      <c r="AS286" s="650">
        <v>850</v>
      </c>
      <c r="AT286" s="620">
        <f t="shared" si="259"/>
        <v>0.23400000000000004</v>
      </c>
      <c r="AU286" s="620">
        <v>9.6440000000000001</v>
      </c>
      <c r="AV286" s="620">
        <v>4.5170000000000003</v>
      </c>
      <c r="AW286" s="620">
        <f t="shared" si="260"/>
        <v>4.8929999999999998</v>
      </c>
      <c r="AX286" s="620">
        <f t="shared" si="261"/>
        <v>33.683000000000007</v>
      </c>
      <c r="AY286" s="698">
        <f t="shared" si="262"/>
        <v>166.468092790545</v>
      </c>
      <c r="AZ286" s="75"/>
      <c r="BA286" s="650">
        <v>850</v>
      </c>
      <c r="BB286" s="620">
        <v>103.50685607036536</v>
      </c>
      <c r="BC286" s="720">
        <f>(BB297-BB298)/BB279</f>
        <v>1.1936407373440947</v>
      </c>
      <c r="BD286" s="714">
        <f>D286-BB295</f>
        <v>28.689999999999998</v>
      </c>
      <c r="BE286" s="693">
        <f>BB297-BB298</f>
        <v>123.54999999999998</v>
      </c>
      <c r="BF286" s="693">
        <f t="shared" si="263"/>
        <v>23.22136786726022</v>
      </c>
      <c r="BG286" s="668">
        <f t="shared" si="264"/>
        <v>27.717970663214956</v>
      </c>
      <c r="BH286" s="650">
        <v>850</v>
      </c>
      <c r="BI286" s="620">
        <v>103.50685607036536</v>
      </c>
      <c r="BJ286" s="720">
        <f>(BI297-BI298)/BI279</f>
        <v>1.4429962001595629</v>
      </c>
      <c r="BK286" s="714">
        <f>I286-BI295</f>
        <v>27.189999999999998</v>
      </c>
      <c r="BL286" s="693">
        <f>BI297-BI298</f>
        <v>149.35999999999999</v>
      </c>
      <c r="BM286" s="693">
        <f t="shared" si="265"/>
        <v>18.204338510980183</v>
      </c>
      <c r="BN286" s="668">
        <f t="shared" si="266"/>
        <v>26.2687912977628</v>
      </c>
      <c r="BO286" s="650">
        <v>850</v>
      </c>
      <c r="BP286" s="681">
        <v>103.50685607036536</v>
      </c>
      <c r="BQ286" s="720">
        <f>(BP297-BP298)/BP279</f>
        <v>0.9800316988764467</v>
      </c>
      <c r="BR286" s="714">
        <f t="shared" si="267"/>
        <v>30.150000000000034</v>
      </c>
      <c r="BS286" s="693">
        <f>BP297-BP298</f>
        <v>101.44000000000001</v>
      </c>
      <c r="BT286" s="693">
        <f t="shared" si="268"/>
        <v>29.722003154574161</v>
      </c>
      <c r="BU286" s="668">
        <f t="shared" si="269"/>
        <v>29.128505245588421</v>
      </c>
      <c r="BV286" s="650">
        <v>850</v>
      </c>
      <c r="BW286" s="620">
        <v>103.50685607036536</v>
      </c>
      <c r="BX286" s="720">
        <f>(BW297-BW298)/BW279</f>
        <v>1.0651468336073366</v>
      </c>
      <c r="BY286" s="714">
        <f>S286-BW295</f>
        <v>39.420000000000016</v>
      </c>
      <c r="BZ286" s="693">
        <f>BW297-BW298</f>
        <v>110.25</v>
      </c>
      <c r="CA286" s="693">
        <f t="shared" si="270"/>
        <v>35.75510204081634</v>
      </c>
      <c r="CB286" s="668">
        <f t="shared" si="271"/>
        <v>38.084433724082743</v>
      </c>
      <c r="CC286" s="560"/>
    </row>
    <row r="287" spans="1:81" ht="15.75">
      <c r="A287" s="5"/>
      <c r="B287" s="59" t="s">
        <v>116</v>
      </c>
      <c r="C287" s="154">
        <v>950</v>
      </c>
      <c r="D287" s="315">
        <v>439.84</v>
      </c>
      <c r="E287" s="185">
        <v>5.94</v>
      </c>
      <c r="F287" s="185">
        <v>4.68</v>
      </c>
      <c r="G287" s="303">
        <v>6.12</v>
      </c>
      <c r="H287" s="154">
        <v>950</v>
      </c>
      <c r="I287" s="315">
        <v>468.61</v>
      </c>
      <c r="J287" s="167">
        <v>1.77</v>
      </c>
      <c r="K287" s="262">
        <v>3.88</v>
      </c>
      <c r="L287" s="465">
        <v>1.3</v>
      </c>
      <c r="M287" s="154">
        <v>950</v>
      </c>
      <c r="N287" s="231">
        <v>417.36</v>
      </c>
      <c r="O287" s="426">
        <v>7.2</v>
      </c>
      <c r="P287" s="426">
        <v>7.51</v>
      </c>
      <c r="Q287" s="426">
        <v>7.7</v>
      </c>
      <c r="R287" s="154">
        <v>950</v>
      </c>
      <c r="S287" s="231">
        <v>436.83</v>
      </c>
      <c r="T287" s="464">
        <v>2.46</v>
      </c>
      <c r="U287" s="464">
        <v>3.52</v>
      </c>
      <c r="V287" s="464">
        <v>2.54</v>
      </c>
      <c r="W287" s="5"/>
      <c r="X287" s="650">
        <v>950</v>
      </c>
      <c r="Y287" s="651">
        <f t="shared" si="247"/>
        <v>0.55800000000000005</v>
      </c>
      <c r="Z287" s="620">
        <v>9.6440000000000001</v>
      </c>
      <c r="AA287" s="620">
        <v>4.5170000000000003</v>
      </c>
      <c r="AB287" s="620">
        <f t="shared" si="248"/>
        <v>4.569</v>
      </c>
      <c r="AC287" s="620">
        <f t="shared" si="249"/>
        <v>34.007000000000005</v>
      </c>
      <c r="AD287" s="653">
        <f t="shared" si="250"/>
        <v>196.039624261185</v>
      </c>
      <c r="AE287" s="650">
        <v>950</v>
      </c>
      <c r="AF287" s="620">
        <f t="shared" si="251"/>
        <v>0.23166666666666669</v>
      </c>
      <c r="AG287" s="620">
        <v>9.6440000000000001</v>
      </c>
      <c r="AH287" s="620">
        <v>4.5170000000000003</v>
      </c>
      <c r="AI287" s="620">
        <f t="shared" si="252"/>
        <v>4.8953333333333333</v>
      </c>
      <c r="AJ287" s="620">
        <f t="shared" si="253"/>
        <v>33.680666666666674</v>
      </c>
      <c r="AK287" s="653">
        <f t="shared" si="254"/>
        <v>208.02586204292669</v>
      </c>
      <c r="AL287" s="650">
        <v>950</v>
      </c>
      <c r="AM287" s="620">
        <f t="shared" si="255"/>
        <v>0.747</v>
      </c>
      <c r="AN287" s="620">
        <v>9.6440000000000001</v>
      </c>
      <c r="AO287" s="620">
        <v>4.5170000000000003</v>
      </c>
      <c r="AP287" s="620">
        <f t="shared" si="256"/>
        <v>4.38</v>
      </c>
      <c r="AQ287" s="620">
        <f t="shared" si="257"/>
        <v>34.196000000000005</v>
      </c>
      <c r="AR287" s="698">
        <f t="shared" si="258"/>
        <v>188.97475932359998</v>
      </c>
      <c r="AS287" s="650">
        <v>950</v>
      </c>
      <c r="AT287" s="620">
        <f t="shared" si="259"/>
        <v>0.28399999999999997</v>
      </c>
      <c r="AU287" s="620">
        <v>9.6440000000000001</v>
      </c>
      <c r="AV287" s="620">
        <v>4.5170000000000003</v>
      </c>
      <c r="AW287" s="620">
        <f t="shared" si="260"/>
        <v>4.843</v>
      </c>
      <c r="AX287" s="620">
        <f t="shared" si="261"/>
        <v>33.733000000000004</v>
      </c>
      <c r="AY287" s="698">
        <f t="shared" si="262"/>
        <v>206.12174825770498</v>
      </c>
      <c r="AZ287" s="75"/>
      <c r="BA287" s="650">
        <v>950</v>
      </c>
      <c r="BB287" s="620">
        <v>103.50685607036536</v>
      </c>
      <c r="BC287" s="720">
        <f>(BB297-BB298)/BB279</f>
        <v>1.1936407373440947</v>
      </c>
      <c r="BD287" s="714">
        <f>D287-BB295</f>
        <v>28.139999999999986</v>
      </c>
      <c r="BE287" s="693">
        <f>BB297-BB298</f>
        <v>123.54999999999998</v>
      </c>
      <c r="BF287" s="693">
        <f t="shared" si="263"/>
        <v>22.776203966005657</v>
      </c>
      <c r="BG287" s="668">
        <f t="shared" si="264"/>
        <v>27.186604895882486</v>
      </c>
      <c r="BH287" s="650">
        <v>950</v>
      </c>
      <c r="BI287" s="620">
        <v>103.50685607036536</v>
      </c>
      <c r="BJ287" s="720">
        <f>(BI297-BI298)/BI279</f>
        <v>1.4429962001595629</v>
      </c>
      <c r="BK287" s="714">
        <f>I287-BI295</f>
        <v>26.730000000000018</v>
      </c>
      <c r="BL287" s="693">
        <f>BI297-BI298</f>
        <v>149.35999999999999</v>
      </c>
      <c r="BM287" s="693">
        <f t="shared" si="265"/>
        <v>17.896357793251219</v>
      </c>
      <c r="BN287" s="668">
        <f t="shared" si="266"/>
        <v>25.824376292357488</v>
      </c>
      <c r="BO287" s="650">
        <v>950</v>
      </c>
      <c r="BP287" s="681">
        <v>103.50685607036536</v>
      </c>
      <c r="BQ287" s="720">
        <f>(BP297-BP298)/BP279</f>
        <v>0.9800316988764467</v>
      </c>
      <c r="BR287" s="714">
        <f t="shared" si="267"/>
        <v>29.450000000000045</v>
      </c>
      <c r="BS287" s="693">
        <f>BP297-BP298</f>
        <v>101.44000000000001</v>
      </c>
      <c r="BT287" s="693">
        <f t="shared" si="268"/>
        <v>29.031940063091522</v>
      </c>
      <c r="BU287" s="668">
        <f t="shared" si="269"/>
        <v>28.45222154171076</v>
      </c>
      <c r="BV287" s="650">
        <v>950</v>
      </c>
      <c r="BW287" s="620">
        <v>103.50685607036536</v>
      </c>
      <c r="BX287" s="720">
        <f>(BW297-BW298)/BW279</f>
        <v>1.0651468336073366</v>
      </c>
      <c r="BY287" s="714">
        <f>S287-BW295</f>
        <v>38.829999999999984</v>
      </c>
      <c r="BZ287" s="693">
        <f>BW297-BW298</f>
        <v>110.25</v>
      </c>
      <c r="CA287" s="693">
        <f t="shared" si="270"/>
        <v>35.219954648526063</v>
      </c>
      <c r="CB287" s="668">
        <f t="shared" si="271"/>
        <v>37.514423173671531</v>
      </c>
      <c r="CC287" s="560"/>
    </row>
    <row r="288" spans="1:81" ht="15.75">
      <c r="A288" s="5"/>
      <c r="B288" s="59" t="s">
        <v>116</v>
      </c>
      <c r="C288" s="154">
        <v>1000</v>
      </c>
      <c r="D288" s="315">
        <v>439.38</v>
      </c>
      <c r="E288" s="185">
        <v>5.92</v>
      </c>
      <c r="F288" s="185">
        <v>5.24</v>
      </c>
      <c r="G288" s="303">
        <v>6.49</v>
      </c>
      <c r="H288" s="154">
        <v>1000</v>
      </c>
      <c r="I288" s="315">
        <v>468.14</v>
      </c>
      <c r="J288" s="426">
        <v>4.03</v>
      </c>
      <c r="K288" s="464">
        <v>2.33</v>
      </c>
      <c r="L288" s="465">
        <v>1.49</v>
      </c>
      <c r="M288" s="154">
        <v>1000</v>
      </c>
      <c r="N288" s="231">
        <v>416.95</v>
      </c>
      <c r="O288" s="426">
        <v>6.99</v>
      </c>
      <c r="P288" s="426">
        <v>7.54</v>
      </c>
      <c r="Q288" s="426">
        <v>7.68</v>
      </c>
      <c r="R288" s="154">
        <v>1000</v>
      </c>
      <c r="S288" s="231">
        <v>436.3</v>
      </c>
      <c r="T288" s="464">
        <v>3.82</v>
      </c>
      <c r="U288" s="464">
        <v>2.78</v>
      </c>
      <c r="V288" s="464">
        <v>2.23</v>
      </c>
      <c r="W288" s="5"/>
      <c r="X288" s="650">
        <v>1000</v>
      </c>
      <c r="Y288" s="651">
        <f t="shared" si="247"/>
        <v>0.58833333333333326</v>
      </c>
      <c r="Z288" s="620">
        <v>9.6440000000000001</v>
      </c>
      <c r="AA288" s="620">
        <v>4.5170000000000003</v>
      </c>
      <c r="AB288" s="620">
        <f t="shared" si="248"/>
        <v>4.5386666666666668</v>
      </c>
      <c r="AC288" s="620">
        <f t="shared" si="249"/>
        <v>34.037333333333336</v>
      </c>
      <c r="AD288" s="653">
        <f t="shared" si="250"/>
        <v>215.96878609066664</v>
      </c>
      <c r="AE288" s="650">
        <v>1000</v>
      </c>
      <c r="AF288" s="620">
        <f t="shared" si="251"/>
        <v>0.26166666666666666</v>
      </c>
      <c r="AG288" s="620">
        <v>9.6440000000000001</v>
      </c>
      <c r="AH288" s="620">
        <v>4.5170000000000003</v>
      </c>
      <c r="AI288" s="620">
        <f t="shared" si="252"/>
        <v>4.8653333333333331</v>
      </c>
      <c r="AJ288" s="620">
        <f t="shared" si="253"/>
        <v>33.710666666666668</v>
      </c>
      <c r="AK288" s="653">
        <f t="shared" si="254"/>
        <v>229.29105505066661</v>
      </c>
      <c r="AL288" s="650">
        <v>1000</v>
      </c>
      <c r="AM288" s="620">
        <f t="shared" si="255"/>
        <v>0.74033333333333329</v>
      </c>
      <c r="AN288" s="620">
        <v>9.6440000000000001</v>
      </c>
      <c r="AO288" s="620">
        <v>4.5170000000000003</v>
      </c>
      <c r="AP288" s="620">
        <f t="shared" si="256"/>
        <v>4.3866666666666667</v>
      </c>
      <c r="AQ288" s="620">
        <f t="shared" si="257"/>
        <v>34.189333333333337</v>
      </c>
      <c r="AR288" s="698">
        <f t="shared" si="258"/>
        <v>209.66813802666667</v>
      </c>
      <c r="AS288" s="650">
        <v>1000</v>
      </c>
      <c r="AT288" s="620">
        <f t="shared" si="259"/>
        <v>0.29433333333333334</v>
      </c>
      <c r="AU288" s="620">
        <v>9.6440000000000001</v>
      </c>
      <c r="AV288" s="620">
        <v>4.5170000000000003</v>
      </c>
      <c r="AW288" s="620">
        <f t="shared" si="260"/>
        <v>4.8326666666666664</v>
      </c>
      <c r="AX288" s="620">
        <f t="shared" si="261"/>
        <v>33.743333333333339</v>
      </c>
      <c r="AY288" s="698">
        <f t="shared" si="262"/>
        <v>227.97225454666665</v>
      </c>
      <c r="AZ288" s="75"/>
      <c r="BA288" s="650">
        <v>1000</v>
      </c>
      <c r="BB288" s="620">
        <v>103.50685607036536</v>
      </c>
      <c r="BC288" s="720">
        <f>(BB297-BB298)/BB279</f>
        <v>1.1936407373440947</v>
      </c>
      <c r="BD288" s="714">
        <f>D288-BB295</f>
        <v>27.680000000000007</v>
      </c>
      <c r="BE288" s="693">
        <f>BB297-BB298</f>
        <v>123.54999999999998</v>
      </c>
      <c r="BF288" s="693">
        <f t="shared" si="263"/>
        <v>22.403885066774592</v>
      </c>
      <c r="BG288" s="668">
        <f t="shared" si="264"/>
        <v>26.742189890477178</v>
      </c>
      <c r="BH288" s="650">
        <v>1000</v>
      </c>
      <c r="BI288" s="620">
        <v>103.50685607036536</v>
      </c>
      <c r="BJ288" s="720">
        <f>(BI297-BI298)/BI279</f>
        <v>1.4429962001595629</v>
      </c>
      <c r="BK288" s="714">
        <f>I288-BI295</f>
        <v>26.259999999999991</v>
      </c>
      <c r="BL288" s="693">
        <f>BI297-BI298</f>
        <v>149.35999999999999</v>
      </c>
      <c r="BM288" s="693">
        <f t="shared" si="265"/>
        <v>17.581681842528116</v>
      </c>
      <c r="BN288" s="668">
        <f t="shared" si="266"/>
        <v>25.370300091182454</v>
      </c>
      <c r="BO288" s="650">
        <v>1000</v>
      </c>
      <c r="BP288" s="681">
        <v>103.50685607036536</v>
      </c>
      <c r="BQ288" s="720">
        <f>(BP297-BP298)/BP279</f>
        <v>0.9800316988764467</v>
      </c>
      <c r="BR288" s="714">
        <f t="shared" si="267"/>
        <v>29.04000000000002</v>
      </c>
      <c r="BS288" s="693">
        <f>BP297-BP298</f>
        <v>101.44000000000001</v>
      </c>
      <c r="BT288" s="693">
        <f t="shared" si="268"/>
        <v>28.627760252365945</v>
      </c>
      <c r="BU288" s="668">
        <f t="shared" si="269"/>
        <v>28.056112515153814</v>
      </c>
      <c r="BV288" s="650">
        <v>1000</v>
      </c>
      <c r="BW288" s="620">
        <v>103.50685607036536</v>
      </c>
      <c r="BX288" s="720">
        <f>(BW297-BW298)/BW279</f>
        <v>1.0651468336073366</v>
      </c>
      <c r="BY288" s="714">
        <f>S288-BW295</f>
        <v>38.300000000000011</v>
      </c>
      <c r="BZ288" s="693">
        <f>BW297-BW298</f>
        <v>110.25</v>
      </c>
      <c r="CA288" s="693">
        <f t="shared" si="270"/>
        <v>34.73922902494332</v>
      </c>
      <c r="CB288" s="668">
        <f t="shared" si="271"/>
        <v>37.002379797878461</v>
      </c>
      <c r="CC288" s="560"/>
    </row>
    <row r="289" spans="1:81" ht="15.75">
      <c r="A289" s="5"/>
      <c r="B289" s="59" t="s">
        <v>116</v>
      </c>
      <c r="C289" s="154">
        <v>1350</v>
      </c>
      <c r="D289" s="315">
        <v>438.18</v>
      </c>
      <c r="E289" s="185">
        <v>7.08</v>
      </c>
      <c r="F289" s="185">
        <v>6.89</v>
      </c>
      <c r="G289" s="303">
        <v>6.14</v>
      </c>
      <c r="H289" s="154">
        <v>1350</v>
      </c>
      <c r="I289" s="315">
        <v>467.3</v>
      </c>
      <c r="J289" s="426">
        <v>2.59</v>
      </c>
      <c r="K289" s="464">
        <v>2.0099999999999998</v>
      </c>
      <c r="L289" s="465">
        <v>4.6100000000000003</v>
      </c>
      <c r="M289" s="154">
        <v>1350</v>
      </c>
      <c r="N289" s="231">
        <v>416</v>
      </c>
      <c r="O289" s="426">
        <v>8.9600000000000009</v>
      </c>
      <c r="P289" s="426">
        <v>7.84</v>
      </c>
      <c r="Q289" s="426">
        <v>9.17</v>
      </c>
      <c r="R289" s="154">
        <v>1350</v>
      </c>
      <c r="S289" s="231">
        <v>435.28</v>
      </c>
      <c r="T289" s="464">
        <v>4.25</v>
      </c>
      <c r="U289" s="464">
        <v>2.97</v>
      </c>
      <c r="V289" s="464">
        <v>2.5499999999999998</v>
      </c>
      <c r="W289" s="5"/>
      <c r="X289" s="650">
        <v>1350</v>
      </c>
      <c r="Y289" s="651">
        <f t="shared" si="247"/>
        <v>0.67033333333333334</v>
      </c>
      <c r="Z289" s="620">
        <v>9.6440000000000001</v>
      </c>
      <c r="AA289" s="620">
        <v>4.5170000000000003</v>
      </c>
      <c r="AB289" s="620">
        <f t="shared" si="248"/>
        <v>4.4566666666666661</v>
      </c>
      <c r="AC289" s="620">
        <f t="shared" si="249"/>
        <v>34.119333333333337</v>
      </c>
      <c r="AD289" s="653">
        <f t="shared" si="250"/>
        <v>387.42299819369993</v>
      </c>
      <c r="AE289" s="650">
        <v>1350</v>
      </c>
      <c r="AF289" s="620">
        <f t="shared" si="251"/>
        <v>0.30700000000000005</v>
      </c>
      <c r="AG289" s="620">
        <v>9.6440000000000001</v>
      </c>
      <c r="AH289" s="620">
        <v>4.5170000000000003</v>
      </c>
      <c r="AI289" s="620">
        <f t="shared" si="252"/>
        <v>4.8199999999999994</v>
      </c>
      <c r="AJ289" s="620">
        <f t="shared" si="253"/>
        <v>33.756000000000007</v>
      </c>
      <c r="AK289" s="653">
        <f t="shared" si="254"/>
        <v>414.54599609160005</v>
      </c>
      <c r="AL289" s="650">
        <v>1350</v>
      </c>
      <c r="AM289" s="620">
        <f t="shared" si="255"/>
        <v>0.86566666666666658</v>
      </c>
      <c r="AN289" s="620">
        <v>9.6440000000000001</v>
      </c>
      <c r="AO289" s="620">
        <v>4.5170000000000003</v>
      </c>
      <c r="AP289" s="620">
        <f t="shared" si="256"/>
        <v>4.261333333333333</v>
      </c>
      <c r="AQ289" s="620">
        <f t="shared" si="257"/>
        <v>34.314666666666675</v>
      </c>
      <c r="AR289" s="698">
        <f t="shared" si="258"/>
        <v>372.56323859712001</v>
      </c>
      <c r="AS289" s="650">
        <v>1350</v>
      </c>
      <c r="AT289" s="620">
        <f t="shared" si="259"/>
        <v>0.32566666666666666</v>
      </c>
      <c r="AU289" s="620">
        <v>9.6440000000000001</v>
      </c>
      <c r="AV289" s="620">
        <v>4.5170000000000003</v>
      </c>
      <c r="AW289" s="620">
        <f t="shared" si="260"/>
        <v>4.801333333333333</v>
      </c>
      <c r="AX289" s="620">
        <f t="shared" si="261"/>
        <v>33.774666666666668</v>
      </c>
      <c r="AY289" s="698">
        <f t="shared" si="262"/>
        <v>413.16891330311995</v>
      </c>
      <c r="AZ289" s="75"/>
      <c r="BA289" s="650">
        <v>1350</v>
      </c>
      <c r="BB289" s="620">
        <v>103.50685607036536</v>
      </c>
      <c r="BC289" s="720">
        <f>(BB297-BB298)/BB279</f>
        <v>1.1936407373440947</v>
      </c>
      <c r="BD289" s="714">
        <f>D289-BB295</f>
        <v>26.480000000000018</v>
      </c>
      <c r="BE289" s="693">
        <f>BB297-BB298</f>
        <v>123.54999999999998</v>
      </c>
      <c r="BF289" s="693">
        <f t="shared" si="263"/>
        <v>21.432618373128307</v>
      </c>
      <c r="BG289" s="668">
        <f t="shared" si="264"/>
        <v>25.582846398115464</v>
      </c>
      <c r="BH289" s="650">
        <v>1350</v>
      </c>
      <c r="BI289" s="620">
        <v>103.50685607036536</v>
      </c>
      <c r="BJ289" s="720">
        <f>(BI297-BI298)/BI279</f>
        <v>1.4429962001595629</v>
      </c>
      <c r="BK289" s="714">
        <f>I289-BI295</f>
        <v>25.420000000000016</v>
      </c>
      <c r="BL289" s="693">
        <f>BI297-BI298</f>
        <v>149.35999999999999</v>
      </c>
      <c r="BM289" s="693">
        <f t="shared" si="265"/>
        <v>17.019282271023044</v>
      </c>
      <c r="BN289" s="668">
        <f t="shared" si="266"/>
        <v>24.558759646529268</v>
      </c>
      <c r="BO289" s="650">
        <v>1350</v>
      </c>
      <c r="BP289" s="681">
        <v>103.50685607036536</v>
      </c>
      <c r="BQ289" s="720">
        <f>(BP297-BP298)/BP279</f>
        <v>0.9800316988764467</v>
      </c>
      <c r="BR289" s="714">
        <f t="shared" si="267"/>
        <v>28.090000000000032</v>
      </c>
      <c r="BS289" s="693">
        <f>BP297-BP298</f>
        <v>101.44000000000001</v>
      </c>
      <c r="BT289" s="693">
        <f t="shared" si="268"/>
        <v>27.691246056782365</v>
      </c>
      <c r="BU289" s="668">
        <f t="shared" si="269"/>
        <v>27.138298917034128</v>
      </c>
      <c r="BV289" s="650">
        <v>1350</v>
      </c>
      <c r="BW289" s="620">
        <v>103.50685607036536</v>
      </c>
      <c r="BX289" s="720">
        <f>(BW297-BW298)/BW279</f>
        <v>1.0651468336073366</v>
      </c>
      <c r="BY289" s="714">
        <f>S289-BW295</f>
        <v>37.279999999999973</v>
      </c>
      <c r="BZ289" s="693">
        <f>BW297-BW298</f>
        <v>110.25</v>
      </c>
      <c r="CA289" s="693">
        <f t="shared" si="270"/>
        <v>33.814058956916078</v>
      </c>
      <c r="CB289" s="668">
        <f t="shared" si="271"/>
        <v>36.01693782937096</v>
      </c>
      <c r="CC289" s="560"/>
    </row>
    <row r="290" spans="1:81" ht="15.75">
      <c r="A290" s="5"/>
      <c r="B290" s="59" t="s">
        <v>116</v>
      </c>
      <c r="C290" s="154">
        <v>2500</v>
      </c>
      <c r="D290" s="315">
        <v>434.87</v>
      </c>
      <c r="E290" s="185">
        <v>8.7799999999999994</v>
      </c>
      <c r="F290" s="185">
        <v>9.4</v>
      </c>
      <c r="G290" s="303">
        <v>9.5500000000000007</v>
      </c>
      <c r="H290" s="154">
        <v>2500</v>
      </c>
      <c r="I290" s="315">
        <v>465.27</v>
      </c>
      <c r="J290" s="426">
        <v>5.58</v>
      </c>
      <c r="K290" s="464">
        <v>3.68</v>
      </c>
      <c r="L290" s="465">
        <v>3.04</v>
      </c>
      <c r="M290" s="154">
        <v>2500</v>
      </c>
      <c r="N290" s="231">
        <v>413.06</v>
      </c>
      <c r="O290" s="426">
        <v>12.49</v>
      </c>
      <c r="P290" s="426">
        <v>12.35</v>
      </c>
      <c r="Q290" s="426">
        <v>10.46</v>
      </c>
      <c r="R290" s="154">
        <v>2500</v>
      </c>
      <c r="S290" s="231">
        <v>432.99</v>
      </c>
      <c r="T290" s="464">
        <v>7.27</v>
      </c>
      <c r="U290" s="464">
        <v>4.96</v>
      </c>
      <c r="V290" s="464">
        <v>4.5</v>
      </c>
      <c r="W290" s="5"/>
      <c r="X290" s="650">
        <v>2500</v>
      </c>
      <c r="Y290" s="651">
        <f t="shared" si="247"/>
        <v>0.92433333333333345</v>
      </c>
      <c r="Z290" s="620">
        <v>9.6440000000000001</v>
      </c>
      <c r="AA290" s="620">
        <v>4.5170000000000003</v>
      </c>
      <c r="AB290" s="620">
        <f t="shared" si="248"/>
        <v>4.2026666666666666</v>
      </c>
      <c r="AC290" s="620">
        <f t="shared" si="249"/>
        <v>34.373333333333342</v>
      </c>
      <c r="AD290" s="653">
        <f t="shared" si="250"/>
        <v>1262.2162986666669</v>
      </c>
      <c r="AE290" s="650">
        <v>2500</v>
      </c>
      <c r="AF290" s="620">
        <f t="shared" si="251"/>
        <v>0.41000000000000003</v>
      </c>
      <c r="AG290" s="620">
        <v>9.6440000000000001</v>
      </c>
      <c r="AH290" s="620">
        <v>4.5170000000000003</v>
      </c>
      <c r="AI290" s="620">
        <f t="shared" si="252"/>
        <v>4.7169999999999996</v>
      </c>
      <c r="AJ290" s="620">
        <f t="shared" si="253"/>
        <v>33.859000000000002</v>
      </c>
      <c r="AK290" s="653">
        <f t="shared" si="254"/>
        <v>1395.4914899624998</v>
      </c>
      <c r="AL290" s="650">
        <v>2500</v>
      </c>
      <c r="AM290" s="620">
        <f t="shared" si="255"/>
        <v>1.1766666666666665</v>
      </c>
      <c r="AN290" s="620">
        <v>9.6440000000000001</v>
      </c>
      <c r="AO290" s="620">
        <v>4.5170000000000003</v>
      </c>
      <c r="AP290" s="620">
        <f t="shared" si="256"/>
        <v>3.950333333333333</v>
      </c>
      <c r="AQ290" s="620">
        <f t="shared" si="257"/>
        <v>34.625666666666675</v>
      </c>
      <c r="AR290" s="698">
        <f t="shared" si="258"/>
        <v>1195.1408091291669</v>
      </c>
      <c r="AS290" s="650">
        <v>2500</v>
      </c>
      <c r="AT290" s="620">
        <f t="shared" si="259"/>
        <v>0.55766666666666675</v>
      </c>
      <c r="AU290" s="620">
        <v>9.6440000000000001</v>
      </c>
      <c r="AV290" s="620">
        <v>4.5170000000000003</v>
      </c>
      <c r="AW290" s="620">
        <f t="shared" si="260"/>
        <v>4.5693333333333328</v>
      </c>
      <c r="AX290" s="620">
        <f t="shared" si="261"/>
        <v>34.006666666666675</v>
      </c>
      <c r="AY290" s="698">
        <f t="shared" si="262"/>
        <v>1357.7008636666667</v>
      </c>
      <c r="AZ290" s="75"/>
      <c r="BA290" s="650">
        <v>2500</v>
      </c>
      <c r="BB290" s="620">
        <v>103.50685607036536</v>
      </c>
      <c r="BC290" s="720">
        <f>(BB297-BB298)/BB279</f>
        <v>1.1936407373440947</v>
      </c>
      <c r="BD290" s="714">
        <f>D290-BB295</f>
        <v>23.170000000000016</v>
      </c>
      <c r="BE290" s="693">
        <f>BB297-BB298</f>
        <v>123.54999999999998</v>
      </c>
      <c r="BF290" s="693">
        <f t="shared" si="263"/>
        <v>18.753541076487267</v>
      </c>
      <c r="BG290" s="668">
        <f t="shared" si="264"/>
        <v>22.384990598351028</v>
      </c>
      <c r="BH290" s="650">
        <v>2500</v>
      </c>
      <c r="BI290" s="620">
        <v>103.50685607036536</v>
      </c>
      <c r="BJ290" s="720">
        <f>(BI297-BI298)/BI279</f>
        <v>1.4429962001595629</v>
      </c>
      <c r="BK290" s="714">
        <f>I290-BI295</f>
        <v>23.389999999999986</v>
      </c>
      <c r="BL290" s="693">
        <f>BI297-BI298</f>
        <v>149.35999999999999</v>
      </c>
      <c r="BM290" s="693">
        <f t="shared" si="265"/>
        <v>15.66014997321906</v>
      </c>
      <c r="BN290" s="668">
        <f t="shared" si="266"/>
        <v>22.597536905283985</v>
      </c>
      <c r="BO290" s="650">
        <v>2500</v>
      </c>
      <c r="BP290" s="681">
        <v>103.50685607036536</v>
      </c>
      <c r="BQ290" s="720">
        <f>(BP297-BP298)/BP279</f>
        <v>0.9800316988764467</v>
      </c>
      <c r="BR290" s="714">
        <f t="shared" si="267"/>
        <v>25.150000000000034</v>
      </c>
      <c r="BS290" s="693">
        <f>BP297-BP298</f>
        <v>101.44000000000001</v>
      </c>
      <c r="BT290" s="693">
        <f t="shared" si="268"/>
        <v>24.792981072555236</v>
      </c>
      <c r="BU290" s="668">
        <f t="shared" si="269"/>
        <v>24.297907360747896</v>
      </c>
      <c r="BV290" s="650">
        <v>2500</v>
      </c>
      <c r="BW290" s="620">
        <v>103.50685607036536</v>
      </c>
      <c r="BX290" s="720">
        <f>(BW297-BW298)/BW279</f>
        <v>1.0651468336073366</v>
      </c>
      <c r="BY290" s="714">
        <f>S290-BW295</f>
        <v>34.990000000000009</v>
      </c>
      <c r="BZ290" s="693">
        <f>BW297-BW298</f>
        <v>110.25</v>
      </c>
      <c r="CA290" s="693">
        <f t="shared" si="270"/>
        <v>31.736961451247176</v>
      </c>
      <c r="CB290" s="668">
        <f t="shared" si="271"/>
        <v>33.804523998114036</v>
      </c>
      <c r="CC290" s="560"/>
    </row>
    <row r="291" spans="1:81" ht="15.75">
      <c r="A291" s="5"/>
      <c r="B291" s="59" t="s">
        <v>116</v>
      </c>
      <c r="C291" s="154">
        <v>5000</v>
      </c>
      <c r="D291" s="315">
        <v>431.38</v>
      </c>
      <c r="E291" s="185">
        <v>11.97</v>
      </c>
      <c r="F291" s="185">
        <v>11.7</v>
      </c>
      <c r="G291" s="303">
        <v>12.15</v>
      </c>
      <c r="H291" s="154">
        <v>5000</v>
      </c>
      <c r="I291" s="315">
        <v>462.51</v>
      </c>
      <c r="J291" s="426">
        <v>7.72</v>
      </c>
      <c r="K291" s="464">
        <v>5.75</v>
      </c>
      <c r="L291" s="465">
        <v>4.91</v>
      </c>
      <c r="M291" s="154">
        <v>5000</v>
      </c>
      <c r="N291" s="231">
        <v>410.3</v>
      </c>
      <c r="O291" s="426">
        <v>14.3</v>
      </c>
      <c r="P291" s="426">
        <v>15.39</v>
      </c>
      <c r="Q291" s="426">
        <v>16.32</v>
      </c>
      <c r="R291" s="154">
        <v>5000</v>
      </c>
      <c r="S291" s="231">
        <v>429.42</v>
      </c>
      <c r="T291" s="464">
        <v>11.05</v>
      </c>
      <c r="U291" s="464">
        <v>9.2899999999999991</v>
      </c>
      <c r="V291" s="464">
        <v>7.35</v>
      </c>
      <c r="W291" s="5"/>
      <c r="X291" s="650">
        <v>5000</v>
      </c>
      <c r="Y291" s="651">
        <f t="shared" si="247"/>
        <v>1.194</v>
      </c>
      <c r="Z291" s="620">
        <v>9.6440000000000001</v>
      </c>
      <c r="AA291" s="620">
        <v>4.5170000000000003</v>
      </c>
      <c r="AB291" s="620">
        <f t="shared" si="248"/>
        <v>3.9329999999999998</v>
      </c>
      <c r="AC291" s="620">
        <f t="shared" si="249"/>
        <v>34.643000000000008</v>
      </c>
      <c r="AD291" s="653">
        <f t="shared" si="250"/>
        <v>4761.9696190499999</v>
      </c>
      <c r="AE291" s="650">
        <v>5000</v>
      </c>
      <c r="AF291" s="620">
        <f t="shared" si="251"/>
        <v>0.61266666666666658</v>
      </c>
      <c r="AG291" s="620">
        <v>9.6440000000000001</v>
      </c>
      <c r="AH291" s="620">
        <v>4.5170000000000003</v>
      </c>
      <c r="AI291" s="620">
        <f t="shared" si="252"/>
        <v>4.5143333333333331</v>
      </c>
      <c r="AJ291" s="620">
        <f t="shared" si="253"/>
        <v>34.061666666666675</v>
      </c>
      <c r="AK291" s="653">
        <f t="shared" si="254"/>
        <v>5374.1118169166666</v>
      </c>
      <c r="AL291" s="650">
        <v>5000</v>
      </c>
      <c r="AM291" s="620">
        <f t="shared" si="255"/>
        <v>1.5336666666666667</v>
      </c>
      <c r="AN291" s="620">
        <v>9.6440000000000001</v>
      </c>
      <c r="AO291" s="620">
        <v>4.5170000000000003</v>
      </c>
      <c r="AP291" s="620">
        <f t="shared" si="256"/>
        <v>3.5933333333333328</v>
      </c>
      <c r="AQ291" s="620">
        <f t="shared" si="257"/>
        <v>34.982666666666674</v>
      </c>
      <c r="AR291" s="698">
        <f t="shared" si="258"/>
        <v>4393.3681586666662</v>
      </c>
      <c r="AS291" s="650">
        <v>5000</v>
      </c>
      <c r="AT291" s="620">
        <f t="shared" si="259"/>
        <v>0.92299999999999982</v>
      </c>
      <c r="AU291" s="620">
        <v>9.6440000000000001</v>
      </c>
      <c r="AV291" s="620">
        <v>4.5170000000000003</v>
      </c>
      <c r="AW291" s="620">
        <f t="shared" si="260"/>
        <v>4.2039999999999997</v>
      </c>
      <c r="AX291" s="620">
        <f t="shared" si="261"/>
        <v>34.372000000000007</v>
      </c>
      <c r="AY291" s="698">
        <f t="shared" si="262"/>
        <v>5050.2710856000003</v>
      </c>
      <c r="AZ291" s="75"/>
      <c r="BA291" s="650">
        <v>5000</v>
      </c>
      <c r="BB291" s="620">
        <v>103.50685607036536</v>
      </c>
      <c r="BC291" s="720">
        <f>(BB297-BB298)/BB279</f>
        <v>1.1936407373440947</v>
      </c>
      <c r="BD291" s="714">
        <f>D291-BB295</f>
        <v>19.680000000000007</v>
      </c>
      <c r="BE291" s="693">
        <f>BB297-BB298</f>
        <v>123.54999999999998</v>
      </c>
      <c r="BF291" s="693">
        <f t="shared" si="263"/>
        <v>15.928773775799279</v>
      </c>
      <c r="BG291" s="668">
        <f t="shared" si="264"/>
        <v>19.013233274732329</v>
      </c>
      <c r="BH291" s="650">
        <v>5000</v>
      </c>
      <c r="BI291" s="620">
        <v>103.50685607036536</v>
      </c>
      <c r="BJ291" s="720">
        <f>(BI297-BI298)/BI279</f>
        <v>1.4429962001595629</v>
      </c>
      <c r="BK291" s="714">
        <f>I291-BI295</f>
        <v>20.629999999999995</v>
      </c>
      <c r="BL291" s="693">
        <f>BI297-BI298</f>
        <v>149.35999999999999</v>
      </c>
      <c r="BM291" s="693">
        <f t="shared" si="265"/>
        <v>13.812265666845205</v>
      </c>
      <c r="BN291" s="668">
        <f t="shared" si="266"/>
        <v>19.931046872852022</v>
      </c>
      <c r="BO291" s="650">
        <v>5000</v>
      </c>
      <c r="BP291" s="681">
        <v>103.50685607036536</v>
      </c>
      <c r="BQ291" s="720">
        <f>(BP297-BP298)/BP279</f>
        <v>0.9800316988764467</v>
      </c>
      <c r="BR291" s="714">
        <f t="shared" si="267"/>
        <v>22.390000000000043</v>
      </c>
      <c r="BS291" s="693">
        <f>BP297-BP298</f>
        <v>101.44000000000001</v>
      </c>
      <c r="BT291" s="693">
        <f t="shared" si="268"/>
        <v>22.072160883280798</v>
      </c>
      <c r="BU291" s="668">
        <f t="shared" si="269"/>
        <v>21.631417328315933</v>
      </c>
      <c r="BV291" s="650">
        <v>5000</v>
      </c>
      <c r="BW291" s="620">
        <v>103.50685607036536</v>
      </c>
      <c r="BX291" s="720">
        <f>(BW297-BW298)/BW279</f>
        <v>1.0651468336073366</v>
      </c>
      <c r="BY291" s="714">
        <f>S291-BW295</f>
        <v>31.420000000000016</v>
      </c>
      <c r="BZ291" s="693">
        <f>BW297-BW298</f>
        <v>110.25</v>
      </c>
      <c r="CA291" s="693">
        <f t="shared" si="270"/>
        <v>28.498866213151942</v>
      </c>
      <c r="CB291" s="668">
        <f t="shared" si="271"/>
        <v>30.355477108337901</v>
      </c>
      <c r="CC291" s="560"/>
    </row>
    <row r="292" spans="1:81" ht="15.75">
      <c r="A292" s="5"/>
      <c r="B292" s="59" t="s">
        <v>116</v>
      </c>
      <c r="C292" s="154">
        <v>7000</v>
      </c>
      <c r="D292" s="315">
        <v>429.28</v>
      </c>
      <c r="E292" s="185">
        <v>13.42</v>
      </c>
      <c r="F292" s="185">
        <v>13.15</v>
      </c>
      <c r="G292" s="303">
        <v>13.37</v>
      </c>
      <c r="H292" s="154">
        <v>7000</v>
      </c>
      <c r="I292" s="302">
        <v>460.48</v>
      </c>
      <c r="J292" s="426">
        <v>7.16</v>
      </c>
      <c r="K292" s="464">
        <v>6.03</v>
      </c>
      <c r="L292" s="465">
        <v>9.2899999999999991</v>
      </c>
      <c r="M292" s="154">
        <v>7000</v>
      </c>
      <c r="N292" s="231">
        <v>407.48</v>
      </c>
      <c r="O292" s="426">
        <v>16.7</v>
      </c>
      <c r="P292" s="426">
        <v>17.489999999999998</v>
      </c>
      <c r="Q292" s="426">
        <v>17.97</v>
      </c>
      <c r="R292" s="154">
        <v>7000</v>
      </c>
      <c r="S292" s="231">
        <v>426.02</v>
      </c>
      <c r="T292" s="464">
        <v>13.66</v>
      </c>
      <c r="U292" s="464">
        <v>12.18</v>
      </c>
      <c r="V292" s="464">
        <v>10.81</v>
      </c>
      <c r="W292" s="5"/>
      <c r="X292" s="650">
        <v>7000</v>
      </c>
      <c r="Y292" s="651">
        <f t="shared" si="247"/>
        <v>1.3313333333333333</v>
      </c>
      <c r="Z292" s="620">
        <v>9.6440000000000001</v>
      </c>
      <c r="AA292" s="620">
        <v>4.5170000000000003</v>
      </c>
      <c r="AB292" s="620">
        <f t="shared" si="248"/>
        <v>3.7956666666666665</v>
      </c>
      <c r="AC292" s="620">
        <f t="shared" si="249"/>
        <v>34.780333333333338</v>
      </c>
      <c r="AD292" s="653">
        <f t="shared" si="250"/>
        <v>9043.2608334926663</v>
      </c>
      <c r="AE292" s="650">
        <v>7000</v>
      </c>
      <c r="AF292" s="620">
        <f t="shared" si="251"/>
        <v>0.7493333333333333</v>
      </c>
      <c r="AG292" s="620">
        <v>9.6440000000000001</v>
      </c>
      <c r="AH292" s="620">
        <v>4.5170000000000003</v>
      </c>
      <c r="AI292" s="620">
        <f t="shared" si="252"/>
        <v>4.3776666666666664</v>
      </c>
      <c r="AJ292" s="620">
        <f t="shared" si="253"/>
        <v>34.198333333333338</v>
      </c>
      <c r="AK292" s="653">
        <f t="shared" si="254"/>
        <v>10255.359334196666</v>
      </c>
      <c r="AL292" s="650">
        <v>7000</v>
      </c>
      <c r="AM292" s="620">
        <f t="shared" si="255"/>
        <v>1.7386666666666666</v>
      </c>
      <c r="AN292" s="620">
        <v>9.6440000000000001</v>
      </c>
      <c r="AO292" s="620">
        <v>4.5170000000000003</v>
      </c>
      <c r="AP292" s="620">
        <f t="shared" si="256"/>
        <v>3.3883333333333336</v>
      </c>
      <c r="AQ292" s="620">
        <f t="shared" si="257"/>
        <v>35.187666666666672</v>
      </c>
      <c r="AR292" s="698">
        <f t="shared" si="258"/>
        <v>8167.3252114766674</v>
      </c>
      <c r="AS292" s="650">
        <v>7000</v>
      </c>
      <c r="AT292" s="620">
        <f t="shared" si="259"/>
        <v>1.2216666666666667</v>
      </c>
      <c r="AU292" s="620">
        <v>9.6440000000000001</v>
      </c>
      <c r="AV292" s="620">
        <v>4.5170000000000003</v>
      </c>
      <c r="AW292" s="620">
        <f t="shared" si="260"/>
        <v>3.9053333333333331</v>
      </c>
      <c r="AX292" s="620">
        <f t="shared" si="261"/>
        <v>34.670666666666669</v>
      </c>
      <c r="AY292" s="698">
        <f t="shared" si="262"/>
        <v>9275.2057512426654</v>
      </c>
      <c r="AZ292" s="75"/>
      <c r="BA292" s="650">
        <v>7000</v>
      </c>
      <c r="BB292" s="620">
        <v>103.50685607036536</v>
      </c>
      <c r="BC292" s="720">
        <f>(BB297-BB298)/BB279</f>
        <v>1.1936407373440947</v>
      </c>
      <c r="BD292" s="714">
        <f>D292-BB295</f>
        <v>17.579999999999984</v>
      </c>
      <c r="BE292" s="693">
        <f>BB297-BB298</f>
        <v>123.54999999999998</v>
      </c>
      <c r="BF292" s="693">
        <f t="shared" si="263"/>
        <v>14.22905706191824</v>
      </c>
      <c r="BG292" s="668">
        <f t="shared" si="264"/>
        <v>16.984382163099287</v>
      </c>
      <c r="BH292" s="650">
        <v>7000</v>
      </c>
      <c r="BI292" s="620">
        <v>103.50685607036536</v>
      </c>
      <c r="BJ292" s="720">
        <f>(BI297-BI298)/BI279</f>
        <v>1.4429962001595629</v>
      </c>
      <c r="BK292" s="714">
        <f>I292-BI295</f>
        <v>18.600000000000023</v>
      </c>
      <c r="BL292" s="693">
        <f>BI297-BI298</f>
        <v>149.35999999999999</v>
      </c>
      <c r="BM292" s="693">
        <f t="shared" si="265"/>
        <v>12.453133369041259</v>
      </c>
      <c r="BN292" s="668">
        <f t="shared" si="266"/>
        <v>17.969824131606792</v>
      </c>
      <c r="BO292" s="650">
        <v>7000</v>
      </c>
      <c r="BP292" s="681">
        <v>103.50685607036536</v>
      </c>
      <c r="BQ292" s="720">
        <f>(BP297-BP298)/BP279</f>
        <v>0.9800316988764467</v>
      </c>
      <c r="BR292" s="714">
        <f t="shared" si="267"/>
        <v>19.57000000000005</v>
      </c>
      <c r="BS292" s="693">
        <f>BP297-BP298</f>
        <v>101.44000000000001</v>
      </c>
      <c r="BT292" s="693">
        <f t="shared" si="268"/>
        <v>19.29219242902213</v>
      </c>
      <c r="BU292" s="668">
        <f t="shared" si="269"/>
        <v>18.906960121265882</v>
      </c>
      <c r="BV292" s="650">
        <v>7000</v>
      </c>
      <c r="BW292" s="620">
        <v>103.50685607036536</v>
      </c>
      <c r="BX292" s="720">
        <f>(BW297-BW298)/BW279</f>
        <v>1.0651468336073366</v>
      </c>
      <c r="BY292" s="714">
        <f>S292-BW295</f>
        <v>28.019999999999982</v>
      </c>
      <c r="BZ292" s="693">
        <f>BW297-BW298</f>
        <v>110.25</v>
      </c>
      <c r="CA292" s="693">
        <f t="shared" si="270"/>
        <v>25.414965986394538</v>
      </c>
      <c r="CB292" s="668">
        <f t="shared" si="271"/>
        <v>27.070670546646305</v>
      </c>
      <c r="CC292" s="560"/>
    </row>
    <row r="293" spans="1:81" ht="15.75">
      <c r="A293" s="5"/>
      <c r="B293" s="59" t="s">
        <v>116</v>
      </c>
      <c r="C293" s="154">
        <v>9000</v>
      </c>
      <c r="D293" s="315">
        <v>427.71</v>
      </c>
      <c r="E293" s="27">
        <v>14.48</v>
      </c>
      <c r="F293" s="27">
        <v>14.48</v>
      </c>
      <c r="G293" s="94">
        <v>14.5</v>
      </c>
      <c r="H293" s="154">
        <v>9000</v>
      </c>
      <c r="I293" s="315">
        <v>458.73</v>
      </c>
      <c r="J293" s="426">
        <v>10.16</v>
      </c>
      <c r="K293" s="464">
        <v>7.97</v>
      </c>
      <c r="L293" s="465">
        <v>6.7</v>
      </c>
      <c r="M293" s="154">
        <v>9000</v>
      </c>
      <c r="N293" s="231">
        <v>405.05</v>
      </c>
      <c r="O293" s="426">
        <v>19.27</v>
      </c>
      <c r="P293" s="426">
        <v>17.88</v>
      </c>
      <c r="Q293" s="426">
        <v>18.62</v>
      </c>
      <c r="R293" s="154">
        <v>9000</v>
      </c>
      <c r="S293" s="231">
        <v>420.5</v>
      </c>
      <c r="T293" s="464">
        <v>13.51</v>
      </c>
      <c r="U293" s="464">
        <v>16.440000000000001</v>
      </c>
      <c r="V293" s="464">
        <v>15.12</v>
      </c>
      <c r="W293" s="5"/>
      <c r="X293" s="650">
        <v>9000</v>
      </c>
      <c r="Y293" s="651">
        <f t="shared" si="247"/>
        <v>1.4486666666666665</v>
      </c>
      <c r="Z293" s="620">
        <v>9.6440000000000001</v>
      </c>
      <c r="AA293" s="620">
        <v>4.5170000000000003</v>
      </c>
      <c r="AB293" s="620">
        <f t="shared" si="248"/>
        <v>3.6783333333333328</v>
      </c>
      <c r="AC293" s="620">
        <f t="shared" si="249"/>
        <v>34.897666666666673</v>
      </c>
      <c r="AD293" s="653">
        <f t="shared" si="250"/>
        <v>14535.824242409999</v>
      </c>
      <c r="AE293" s="650">
        <v>9000</v>
      </c>
      <c r="AF293" s="620">
        <f t="shared" si="251"/>
        <v>0.82766666666666655</v>
      </c>
      <c r="AG293" s="620">
        <v>9.6440000000000001</v>
      </c>
      <c r="AH293" s="620">
        <v>4.5170000000000003</v>
      </c>
      <c r="AI293" s="620">
        <f t="shared" si="252"/>
        <v>4.2993333333333332</v>
      </c>
      <c r="AJ293" s="620">
        <f t="shared" si="253"/>
        <v>34.276666666666671</v>
      </c>
      <c r="AK293" s="653">
        <f t="shared" si="254"/>
        <v>16687.523459879998</v>
      </c>
      <c r="AL293" s="650">
        <v>9000</v>
      </c>
      <c r="AM293" s="620">
        <f t="shared" si="255"/>
        <v>1.859</v>
      </c>
      <c r="AN293" s="620">
        <v>9.6440000000000001</v>
      </c>
      <c r="AO293" s="620">
        <v>4.5170000000000003</v>
      </c>
      <c r="AP293" s="620">
        <f t="shared" si="256"/>
        <v>3.2679999999999998</v>
      </c>
      <c r="AQ293" s="620">
        <f t="shared" si="257"/>
        <v>35.308000000000007</v>
      </c>
      <c r="AR293" s="698">
        <f t="shared" si="258"/>
        <v>13066.141469472001</v>
      </c>
      <c r="AS293" s="650">
        <v>9000</v>
      </c>
      <c r="AT293" s="620">
        <f t="shared" si="259"/>
        <v>1.5023333333333333</v>
      </c>
      <c r="AU293" s="620">
        <v>9.6440000000000001</v>
      </c>
      <c r="AV293" s="620">
        <v>4.5170000000000003</v>
      </c>
      <c r="AW293" s="620">
        <f t="shared" si="260"/>
        <v>3.6246666666666663</v>
      </c>
      <c r="AX293" s="620">
        <f t="shared" si="261"/>
        <v>34.951333333333338</v>
      </c>
      <c r="AY293" s="698">
        <f t="shared" si="262"/>
        <v>14345.774906471999</v>
      </c>
      <c r="AZ293" s="75"/>
      <c r="BA293" s="650">
        <v>9000</v>
      </c>
      <c r="BB293" s="620">
        <v>103.50685607036536</v>
      </c>
      <c r="BC293" s="720">
        <f>(BB297-BB298)/BB279</f>
        <v>1.1936407373440947</v>
      </c>
      <c r="BD293" s="714">
        <f>D293-BB295</f>
        <v>16.009999999999991</v>
      </c>
      <c r="BE293" s="693">
        <f>BB297-BB298</f>
        <v>123.54999999999998</v>
      </c>
      <c r="BF293" s="693">
        <f t="shared" si="263"/>
        <v>12.958316471064341</v>
      </c>
      <c r="BG293" s="668">
        <f t="shared" si="264"/>
        <v>15.467574427259368</v>
      </c>
      <c r="BH293" s="650">
        <v>9000</v>
      </c>
      <c r="BI293" s="620">
        <v>103.50685607036536</v>
      </c>
      <c r="BJ293" s="720">
        <f>(BI297-BI298)/BI279</f>
        <v>1.4429962001595629</v>
      </c>
      <c r="BK293" s="714">
        <f>I293-BI295</f>
        <v>16.850000000000023</v>
      </c>
      <c r="BL293" s="693">
        <f>BI297-BI298</f>
        <v>149.35999999999999</v>
      </c>
      <c r="BM293" s="693">
        <f t="shared" si="265"/>
        <v>11.281467595072325</v>
      </c>
      <c r="BN293" s="668">
        <f t="shared" si="266"/>
        <v>16.279114871912608</v>
      </c>
      <c r="BO293" s="650">
        <v>9000</v>
      </c>
      <c r="BP293" s="681">
        <v>103.50685607036536</v>
      </c>
      <c r="BQ293" s="720">
        <f>(BP297-BP298)/BP279</f>
        <v>0.9800316988764467</v>
      </c>
      <c r="BR293" s="714">
        <f t="shared" si="267"/>
        <v>17.140000000000043</v>
      </c>
      <c r="BS293" s="693">
        <f>BP297-BP298</f>
        <v>101.44000000000001</v>
      </c>
      <c r="BT293" s="693">
        <f t="shared" si="268"/>
        <v>16.896687697160921</v>
      </c>
      <c r="BU293" s="668">
        <f t="shared" si="269"/>
        <v>16.559289549233373</v>
      </c>
      <c r="BV293" s="650">
        <v>9000</v>
      </c>
      <c r="BW293" s="620">
        <v>103.50685607036536</v>
      </c>
      <c r="BX293" s="720">
        <f>(BW297-BW298)/BW279</f>
        <v>1.0651468336073366</v>
      </c>
      <c r="BY293" s="714">
        <f>S293-BW295</f>
        <v>22.5</v>
      </c>
      <c r="BZ293" s="693">
        <f>BW297-BW298</f>
        <v>110.25</v>
      </c>
      <c r="CA293" s="693">
        <f t="shared" si="270"/>
        <v>20.408163265306122</v>
      </c>
      <c r="CB293" s="668">
        <f t="shared" si="271"/>
        <v>21.73769048178238</v>
      </c>
      <c r="CC293" s="560"/>
    </row>
    <row r="294" spans="1:81" ht="15.75">
      <c r="A294" s="5"/>
      <c r="B294" s="60" t="s">
        <v>116</v>
      </c>
      <c r="C294" s="263">
        <v>10000</v>
      </c>
      <c r="D294" s="65">
        <v>426.6</v>
      </c>
      <c r="E294" s="304">
        <v>14.73</v>
      </c>
      <c r="F294" s="304">
        <v>14.67</v>
      </c>
      <c r="G294" s="305">
        <v>14.69</v>
      </c>
      <c r="H294" s="263">
        <v>10000</v>
      </c>
      <c r="I294" s="65">
        <v>457.54</v>
      </c>
      <c r="J294" s="466">
        <v>7.91</v>
      </c>
      <c r="K294" s="467">
        <v>7.2</v>
      </c>
      <c r="L294" s="468">
        <v>10.78</v>
      </c>
      <c r="M294" s="263">
        <v>10000</v>
      </c>
      <c r="N294" s="231">
        <v>403.33</v>
      </c>
      <c r="O294" s="315">
        <v>19.54</v>
      </c>
      <c r="P294" s="315">
        <v>19.8</v>
      </c>
      <c r="Q294" s="315">
        <v>18.27</v>
      </c>
      <c r="R294" s="263">
        <v>10000</v>
      </c>
      <c r="S294" s="231">
        <v>420.5</v>
      </c>
      <c r="T294" s="231">
        <v>13.51</v>
      </c>
      <c r="U294" s="231">
        <v>16.440000000000001</v>
      </c>
      <c r="V294" s="231">
        <v>15.12</v>
      </c>
      <c r="W294" s="5"/>
      <c r="X294" s="660">
        <v>10000</v>
      </c>
      <c r="Y294" s="608">
        <f t="shared" si="247"/>
        <v>1.4696666666666665</v>
      </c>
      <c r="Z294" s="609">
        <v>9.6440000000000001</v>
      </c>
      <c r="AA294" s="609">
        <v>4.5170000000000003</v>
      </c>
      <c r="AB294" s="609">
        <f t="shared" si="248"/>
        <v>3.6573333333333338</v>
      </c>
      <c r="AC294" s="609">
        <f t="shared" si="249"/>
        <v>34.918666666666674</v>
      </c>
      <c r="AD294" s="702">
        <f t="shared" si="250"/>
        <v>17853.746657066673</v>
      </c>
      <c r="AE294" s="660">
        <v>10000</v>
      </c>
      <c r="AF294" s="609">
        <f t="shared" si="251"/>
        <v>0.8630000000000001</v>
      </c>
      <c r="AG294" s="609">
        <v>9.6440000000000001</v>
      </c>
      <c r="AH294" s="609">
        <v>4.5170000000000003</v>
      </c>
      <c r="AI294" s="609">
        <f t="shared" si="252"/>
        <v>4.2639999999999993</v>
      </c>
      <c r="AJ294" s="609">
        <f t="shared" si="253"/>
        <v>34.312000000000005</v>
      </c>
      <c r="AK294" s="702">
        <f t="shared" si="254"/>
        <v>20453.630246399996</v>
      </c>
      <c r="AL294" s="660">
        <v>10000</v>
      </c>
      <c r="AM294" s="609">
        <f t="shared" si="255"/>
        <v>1.9203333333333332</v>
      </c>
      <c r="AN294" s="609">
        <v>9.6440000000000001</v>
      </c>
      <c r="AO294" s="609">
        <v>4.5170000000000003</v>
      </c>
      <c r="AP294" s="609">
        <f t="shared" si="256"/>
        <v>3.206666666666667</v>
      </c>
      <c r="AQ294" s="609">
        <f t="shared" si="257"/>
        <v>35.369333333333337</v>
      </c>
      <c r="AR294" s="699">
        <f t="shared" si="258"/>
        <v>15855.789178666668</v>
      </c>
      <c r="AS294" s="660">
        <v>10000</v>
      </c>
      <c r="AT294" s="609">
        <f t="shared" si="259"/>
        <v>1.5023333333333333</v>
      </c>
      <c r="AU294" s="609">
        <v>9.6440000000000001</v>
      </c>
      <c r="AV294" s="609">
        <v>4.5170000000000003</v>
      </c>
      <c r="AW294" s="609">
        <f t="shared" si="260"/>
        <v>3.6246666666666663</v>
      </c>
      <c r="AX294" s="609">
        <f t="shared" si="261"/>
        <v>34.951333333333338</v>
      </c>
      <c r="AY294" s="699">
        <f t="shared" si="262"/>
        <v>17710.833217866664</v>
      </c>
      <c r="AZ294" s="75"/>
      <c r="BA294" s="660">
        <v>10000</v>
      </c>
      <c r="BB294" s="609">
        <v>103.50685607036536</v>
      </c>
      <c r="BC294" s="720">
        <f>(BB297-BB298)/BB279</f>
        <v>1.1936407373440947</v>
      </c>
      <c r="BD294" s="714">
        <f>D294-BB295</f>
        <v>14.900000000000034</v>
      </c>
      <c r="BE294" s="682">
        <f>BB297-BB298</f>
        <v>123.54999999999998</v>
      </c>
      <c r="BF294" s="682">
        <f t="shared" si="263"/>
        <v>12.059894779441551</v>
      </c>
      <c r="BG294" s="683">
        <f t="shared" si="264"/>
        <v>14.395181696824812</v>
      </c>
      <c r="BH294" s="660">
        <v>10000</v>
      </c>
      <c r="BI294" s="609">
        <v>103.50685607036536</v>
      </c>
      <c r="BJ294" s="720">
        <f>(BI297-BI298)/BI279</f>
        <v>1.4429962001595629</v>
      </c>
      <c r="BK294" s="714">
        <f>I294-BI295</f>
        <v>15.660000000000025</v>
      </c>
      <c r="BL294" s="682">
        <f>BI297-BI298</f>
        <v>149.35999999999999</v>
      </c>
      <c r="BM294" s="682">
        <f t="shared" si="265"/>
        <v>10.484734868773451</v>
      </c>
      <c r="BN294" s="683">
        <f t="shared" si="266"/>
        <v>15.129432575320562</v>
      </c>
      <c r="BO294" s="660">
        <v>10000</v>
      </c>
      <c r="BP294" s="684">
        <v>103.50685607036536</v>
      </c>
      <c r="BQ294" s="720">
        <f>(BP297-BP298)/BP279</f>
        <v>0.9800316988764467</v>
      </c>
      <c r="BR294" s="714">
        <f t="shared" si="267"/>
        <v>15.420000000000016</v>
      </c>
      <c r="BS294" s="682">
        <f>BP297-BP298</f>
        <v>101.44000000000001</v>
      </c>
      <c r="BT294" s="682">
        <f t="shared" si="268"/>
        <v>15.201104100946386</v>
      </c>
      <c r="BU294" s="683">
        <f t="shared" si="269"/>
        <v>14.897563876848208</v>
      </c>
      <c r="BV294" s="660">
        <v>10000</v>
      </c>
      <c r="BW294" s="609">
        <v>103.50685607036536</v>
      </c>
      <c r="BX294" s="720">
        <f>(BW297-BW298)/BW279</f>
        <v>1.0651468336073366</v>
      </c>
      <c r="BY294" s="714">
        <f>S294-BW295</f>
        <v>22.5</v>
      </c>
      <c r="BZ294" s="682">
        <f>BW297-BW298</f>
        <v>110.25</v>
      </c>
      <c r="CA294" s="682">
        <f t="shared" si="270"/>
        <v>20.408163265306122</v>
      </c>
      <c r="CB294" s="683">
        <f t="shared" si="271"/>
        <v>21.73769048178238</v>
      </c>
      <c r="CC294" s="560"/>
    </row>
    <row r="295" spans="1:81" ht="45">
      <c r="A295" s="560"/>
      <c r="B295" s="560"/>
      <c r="C295" s="559"/>
      <c r="D295" s="559"/>
      <c r="E295" s="560"/>
      <c r="F295" s="560"/>
      <c r="G295" s="560"/>
      <c r="H295" s="560"/>
      <c r="I295" s="560"/>
      <c r="J295" s="560"/>
      <c r="K295" s="560"/>
      <c r="L295" s="560"/>
      <c r="M295" s="560"/>
      <c r="N295" s="661"/>
      <c r="O295" s="559"/>
      <c r="P295" s="559"/>
      <c r="Q295" s="559"/>
      <c r="R295" s="560"/>
      <c r="S295" s="661"/>
      <c r="T295" s="560"/>
      <c r="U295" s="560"/>
      <c r="V295" s="560"/>
      <c r="X295" s="560"/>
      <c r="Y295" s="560"/>
      <c r="Z295" s="560"/>
      <c r="AA295" s="560"/>
      <c r="AB295" s="560"/>
      <c r="AC295" s="560"/>
      <c r="AD295" s="560"/>
      <c r="AE295" s="559"/>
      <c r="AF295" s="559"/>
      <c r="AG295" s="559"/>
      <c r="AH295" s="559"/>
      <c r="AI295" s="559"/>
      <c r="AJ295" s="559"/>
      <c r="AK295" s="559"/>
      <c r="AL295" s="560"/>
      <c r="AM295" s="560"/>
      <c r="AN295" s="559"/>
      <c r="AO295" s="559"/>
      <c r="AP295" s="560"/>
      <c r="AQ295" s="560"/>
      <c r="AR295" s="560"/>
      <c r="AS295" s="560"/>
      <c r="AT295" s="560"/>
      <c r="AU295" s="560"/>
      <c r="AV295" s="560"/>
      <c r="AW295" s="560"/>
      <c r="AX295" s="560"/>
      <c r="AY295" s="560"/>
      <c r="AZ295" s="791" t="s">
        <v>144</v>
      </c>
      <c r="BA295" s="709" t="s">
        <v>1047</v>
      </c>
      <c r="BB295" s="565">
        <f>BB297+BB296</f>
        <v>411.7</v>
      </c>
      <c r="BC295" s="559"/>
      <c r="BD295" s="559"/>
      <c r="BE295" s="559"/>
      <c r="BF295" s="559"/>
      <c r="BG295" s="559"/>
      <c r="BH295" s="709" t="s">
        <v>1047</v>
      </c>
      <c r="BI295" s="565">
        <f>BI296+BI297</f>
        <v>441.88</v>
      </c>
      <c r="BJ295" s="559"/>
      <c r="BK295" s="569"/>
      <c r="BL295" s="569"/>
      <c r="BM295" s="569"/>
      <c r="BN295" s="569"/>
      <c r="BO295" s="709" t="s">
        <v>1047</v>
      </c>
      <c r="BP295" s="697">
        <f>BP296+BP297</f>
        <v>387.90999999999997</v>
      </c>
      <c r="BQ295" s="560"/>
      <c r="BR295" s="559"/>
      <c r="BS295" s="559"/>
      <c r="BT295" s="559"/>
      <c r="BU295" s="559"/>
      <c r="BV295" s="709" t="s">
        <v>1047</v>
      </c>
      <c r="BW295" s="697">
        <f>BW296+BW297</f>
        <v>398</v>
      </c>
      <c r="BX295" s="560"/>
      <c r="BY295" s="560"/>
      <c r="BZ295" s="560"/>
      <c r="CA295" s="560"/>
      <c r="CB295" s="560"/>
      <c r="CC295" s="560"/>
    </row>
    <row r="296" spans="1:81">
      <c r="A296" s="560"/>
      <c r="B296" s="560"/>
      <c r="C296" s="559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59"/>
      <c r="P296" s="559"/>
      <c r="Q296" s="559"/>
      <c r="R296" s="560"/>
      <c r="S296" s="560"/>
      <c r="T296" s="560"/>
      <c r="U296" s="560"/>
      <c r="V296" s="560"/>
      <c r="X296" s="560"/>
      <c r="Y296" s="560"/>
      <c r="Z296" s="560"/>
      <c r="AA296" s="560"/>
      <c r="AB296" s="560"/>
      <c r="AC296" s="560"/>
      <c r="AD296" s="560"/>
      <c r="AE296" s="559"/>
      <c r="AF296" s="559"/>
      <c r="AG296" s="559"/>
      <c r="AH296" s="559"/>
      <c r="AI296" s="559"/>
      <c r="AJ296" s="559"/>
      <c r="AK296" s="559"/>
      <c r="AL296" s="560"/>
      <c r="AM296" s="560"/>
      <c r="AN296" s="559"/>
      <c r="AO296" s="559"/>
      <c r="AP296" s="560"/>
      <c r="AQ296" s="560"/>
      <c r="AR296" s="560"/>
      <c r="AS296" s="560"/>
      <c r="AT296" s="560"/>
      <c r="AU296" s="560"/>
      <c r="AV296" s="560"/>
      <c r="AW296" s="560"/>
      <c r="AX296" s="560"/>
      <c r="AY296" s="560"/>
      <c r="AZ296" s="791"/>
      <c r="BA296" s="655" t="s">
        <v>1048</v>
      </c>
      <c r="BB296" s="569">
        <v>215</v>
      </c>
      <c r="BC296" s="559"/>
      <c r="BD296" s="559"/>
      <c r="BE296" s="559"/>
      <c r="BF296" s="559"/>
      <c r="BG296" s="559"/>
      <c r="BH296" s="655" t="s">
        <v>1048</v>
      </c>
      <c r="BI296" s="569">
        <v>214.9</v>
      </c>
      <c r="BJ296" s="559"/>
      <c r="BK296" s="569"/>
      <c r="BL296" s="569"/>
      <c r="BM296" s="569"/>
      <c r="BN296" s="569"/>
      <c r="BO296" s="655" t="s">
        <v>1048</v>
      </c>
      <c r="BP296" s="559">
        <v>214.89</v>
      </c>
      <c r="BQ296" s="560"/>
      <c r="BR296" s="559"/>
      <c r="BS296" s="559"/>
      <c r="BT296" s="620"/>
      <c r="BU296" s="620"/>
      <c r="BV296" s="655" t="s">
        <v>1048</v>
      </c>
      <c r="BW296" s="559">
        <v>214.59</v>
      </c>
      <c r="BX296" s="560"/>
      <c r="BY296" s="560"/>
      <c r="BZ296" s="560"/>
      <c r="CA296" s="560"/>
      <c r="CB296" s="560"/>
      <c r="CC296" s="560"/>
    </row>
    <row r="297" spans="1:81">
      <c r="A297" s="560"/>
      <c r="B297" s="560"/>
      <c r="C297" s="559"/>
      <c r="D297" s="560"/>
      <c r="E297" s="560"/>
      <c r="F297" s="560"/>
      <c r="G297" s="560"/>
      <c r="H297" s="560"/>
      <c r="I297" s="560"/>
      <c r="J297" s="560"/>
      <c r="K297" s="560"/>
      <c r="L297" s="560"/>
      <c r="M297" s="560"/>
      <c r="N297" s="560"/>
      <c r="O297" s="559"/>
      <c r="P297" s="559"/>
      <c r="Q297" s="559"/>
      <c r="R297" s="560"/>
      <c r="S297" s="560"/>
      <c r="T297" s="560"/>
      <c r="U297" s="560"/>
      <c r="V297" s="560"/>
      <c r="X297" s="560"/>
      <c r="Y297" s="560"/>
      <c r="Z297" s="560"/>
      <c r="AA297" s="560"/>
      <c r="AB297" s="560"/>
      <c r="AC297" s="560"/>
      <c r="AD297" s="560"/>
      <c r="AE297" s="559"/>
      <c r="AF297" s="559"/>
      <c r="AG297" s="559"/>
      <c r="AH297" s="559"/>
      <c r="AI297" s="559"/>
      <c r="AJ297" s="559"/>
      <c r="AK297" s="559"/>
      <c r="AL297" s="560"/>
      <c r="AM297" s="560"/>
      <c r="AN297" s="559"/>
      <c r="AO297" s="559"/>
      <c r="AP297" s="560"/>
      <c r="AQ297" s="560"/>
      <c r="AR297" s="560"/>
      <c r="AS297" s="560"/>
      <c r="AT297" s="560"/>
      <c r="AU297" s="560"/>
      <c r="AV297" s="560"/>
      <c r="AW297" s="560"/>
      <c r="AX297" s="560"/>
      <c r="AY297" s="560"/>
      <c r="AZ297" s="791"/>
      <c r="BA297" s="655" t="s">
        <v>1049</v>
      </c>
      <c r="BB297" s="565">
        <v>196.7</v>
      </c>
      <c r="BC297" s="559"/>
      <c r="BD297" s="559"/>
      <c r="BE297" s="559"/>
      <c r="BF297" s="559"/>
      <c r="BG297" s="559"/>
      <c r="BH297" s="655" t="s">
        <v>1049</v>
      </c>
      <c r="BI297" s="565">
        <v>226.98</v>
      </c>
      <c r="BJ297" s="559"/>
      <c r="BK297" s="569"/>
      <c r="BL297" s="569"/>
      <c r="BM297" s="569"/>
      <c r="BN297" s="569"/>
      <c r="BO297" s="655" t="s">
        <v>1049</v>
      </c>
      <c r="BP297" s="697">
        <v>173.02</v>
      </c>
      <c r="BQ297" s="560"/>
      <c r="BR297" s="559"/>
      <c r="BS297" s="559"/>
      <c r="BT297" s="620"/>
      <c r="BU297" s="620"/>
      <c r="BV297" s="655" t="s">
        <v>1049</v>
      </c>
      <c r="BW297" s="697">
        <v>183.41</v>
      </c>
      <c r="BX297" s="560"/>
      <c r="BY297" s="560"/>
      <c r="BZ297" s="560"/>
      <c r="CA297" s="560"/>
      <c r="CB297" s="560"/>
      <c r="CC297" s="560"/>
    </row>
    <row r="298" spans="1:81">
      <c r="A298" s="560"/>
      <c r="B298" s="560"/>
      <c r="C298" s="559"/>
      <c r="D298" s="560"/>
      <c r="E298" s="560"/>
      <c r="F298" s="560"/>
      <c r="G298" s="560"/>
      <c r="H298" s="560"/>
      <c r="I298" s="560"/>
      <c r="J298" s="560"/>
      <c r="K298" s="560"/>
      <c r="L298" s="560"/>
      <c r="M298" s="560"/>
      <c r="N298" s="560"/>
      <c r="O298" s="559"/>
      <c r="P298" s="559"/>
      <c r="Q298" s="559"/>
      <c r="R298" s="560"/>
      <c r="S298" s="560"/>
      <c r="T298" s="560"/>
      <c r="U298" s="560"/>
      <c r="V298" s="560"/>
      <c r="X298" s="560"/>
      <c r="Y298" s="560"/>
      <c r="Z298" s="560"/>
      <c r="AA298" s="560"/>
      <c r="AB298" s="560"/>
      <c r="AC298" s="560"/>
      <c r="AD298" s="560"/>
      <c r="AE298" s="559"/>
      <c r="AF298" s="559"/>
      <c r="AG298" s="559"/>
      <c r="AH298" s="559"/>
      <c r="AI298" s="559"/>
      <c r="AJ298" s="559"/>
      <c r="AK298" s="559"/>
      <c r="AL298" s="560"/>
      <c r="AM298" s="560"/>
      <c r="AN298" s="559"/>
      <c r="AO298" s="559"/>
      <c r="AP298" s="560"/>
      <c r="AQ298" s="560"/>
      <c r="AR298" s="560"/>
      <c r="AS298" s="560"/>
      <c r="AT298" s="560"/>
      <c r="AU298" s="560"/>
      <c r="AV298" s="560"/>
      <c r="AW298" s="560"/>
      <c r="AX298" s="560"/>
      <c r="AY298" s="560"/>
      <c r="AZ298" s="791"/>
      <c r="BA298" s="655" t="s">
        <v>1050</v>
      </c>
      <c r="BB298" s="569">
        <v>73.150000000000006</v>
      </c>
      <c r="BC298" s="559"/>
      <c r="BD298" s="560"/>
      <c r="BE298" s="560"/>
      <c r="BF298" s="560"/>
      <c r="BG298" s="560"/>
      <c r="BH298" s="655" t="s">
        <v>1050</v>
      </c>
      <c r="BI298" s="569">
        <v>77.62</v>
      </c>
      <c r="BJ298" s="559"/>
      <c r="BK298" s="560"/>
      <c r="BL298" s="560"/>
      <c r="BM298" s="560"/>
      <c r="BN298" s="560"/>
      <c r="BO298" s="655" t="s">
        <v>1050</v>
      </c>
      <c r="BP298" s="559">
        <v>71.58</v>
      </c>
      <c r="BQ298" s="560"/>
      <c r="BR298" s="560"/>
      <c r="BS298" s="560"/>
      <c r="BT298" s="560"/>
      <c r="BU298" s="560"/>
      <c r="BV298" s="655" t="s">
        <v>1050</v>
      </c>
      <c r="BW298" s="559">
        <v>73.16</v>
      </c>
      <c r="BX298" s="560"/>
      <c r="BY298" s="560"/>
      <c r="BZ298" s="560"/>
      <c r="CA298" s="560"/>
      <c r="CB298" s="560"/>
      <c r="CC298" s="560"/>
    </row>
    <row r="299" spans="1:81">
      <c r="A299" s="560"/>
      <c r="B299" s="560"/>
      <c r="C299" s="569" t="s">
        <v>856</v>
      </c>
      <c r="D299" s="560"/>
      <c r="E299" s="560"/>
      <c r="F299" s="560"/>
      <c r="G299" s="560"/>
      <c r="H299" s="560"/>
      <c r="I299" s="560"/>
      <c r="J299" s="560"/>
      <c r="K299" s="560"/>
      <c r="L299" s="560"/>
      <c r="M299" s="560"/>
      <c r="N299" s="560"/>
      <c r="O299" s="559"/>
      <c r="P299" s="559"/>
      <c r="Q299" s="559"/>
      <c r="R299" s="560"/>
      <c r="S299" s="560"/>
      <c r="T299" s="560"/>
      <c r="U299" s="560"/>
      <c r="V299" s="560"/>
      <c r="X299" s="560"/>
      <c r="Y299" s="560"/>
      <c r="Z299" s="560"/>
      <c r="AA299" s="560"/>
      <c r="AB299" s="560"/>
      <c r="AC299" s="560"/>
      <c r="AD299" s="560"/>
      <c r="AE299" s="559"/>
      <c r="AF299" s="559"/>
      <c r="AG299" s="559"/>
      <c r="AH299" s="559"/>
      <c r="AI299" s="559"/>
      <c r="AJ299" s="559"/>
      <c r="AK299" s="559"/>
      <c r="AL299" s="560"/>
      <c r="AM299" s="560"/>
      <c r="AN299" s="559"/>
      <c r="AO299" s="559"/>
      <c r="AP299" s="560"/>
      <c r="AQ299" s="560"/>
      <c r="AR299" s="560"/>
      <c r="AS299" s="560"/>
      <c r="AT299" s="560"/>
      <c r="AU299" s="560"/>
      <c r="AV299" s="560"/>
      <c r="AW299" s="560"/>
      <c r="AX299" s="560"/>
      <c r="AY299" s="560"/>
      <c r="BA299" s="560"/>
      <c r="BB299" s="560"/>
      <c r="BC299" s="559"/>
      <c r="BD299" s="560"/>
      <c r="BE299" s="560"/>
      <c r="BF299" s="560"/>
      <c r="BG299" s="560"/>
      <c r="BH299" s="560"/>
      <c r="BI299" s="560"/>
      <c r="BJ299" s="559"/>
      <c r="BK299" s="560"/>
      <c r="BL299" s="560"/>
      <c r="BM299" s="560"/>
      <c r="BN299" s="560"/>
      <c r="BO299" s="560"/>
      <c r="BP299" s="560"/>
      <c r="BQ299" s="560"/>
      <c r="BR299" s="560"/>
      <c r="BS299" s="560"/>
      <c r="BT299" s="560"/>
      <c r="BU299" s="560"/>
      <c r="BV299" s="560"/>
      <c r="BW299" s="560"/>
      <c r="BX299" s="560"/>
      <c r="BY299" s="560"/>
      <c r="BZ299" s="560"/>
      <c r="CA299" s="560"/>
      <c r="CB299" s="560"/>
      <c r="CC299" s="560"/>
    </row>
    <row r="300" spans="1:81">
      <c r="A300" s="560"/>
      <c r="B300" s="560"/>
      <c r="C300" s="662" t="s">
        <v>868</v>
      </c>
      <c r="D300" s="662" t="s">
        <v>869</v>
      </c>
      <c r="E300" s="662" t="s">
        <v>870</v>
      </c>
      <c r="F300" s="662" t="s">
        <v>871</v>
      </c>
      <c r="G300" s="560"/>
      <c r="H300" s="560"/>
      <c r="I300" s="560"/>
      <c r="J300" s="560"/>
      <c r="K300" s="560"/>
      <c r="L300" s="560"/>
      <c r="M300" s="560"/>
      <c r="N300" s="560"/>
      <c r="O300" s="559"/>
      <c r="P300" s="559"/>
      <c r="Q300" s="559"/>
      <c r="R300" s="560"/>
      <c r="S300" s="560"/>
      <c r="T300" s="560"/>
      <c r="U300" s="560"/>
      <c r="V300" s="560"/>
      <c r="X300" s="560"/>
      <c r="Y300" s="560"/>
      <c r="Z300" s="560"/>
      <c r="AA300" s="560"/>
      <c r="AB300" s="560"/>
      <c r="AC300" s="560"/>
      <c r="AD300" s="560"/>
      <c r="AE300" s="559"/>
      <c r="AF300" s="559"/>
      <c r="AG300" s="559"/>
      <c r="AH300" s="559"/>
      <c r="AI300" s="559"/>
      <c r="AJ300" s="559"/>
      <c r="AK300" s="559"/>
      <c r="AL300" s="560"/>
      <c r="AM300" s="560"/>
      <c r="AN300" s="559"/>
      <c r="AO300" s="559"/>
      <c r="AP300" s="560"/>
      <c r="AQ300" s="560"/>
      <c r="AR300" s="560"/>
      <c r="AS300" s="560"/>
      <c r="AT300" s="560"/>
      <c r="AU300" s="560"/>
      <c r="AV300" s="560"/>
      <c r="AW300" s="560"/>
      <c r="AX300" s="560"/>
      <c r="AY300" s="560"/>
      <c r="BA300" s="560"/>
      <c r="BB300" s="560"/>
      <c r="BC300" s="559"/>
      <c r="BD300" s="560"/>
      <c r="BE300" s="560"/>
      <c r="BF300" s="560"/>
      <c r="BG300" s="560"/>
      <c r="BH300" s="560"/>
      <c r="BI300" s="560"/>
      <c r="BJ300" s="559"/>
      <c r="BK300" s="560"/>
      <c r="BL300" s="560"/>
      <c r="BM300" s="560"/>
      <c r="BN300" s="560"/>
      <c r="BO300" s="560"/>
      <c r="BP300" s="560"/>
      <c r="BQ300" s="560"/>
      <c r="BR300" s="560"/>
      <c r="BS300" s="560"/>
      <c r="BT300" s="560"/>
      <c r="BU300" s="560"/>
      <c r="BV300" s="560"/>
      <c r="BW300" s="560"/>
      <c r="BX300" s="560"/>
      <c r="BY300" s="560"/>
      <c r="BZ300" s="560"/>
      <c r="CA300" s="560"/>
      <c r="CB300" s="560"/>
      <c r="CC300" s="560"/>
    </row>
    <row r="301" spans="1:81" ht="18.75">
      <c r="A301" s="557" t="s">
        <v>866</v>
      </c>
      <c r="B301" s="558"/>
      <c r="C301" s="663">
        <v>216.32</v>
      </c>
      <c r="D301" s="663">
        <v>243.43</v>
      </c>
      <c r="E301" s="664">
        <v>218.08</v>
      </c>
      <c r="F301" s="663">
        <v>240.56</v>
      </c>
      <c r="G301" s="560"/>
      <c r="H301" s="560"/>
      <c r="I301" s="560"/>
      <c r="J301" s="560"/>
      <c r="K301" s="560"/>
      <c r="L301" s="560"/>
      <c r="M301" s="560"/>
      <c r="N301" s="560"/>
      <c r="O301" s="559"/>
      <c r="P301" s="559"/>
      <c r="Q301" s="559"/>
      <c r="R301" s="560"/>
      <c r="S301" s="560"/>
      <c r="T301" s="560"/>
      <c r="U301" s="560"/>
      <c r="V301" s="560"/>
      <c r="X301" s="560"/>
      <c r="Y301" s="560"/>
      <c r="Z301" s="560"/>
      <c r="AA301" s="560"/>
      <c r="AB301" s="560"/>
      <c r="AC301" s="560"/>
      <c r="AD301" s="560"/>
      <c r="AE301" s="559"/>
      <c r="AF301" s="559"/>
      <c r="AG301" s="559"/>
      <c r="AH301" s="559"/>
      <c r="AI301" s="559"/>
      <c r="AJ301" s="559"/>
      <c r="AK301" s="559"/>
      <c r="AL301" s="560"/>
      <c r="AM301" s="560"/>
      <c r="AN301" s="559"/>
      <c r="AO301" s="559"/>
      <c r="AP301" s="560"/>
      <c r="AQ301" s="560"/>
      <c r="AR301" s="560"/>
      <c r="AS301" s="560"/>
      <c r="AT301" s="560"/>
      <c r="AU301" s="560"/>
      <c r="AV301" s="560"/>
      <c r="AW301" s="560"/>
      <c r="AX301" s="560"/>
      <c r="AY301" s="560"/>
      <c r="BA301" s="560"/>
      <c r="BB301" s="560"/>
      <c r="BC301" s="559"/>
      <c r="BD301" s="560"/>
      <c r="BE301" s="560"/>
      <c r="BF301" s="560"/>
      <c r="BG301" s="560"/>
      <c r="BH301" s="560"/>
      <c r="BI301" s="560"/>
      <c r="BJ301" s="559"/>
      <c r="BK301" s="560"/>
      <c r="BL301" s="560"/>
      <c r="BM301" s="560"/>
      <c r="BN301" s="560"/>
      <c r="BO301" s="560"/>
      <c r="BP301" s="560"/>
      <c r="BQ301" s="560"/>
      <c r="BR301" s="560"/>
      <c r="BS301" s="560"/>
      <c r="BT301" s="560"/>
      <c r="BU301" s="560"/>
      <c r="BV301" s="560"/>
      <c r="BW301" s="560"/>
      <c r="BX301" s="560"/>
      <c r="BY301" s="560"/>
      <c r="BZ301" s="560"/>
      <c r="CA301" s="560"/>
      <c r="CB301" s="560"/>
      <c r="CC301" s="560"/>
    </row>
    <row r="302" spans="1:81" ht="18.75">
      <c r="A302" s="792" t="s">
        <v>867</v>
      </c>
      <c r="B302" s="792"/>
      <c r="C302" s="792"/>
      <c r="D302" s="792"/>
      <c r="E302" s="613"/>
      <c r="F302" s="613"/>
      <c r="G302" s="613"/>
      <c r="H302" s="613"/>
      <c r="I302" s="613"/>
      <c r="J302" s="613"/>
      <c r="K302" s="613"/>
      <c r="L302" s="613"/>
      <c r="M302" s="613"/>
      <c r="N302" s="613"/>
      <c r="O302" s="614"/>
      <c r="P302" s="614"/>
      <c r="Q302" s="614"/>
      <c r="R302" s="613"/>
      <c r="S302" s="613"/>
      <c r="T302" s="613"/>
      <c r="U302" s="613"/>
      <c r="V302" s="613"/>
      <c r="W302" s="90"/>
      <c r="X302" s="613"/>
      <c r="Y302" s="613"/>
      <c r="Z302" s="613"/>
      <c r="AA302" s="613"/>
      <c r="AB302" s="613"/>
      <c r="AC302" s="613"/>
      <c r="AD302" s="613"/>
      <c r="AE302" s="614"/>
      <c r="AF302" s="614"/>
      <c r="AG302" s="614"/>
      <c r="AH302" s="614"/>
      <c r="AI302" s="614"/>
      <c r="AJ302" s="614"/>
      <c r="AK302" s="614"/>
      <c r="AL302" s="613"/>
      <c r="AM302" s="613"/>
      <c r="AN302" s="614"/>
      <c r="AO302" s="614"/>
      <c r="AP302" s="613"/>
      <c r="AQ302" s="613"/>
      <c r="AR302" s="613"/>
      <c r="AS302" s="613"/>
      <c r="AT302" s="613"/>
      <c r="AU302" s="613"/>
      <c r="AV302" s="613"/>
      <c r="AW302" s="613"/>
      <c r="AX302" s="613"/>
      <c r="AY302" s="613"/>
      <c r="AZ302" s="89"/>
      <c r="BA302" s="613"/>
      <c r="BB302" s="613"/>
      <c r="BC302" s="614"/>
      <c r="BD302" s="613"/>
      <c r="BE302" s="613"/>
      <c r="BF302" s="613"/>
      <c r="BG302" s="613"/>
      <c r="BH302" s="613"/>
      <c r="BI302" s="613"/>
      <c r="BJ302" s="614"/>
      <c r="BK302" s="613"/>
      <c r="BL302" s="613"/>
      <c r="BM302" s="613"/>
      <c r="BN302" s="613"/>
      <c r="BO302" s="613"/>
      <c r="BP302" s="613"/>
      <c r="BQ302" s="613"/>
      <c r="BR302" s="613"/>
      <c r="BS302" s="613"/>
      <c r="BT302" s="613"/>
      <c r="BU302" s="613"/>
      <c r="BV302" s="613"/>
      <c r="BW302" s="613"/>
      <c r="BX302" s="613"/>
      <c r="BY302" s="613"/>
      <c r="BZ302" s="613"/>
      <c r="CA302" s="613"/>
      <c r="CB302" s="613"/>
      <c r="CC302" s="560"/>
    </row>
    <row r="303" spans="1:81">
      <c r="A303" s="560"/>
      <c r="B303" s="560"/>
      <c r="C303" s="559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59"/>
      <c r="P303" s="559"/>
      <c r="Q303" s="559"/>
      <c r="R303" s="560"/>
      <c r="S303" s="560"/>
      <c r="T303" s="560"/>
      <c r="U303" s="560"/>
      <c r="V303" s="560"/>
      <c r="X303" s="560"/>
      <c r="Y303" s="560"/>
      <c r="Z303" s="560"/>
      <c r="AA303" s="560"/>
      <c r="AB303" s="560"/>
      <c r="AC303" s="560"/>
      <c r="AD303" s="560"/>
      <c r="AE303" s="559"/>
      <c r="AF303" s="559"/>
      <c r="AG303" s="559"/>
      <c r="AH303" s="559"/>
      <c r="AI303" s="559"/>
      <c r="AJ303" s="559"/>
      <c r="AK303" s="559"/>
      <c r="AL303" s="560"/>
      <c r="AM303" s="560"/>
      <c r="AN303" s="559"/>
      <c r="AO303" s="559"/>
      <c r="AP303" s="560"/>
      <c r="AQ303" s="560"/>
      <c r="AR303" s="560"/>
      <c r="AS303" s="560"/>
      <c r="AT303" s="560"/>
      <c r="AU303" s="560"/>
      <c r="AV303" s="560"/>
      <c r="AW303" s="560"/>
      <c r="AX303" s="560"/>
      <c r="AY303" s="560"/>
      <c r="BA303" s="560"/>
      <c r="BB303" s="560"/>
      <c r="BC303" s="559"/>
      <c r="BD303" s="560"/>
      <c r="BE303" s="560"/>
      <c r="BF303" s="560"/>
      <c r="BG303" s="560"/>
      <c r="BH303" s="560"/>
      <c r="BI303" s="560"/>
      <c r="BJ303" s="559"/>
      <c r="BK303" s="560"/>
      <c r="BL303" s="560"/>
      <c r="BM303" s="560"/>
      <c r="BN303" s="560"/>
      <c r="BO303" s="560"/>
      <c r="BP303" s="560"/>
      <c r="BQ303" s="560"/>
      <c r="BR303" s="560"/>
      <c r="BS303" s="560"/>
      <c r="BT303" s="560"/>
      <c r="BU303" s="560"/>
      <c r="BV303" s="560"/>
      <c r="BW303" s="560"/>
      <c r="BX303" s="560"/>
      <c r="BY303" s="560"/>
      <c r="BZ303" s="560"/>
      <c r="CA303" s="560"/>
      <c r="CB303" s="560"/>
      <c r="CC303" s="560"/>
    </row>
    <row r="304" spans="1:81">
      <c r="A304" s="565" t="s">
        <v>134</v>
      </c>
      <c r="B304" s="640" t="s">
        <v>124</v>
      </c>
      <c r="C304" s="641" t="s">
        <v>119</v>
      </c>
      <c r="D304" s="642" t="s">
        <v>111</v>
      </c>
      <c r="E304" s="569"/>
      <c r="F304" s="569"/>
      <c r="G304" s="570"/>
      <c r="H304" s="640" t="s">
        <v>124</v>
      </c>
      <c r="I304" s="642" t="s">
        <v>119</v>
      </c>
      <c r="J304" s="642" t="s">
        <v>111</v>
      </c>
      <c r="K304" s="569"/>
      <c r="L304" s="569"/>
      <c r="M304" s="571" t="s">
        <v>124</v>
      </c>
      <c r="N304" s="642" t="s">
        <v>119</v>
      </c>
      <c r="O304" s="641" t="s">
        <v>111</v>
      </c>
      <c r="P304" s="559"/>
      <c r="Q304" s="559"/>
      <c r="R304" s="571" t="s">
        <v>124</v>
      </c>
      <c r="S304" s="642" t="s">
        <v>119</v>
      </c>
      <c r="T304" s="642" t="s">
        <v>111</v>
      </c>
      <c r="U304" s="569"/>
      <c r="V304" s="569"/>
      <c r="W304" s="447" t="s">
        <v>133</v>
      </c>
      <c r="X304" s="571" t="s">
        <v>124</v>
      </c>
      <c r="Y304" s="642" t="s">
        <v>119</v>
      </c>
      <c r="Z304" s="642" t="s">
        <v>111</v>
      </c>
      <c r="AA304" s="569"/>
      <c r="AB304" s="569"/>
      <c r="AC304" s="569"/>
      <c r="AD304" s="570"/>
      <c r="AE304" s="640" t="s">
        <v>124</v>
      </c>
      <c r="AF304" s="642" t="s">
        <v>119</v>
      </c>
      <c r="AG304" s="642" t="s">
        <v>111</v>
      </c>
      <c r="AH304" s="569"/>
      <c r="AI304" s="569"/>
      <c r="AJ304" s="569"/>
      <c r="AK304" s="570"/>
      <c r="AL304" s="571" t="s">
        <v>124</v>
      </c>
      <c r="AM304" s="642" t="s">
        <v>119</v>
      </c>
      <c r="AN304" s="642" t="s">
        <v>111</v>
      </c>
      <c r="AO304" s="569"/>
      <c r="AP304" s="569"/>
      <c r="AQ304" s="569"/>
      <c r="AR304" s="700"/>
      <c r="AS304" s="571" t="s">
        <v>124</v>
      </c>
      <c r="AT304" s="642" t="s">
        <v>119</v>
      </c>
      <c r="AU304" s="642" t="s">
        <v>111</v>
      </c>
      <c r="AV304" s="569"/>
      <c r="AW304" s="569"/>
      <c r="AX304" s="569"/>
      <c r="AY304" s="700"/>
      <c r="AZ304" s="447" t="s">
        <v>141</v>
      </c>
      <c r="BA304" s="640" t="s">
        <v>124</v>
      </c>
      <c r="BB304" s="642" t="s">
        <v>119</v>
      </c>
      <c r="BC304" s="642" t="s">
        <v>111</v>
      </c>
      <c r="BD304" s="569"/>
      <c r="BE304" s="569"/>
      <c r="BF304" s="569"/>
      <c r="BG304" s="569"/>
      <c r="BH304" s="640" t="s">
        <v>124</v>
      </c>
      <c r="BI304" s="641" t="s">
        <v>119</v>
      </c>
      <c r="BJ304" s="641" t="s">
        <v>111</v>
      </c>
      <c r="BK304" s="569"/>
      <c r="BL304" s="569"/>
      <c r="BM304" s="569"/>
      <c r="BN304" s="569"/>
      <c r="BO304" s="571" t="s">
        <v>124</v>
      </c>
      <c r="BP304" s="642" t="s">
        <v>119</v>
      </c>
      <c r="BQ304" s="642" t="s">
        <v>111</v>
      </c>
      <c r="BR304" s="560"/>
      <c r="BS304" s="569"/>
      <c r="BT304" s="569"/>
      <c r="BU304" s="569"/>
      <c r="BV304" s="672" t="s">
        <v>124</v>
      </c>
      <c r="BW304" s="641" t="s">
        <v>119</v>
      </c>
      <c r="BX304" s="641" t="s">
        <v>111</v>
      </c>
      <c r="BY304" s="559"/>
      <c r="BZ304" s="559"/>
      <c r="CA304" s="559"/>
      <c r="CB304" s="570"/>
      <c r="CC304" s="560"/>
    </row>
    <row r="305" spans="1:81">
      <c r="A305" s="565"/>
      <c r="B305" s="572"/>
      <c r="C305" s="573" t="s">
        <v>801</v>
      </c>
      <c r="D305" s="574" t="s">
        <v>112</v>
      </c>
      <c r="E305" s="569"/>
      <c r="F305" s="569"/>
      <c r="G305" s="570"/>
      <c r="H305" s="572"/>
      <c r="I305" s="573" t="s">
        <v>801</v>
      </c>
      <c r="J305" s="643" t="s">
        <v>114</v>
      </c>
      <c r="K305" s="569"/>
      <c r="L305" s="569"/>
      <c r="M305" s="572"/>
      <c r="N305" s="573" t="s">
        <v>796</v>
      </c>
      <c r="O305" s="645" t="s">
        <v>4</v>
      </c>
      <c r="P305" s="559"/>
      <c r="Q305" s="559"/>
      <c r="R305" s="572"/>
      <c r="S305" s="573" t="s">
        <v>796</v>
      </c>
      <c r="T305" s="643" t="s">
        <v>114</v>
      </c>
      <c r="U305" s="801"/>
      <c r="V305" s="801"/>
      <c r="W305" s="80"/>
      <c r="X305" s="572"/>
      <c r="Y305" s="573" t="s">
        <v>801</v>
      </c>
      <c r="Z305" s="574" t="s">
        <v>112</v>
      </c>
      <c r="AA305" s="569"/>
      <c r="AB305" s="569"/>
      <c r="AC305" s="569"/>
      <c r="AD305" s="570"/>
      <c r="AE305" s="572"/>
      <c r="AF305" s="573" t="s">
        <v>801</v>
      </c>
      <c r="AG305" s="643" t="s">
        <v>114</v>
      </c>
      <c r="AH305" s="569"/>
      <c r="AI305" s="569"/>
      <c r="AJ305" s="569"/>
      <c r="AK305" s="570"/>
      <c r="AL305" s="572"/>
      <c r="AM305" s="573" t="s">
        <v>796</v>
      </c>
      <c r="AN305" s="645" t="s">
        <v>4</v>
      </c>
      <c r="AO305" s="569"/>
      <c r="AP305" s="569"/>
      <c r="AQ305" s="569"/>
      <c r="AR305" s="700"/>
      <c r="AS305" s="572"/>
      <c r="AT305" s="573" t="s">
        <v>796</v>
      </c>
      <c r="AU305" s="643" t="s">
        <v>114</v>
      </c>
      <c r="AV305" s="801"/>
      <c r="AW305" s="801"/>
      <c r="AX305" s="569"/>
      <c r="AY305" s="700"/>
      <c r="AZ305" s="80"/>
      <c r="BA305" s="572"/>
      <c r="BB305" s="573" t="s">
        <v>801</v>
      </c>
      <c r="BC305" s="574" t="s">
        <v>112</v>
      </c>
      <c r="BD305" s="569"/>
      <c r="BE305" s="569"/>
      <c r="BF305" s="673"/>
      <c r="BG305" s="674"/>
      <c r="BH305" s="572"/>
      <c r="BI305" s="573" t="s">
        <v>801</v>
      </c>
      <c r="BJ305" s="643" t="s">
        <v>114</v>
      </c>
      <c r="BK305" s="569" t="s">
        <v>143</v>
      </c>
      <c r="BL305" s="569"/>
      <c r="BM305" s="569"/>
      <c r="BN305" s="569"/>
      <c r="BO305" s="572"/>
      <c r="BP305" s="573" t="s">
        <v>796</v>
      </c>
      <c r="BQ305" s="645" t="s">
        <v>4</v>
      </c>
      <c r="BR305" s="560"/>
      <c r="BS305" s="569"/>
      <c r="BT305" s="569"/>
      <c r="BU305" s="569"/>
      <c r="BV305" s="572"/>
      <c r="BW305" s="573" t="s">
        <v>796</v>
      </c>
      <c r="BX305" s="643" t="s">
        <v>114</v>
      </c>
      <c r="BY305" s="814"/>
      <c r="BZ305" s="814"/>
      <c r="CA305" s="559"/>
      <c r="CB305" s="570"/>
      <c r="CC305" s="560"/>
    </row>
    <row r="306" spans="1:81" ht="63">
      <c r="A306" s="564"/>
      <c r="B306" s="579" t="s">
        <v>122</v>
      </c>
      <c r="C306" s="580" t="s">
        <v>121</v>
      </c>
      <c r="D306" s="581" t="s">
        <v>125</v>
      </c>
      <c r="E306" s="796" t="s">
        <v>1013</v>
      </c>
      <c r="F306" s="796"/>
      <c r="G306" s="797"/>
      <c r="H306" s="582" t="s">
        <v>121</v>
      </c>
      <c r="I306" s="581" t="s">
        <v>125</v>
      </c>
      <c r="J306" s="796" t="s">
        <v>1013</v>
      </c>
      <c r="K306" s="796"/>
      <c r="L306" s="797"/>
      <c r="M306" s="582" t="s">
        <v>121</v>
      </c>
      <c r="N306" s="581" t="s">
        <v>125</v>
      </c>
      <c r="O306" s="796" t="s">
        <v>1013</v>
      </c>
      <c r="P306" s="796"/>
      <c r="Q306" s="797"/>
      <c r="R306" s="582" t="s">
        <v>121</v>
      </c>
      <c r="S306" s="581" t="s">
        <v>125</v>
      </c>
      <c r="T306" s="796" t="s">
        <v>1013</v>
      </c>
      <c r="U306" s="796"/>
      <c r="V306" s="797"/>
      <c r="W306" s="5"/>
      <c r="X306" s="582" t="s">
        <v>121</v>
      </c>
      <c r="Y306" s="584" t="s">
        <v>126</v>
      </c>
      <c r="Z306" s="583" t="s">
        <v>127</v>
      </c>
      <c r="AA306" s="583" t="s">
        <v>128</v>
      </c>
      <c r="AB306" s="583" t="s">
        <v>129</v>
      </c>
      <c r="AC306" s="583" t="s">
        <v>130</v>
      </c>
      <c r="AD306" s="701" t="s">
        <v>131</v>
      </c>
      <c r="AE306" s="582" t="s">
        <v>121</v>
      </c>
      <c r="AF306" s="583" t="s">
        <v>126</v>
      </c>
      <c r="AG306" s="583" t="s">
        <v>127</v>
      </c>
      <c r="AH306" s="583" t="s">
        <v>128</v>
      </c>
      <c r="AI306" s="583" t="s">
        <v>129</v>
      </c>
      <c r="AJ306" s="583" t="s">
        <v>130</v>
      </c>
      <c r="AK306" s="701" t="s">
        <v>131</v>
      </c>
      <c r="AL306" s="582" t="s">
        <v>121</v>
      </c>
      <c r="AM306" s="583" t="s">
        <v>126</v>
      </c>
      <c r="AN306" s="583" t="s">
        <v>127</v>
      </c>
      <c r="AO306" s="583" t="s">
        <v>128</v>
      </c>
      <c r="AP306" s="583" t="s">
        <v>129</v>
      </c>
      <c r="AQ306" s="583" t="s">
        <v>130</v>
      </c>
      <c r="AR306" s="696" t="s">
        <v>131</v>
      </c>
      <c r="AS306" s="582" t="s">
        <v>121</v>
      </c>
      <c r="AT306" s="583" t="s">
        <v>126</v>
      </c>
      <c r="AU306" s="695" t="s">
        <v>127</v>
      </c>
      <c r="AV306" s="695" t="s">
        <v>128</v>
      </c>
      <c r="AW306" s="583" t="s">
        <v>129</v>
      </c>
      <c r="AX306" s="583" t="s">
        <v>130</v>
      </c>
      <c r="AY306" s="696" t="s">
        <v>131</v>
      </c>
      <c r="AZ306" s="75"/>
      <c r="BA306" s="648" t="s">
        <v>121</v>
      </c>
      <c r="BB306" s="583" t="s">
        <v>143</v>
      </c>
      <c r="BC306" s="583" t="s">
        <v>888</v>
      </c>
      <c r="BD306" s="583" t="s">
        <v>1045</v>
      </c>
      <c r="BE306" s="583" t="s">
        <v>1044</v>
      </c>
      <c r="BF306" s="666" t="s">
        <v>1051</v>
      </c>
      <c r="BG306" s="666" t="s">
        <v>1052</v>
      </c>
      <c r="BH306" s="648" t="s">
        <v>121</v>
      </c>
      <c r="BI306" s="583" t="s">
        <v>143</v>
      </c>
      <c r="BJ306" s="583" t="s">
        <v>888</v>
      </c>
      <c r="BK306" s="583" t="s">
        <v>1045</v>
      </c>
      <c r="BL306" s="583" t="s">
        <v>1044</v>
      </c>
      <c r="BM306" s="666" t="s">
        <v>1051</v>
      </c>
      <c r="BN306" s="666" t="s">
        <v>1052</v>
      </c>
      <c r="BO306" s="648" t="s">
        <v>121</v>
      </c>
      <c r="BP306" s="583" t="s">
        <v>143</v>
      </c>
      <c r="BQ306" s="583" t="s">
        <v>888</v>
      </c>
      <c r="BR306" s="583" t="s">
        <v>1045</v>
      </c>
      <c r="BS306" s="583" t="s">
        <v>1044</v>
      </c>
      <c r="BT306" s="666" t="s">
        <v>1051</v>
      </c>
      <c r="BU306" s="666" t="s">
        <v>1052</v>
      </c>
      <c r="BV306" s="648" t="s">
        <v>121</v>
      </c>
      <c r="BW306" s="583" t="s">
        <v>143</v>
      </c>
      <c r="BX306" s="583" t="s">
        <v>888</v>
      </c>
      <c r="BY306" s="583" t="s">
        <v>1045</v>
      </c>
      <c r="BZ306" s="583" t="s">
        <v>1044</v>
      </c>
      <c r="CA306" s="666" t="s">
        <v>1051</v>
      </c>
      <c r="CB306" s="666" t="s">
        <v>1052</v>
      </c>
      <c r="CC306" s="560"/>
    </row>
    <row r="307" spans="1:81" ht="15.75">
      <c r="A307" s="564"/>
      <c r="B307" s="585" t="s">
        <v>120</v>
      </c>
      <c r="C307" s="559">
        <v>0</v>
      </c>
      <c r="D307" s="612">
        <f>$BB$324+229.16+0.09</f>
        <v>444.32</v>
      </c>
      <c r="E307" s="27">
        <v>0</v>
      </c>
      <c r="F307" s="27">
        <v>0</v>
      </c>
      <c r="G307" s="94">
        <v>0</v>
      </c>
      <c r="H307" s="559">
        <v>0</v>
      </c>
      <c r="I307" s="612">
        <f>0.09+215.03+252.34</f>
        <v>467.46000000000004</v>
      </c>
      <c r="J307" s="27">
        <v>0</v>
      </c>
      <c r="K307" s="258">
        <v>0</v>
      </c>
      <c r="L307" s="94">
        <v>0</v>
      </c>
      <c r="M307" s="559">
        <v>0</v>
      </c>
      <c r="N307" s="649">
        <f>0.1+214.9+231.7</f>
        <v>446.7</v>
      </c>
      <c r="O307" s="27">
        <v>0</v>
      </c>
      <c r="P307" s="258">
        <v>0</v>
      </c>
      <c r="Q307" s="94">
        <v>0</v>
      </c>
      <c r="R307" s="559">
        <v>0</v>
      </c>
      <c r="S307" s="649">
        <f>0.09+214.66+248.43</f>
        <v>463.18</v>
      </c>
      <c r="T307" s="27">
        <v>0</v>
      </c>
      <c r="U307" s="258">
        <v>0</v>
      </c>
      <c r="V307" s="94">
        <v>0</v>
      </c>
      <c r="W307" s="5"/>
      <c r="X307" s="650">
        <v>0</v>
      </c>
      <c r="Y307" s="651">
        <f t="shared" ref="Y307:Y321" si="272">AVERAGE(E307:G307)/10</f>
        <v>0</v>
      </c>
      <c r="Z307" s="620">
        <v>9.6440000000000001</v>
      </c>
      <c r="AA307" s="620">
        <v>4.5170000000000003</v>
      </c>
      <c r="AB307" s="620">
        <f t="shared" ref="AB307:AB322" si="273">Z307-(AA307+Y307)</f>
        <v>5.1269999999999998</v>
      </c>
      <c r="AC307" s="620">
        <f t="shared" ref="AC307:AC322" si="274">3*Z307+AA307+Y307</f>
        <v>33.449000000000005</v>
      </c>
      <c r="AD307" s="653">
        <f t="shared" ref="AD307:AD322" si="275">1.398*(10^-6)*(X307^2)*AB307*AC307</f>
        <v>0</v>
      </c>
      <c r="AE307" s="650">
        <v>0</v>
      </c>
      <c r="AF307" s="620">
        <f t="shared" ref="AF307:AF322" si="276">AVERAGE(J307:L307)/10</f>
        <v>0</v>
      </c>
      <c r="AG307" s="620">
        <v>9.6440000000000001</v>
      </c>
      <c r="AH307" s="620">
        <v>4.5170000000000003</v>
      </c>
      <c r="AI307" s="620">
        <f t="shared" ref="AI307:AI322" si="277">AG307-(AH307+AF307)</f>
        <v>5.1269999999999998</v>
      </c>
      <c r="AJ307" s="620">
        <f t="shared" ref="AJ307:AJ322" si="278">3*AG307+AH307+AF307</f>
        <v>33.449000000000005</v>
      </c>
      <c r="AK307" s="653">
        <f t="shared" ref="AK307:AK322" si="279">1.398*(10^-6)*(AE307^2)*AI307*AJ307</f>
        <v>0</v>
      </c>
      <c r="AL307" s="650">
        <v>0</v>
      </c>
      <c r="AM307" s="620">
        <f t="shared" ref="AM307:AM322" si="280">AVERAGE(O307:Q307)/10</f>
        <v>0</v>
      </c>
      <c r="AN307" s="620">
        <v>9.6440000000000001</v>
      </c>
      <c r="AO307" s="620">
        <v>4.5170000000000003</v>
      </c>
      <c r="AP307" s="620">
        <f t="shared" ref="AP307:AP322" si="281">AN307-(AO307+AM307)</f>
        <v>5.1269999999999998</v>
      </c>
      <c r="AQ307" s="620">
        <f t="shared" ref="AQ307:AQ322" si="282">3*AN307+AO307+AM307</f>
        <v>33.449000000000005</v>
      </c>
      <c r="AR307" s="698">
        <f t="shared" ref="AR307:AR322" si="283">1.398*(10^-6)*(AL307^2)*AP307*AQ307</f>
        <v>0</v>
      </c>
      <c r="AS307" s="650">
        <v>0</v>
      </c>
      <c r="AT307" s="620">
        <f>AVERAGE(T307:V307)/10</f>
        <v>0</v>
      </c>
      <c r="AU307" s="620">
        <v>9.6440000000000001</v>
      </c>
      <c r="AV307" s="620">
        <v>4.5170000000000003</v>
      </c>
      <c r="AW307" s="620">
        <f t="shared" ref="AW307:AW322" si="284">AU307-(AV307+AT307)</f>
        <v>5.1269999999999998</v>
      </c>
      <c r="AX307" s="620">
        <f t="shared" ref="AX307:AX322" si="285">3*AU307+AV307+AT307</f>
        <v>33.449000000000005</v>
      </c>
      <c r="AY307" s="698">
        <f t="shared" ref="AY307:AY322" si="286">1.398*(10^-6)*(AS307^2)*AW307*AX307</f>
        <v>0</v>
      </c>
      <c r="AZ307" s="75"/>
      <c r="BA307" s="650">
        <v>0</v>
      </c>
      <c r="BB307" s="620">
        <v>103.50685607036536</v>
      </c>
      <c r="BC307" s="720">
        <f>(BB325-BB326)/BB307</f>
        <v>1.0839861653582146</v>
      </c>
      <c r="BD307" s="714">
        <f>D307-BB323</f>
        <v>43.900000000000034</v>
      </c>
      <c r="BE307" s="693">
        <f>BB325-BB326</f>
        <v>112.19999999999999</v>
      </c>
      <c r="BF307" s="693">
        <f t="shared" ref="BF307:BF322" si="287">BD307/BE307*100</f>
        <v>39.126559714795043</v>
      </c>
      <c r="BG307" s="668">
        <f t="shared" ref="BG307:BG322" si="288">BF307*BC307</f>
        <v>42.412649428899876</v>
      </c>
      <c r="BH307" s="650">
        <v>0</v>
      </c>
      <c r="BI307" s="620">
        <v>103.50685607036536</v>
      </c>
      <c r="BJ307" s="720">
        <f>(BI325-BI326)/BI307</f>
        <v>1.3355637032007097</v>
      </c>
      <c r="BK307" s="714">
        <f>I307-BI323</f>
        <v>36.57000000000005</v>
      </c>
      <c r="BL307" s="693">
        <f>BI325-BI326</f>
        <v>138.24</v>
      </c>
      <c r="BM307" s="693">
        <f t="shared" ref="BM307:BM322" si="289">BK307/BL307*100</f>
        <v>26.453993055555593</v>
      </c>
      <c r="BN307" s="668">
        <f t="shared" ref="BN307:BN322" si="290">BM307*BJ307</f>
        <v>35.330992929723685</v>
      </c>
      <c r="BO307" s="650">
        <v>0</v>
      </c>
      <c r="BP307" s="681">
        <v>103.50685607036536</v>
      </c>
      <c r="BQ307" s="720">
        <f>(BP325-BP326)/BP307</f>
        <v>1.1020526014475185</v>
      </c>
      <c r="BR307" s="714">
        <f>N307-BP323</f>
        <v>46.149999999999977</v>
      </c>
      <c r="BS307" s="693">
        <f>BP325-BP326</f>
        <v>114.07000000000001</v>
      </c>
      <c r="BT307" s="693">
        <f t="shared" ref="BT307:BT322" si="291">BR307/BS307*100</f>
        <v>40.457613745945444</v>
      </c>
      <c r="BU307" s="668">
        <f t="shared" ref="BU307:BU322" si="292">BT307*BQ307</f>
        <v>44.586418477078062</v>
      </c>
      <c r="BV307" s="650">
        <v>0</v>
      </c>
      <c r="BW307" s="620">
        <v>103.50685607036536</v>
      </c>
      <c r="BX307" s="720">
        <f>(BW325-BW326)/BW307</f>
        <v>1.3426163761125767</v>
      </c>
      <c r="BY307" s="714">
        <f>S307-BW323</f>
        <v>36.390000000000043</v>
      </c>
      <c r="BZ307" s="693">
        <f>BW325-BW326</f>
        <v>138.97</v>
      </c>
      <c r="CA307" s="693">
        <f t="shared" ref="CA307:CA322" si="293">BY307/BZ307*100</f>
        <v>26.185507663524533</v>
      </c>
      <c r="CB307" s="668">
        <f t="shared" ref="CB307:CB322" si="294">CA307*BX307</f>
        <v>35.157091405869416</v>
      </c>
      <c r="CC307" s="560"/>
    </row>
    <row r="308" spans="1:81" ht="15.75">
      <c r="A308" s="564"/>
      <c r="B308" s="585" t="s">
        <v>116</v>
      </c>
      <c r="C308" s="559">
        <v>300</v>
      </c>
      <c r="D308" s="612">
        <f>$BB$324+0.09+227.24</f>
        <v>442.4</v>
      </c>
      <c r="E308" s="27">
        <v>0.53</v>
      </c>
      <c r="F308" s="27">
        <v>0</v>
      </c>
      <c r="G308" s="94">
        <v>0.5</v>
      </c>
      <c r="H308" s="559">
        <v>300</v>
      </c>
      <c r="I308" s="612">
        <f>0.09+215.03+252.09</f>
        <v>467.21000000000004</v>
      </c>
      <c r="J308" s="27">
        <v>0</v>
      </c>
      <c r="K308" s="258">
        <v>0</v>
      </c>
      <c r="L308" s="94">
        <v>0</v>
      </c>
      <c r="M308" s="559">
        <v>300</v>
      </c>
      <c r="N308" s="649">
        <f>0.1+214.9+229.27</f>
        <v>444.27</v>
      </c>
      <c r="O308" s="27">
        <v>0</v>
      </c>
      <c r="P308" s="27">
        <v>0</v>
      </c>
      <c r="Q308" s="559">
        <v>0</v>
      </c>
      <c r="R308" s="559">
        <v>300</v>
      </c>
      <c r="S308" s="649">
        <f>0.09+214.66+248.28</f>
        <v>463.03</v>
      </c>
      <c r="T308" s="27">
        <v>0</v>
      </c>
      <c r="U308" s="258">
        <v>0</v>
      </c>
      <c r="V308" s="94">
        <v>0</v>
      </c>
      <c r="W308" s="5"/>
      <c r="X308" s="650">
        <v>300</v>
      </c>
      <c r="Y308" s="651">
        <f t="shared" si="272"/>
        <v>3.4333333333333334E-2</v>
      </c>
      <c r="Z308" s="620">
        <v>9.6440000000000001</v>
      </c>
      <c r="AA308" s="620">
        <v>4.5170000000000003</v>
      </c>
      <c r="AB308" s="620">
        <f t="shared" si="273"/>
        <v>5.0926666666666662</v>
      </c>
      <c r="AC308" s="620">
        <f t="shared" si="274"/>
        <v>33.483333333333341</v>
      </c>
      <c r="AD308" s="653">
        <f t="shared" si="275"/>
        <v>21.454757898</v>
      </c>
      <c r="AE308" s="650">
        <v>300</v>
      </c>
      <c r="AF308" s="620">
        <f t="shared" si="276"/>
        <v>0</v>
      </c>
      <c r="AG308" s="620">
        <v>9.6440000000000001</v>
      </c>
      <c r="AH308" s="620">
        <v>4.5170000000000003</v>
      </c>
      <c r="AI308" s="620">
        <f t="shared" si="277"/>
        <v>5.1269999999999998</v>
      </c>
      <c r="AJ308" s="620">
        <f t="shared" si="278"/>
        <v>33.449000000000005</v>
      </c>
      <c r="AK308" s="653">
        <f t="shared" si="279"/>
        <v>21.577252153859998</v>
      </c>
      <c r="AL308" s="650">
        <v>300</v>
      </c>
      <c r="AM308" s="620">
        <f t="shared" si="280"/>
        <v>0</v>
      </c>
      <c r="AN308" s="620">
        <v>9.6440000000000001</v>
      </c>
      <c r="AO308" s="620">
        <v>4.5170000000000003</v>
      </c>
      <c r="AP308" s="620">
        <f t="shared" si="281"/>
        <v>5.1269999999999998</v>
      </c>
      <c r="AQ308" s="620">
        <f t="shared" si="282"/>
        <v>33.449000000000005</v>
      </c>
      <c r="AR308" s="698">
        <f t="shared" si="283"/>
        <v>21.577252153859998</v>
      </c>
      <c r="AS308" s="650">
        <v>300</v>
      </c>
      <c r="AT308" s="620">
        <f t="shared" ref="AT308:AT321" si="295">AVERAGE(T308:V308)/10</f>
        <v>0</v>
      </c>
      <c r="AU308" s="620">
        <v>9.6440000000000001</v>
      </c>
      <c r="AV308" s="620">
        <v>4.5170000000000003</v>
      </c>
      <c r="AW308" s="620">
        <f t="shared" si="284"/>
        <v>5.1269999999999998</v>
      </c>
      <c r="AX308" s="620">
        <f t="shared" si="285"/>
        <v>33.449000000000005</v>
      </c>
      <c r="AY308" s="698">
        <f t="shared" si="286"/>
        <v>21.577252153859998</v>
      </c>
      <c r="AZ308" s="75"/>
      <c r="BA308" s="650">
        <v>300</v>
      </c>
      <c r="BB308" s="620">
        <v>103.50685607036536</v>
      </c>
      <c r="BC308" s="720">
        <f>(BB325-BB326)/BB307</f>
        <v>1.0839861653582146</v>
      </c>
      <c r="BD308" s="714">
        <f>D308-BB323</f>
        <v>41.980000000000018</v>
      </c>
      <c r="BE308" s="693">
        <f>BB325-BB326</f>
        <v>112.19999999999999</v>
      </c>
      <c r="BF308" s="693">
        <f t="shared" si="287"/>
        <v>37.415329768270965</v>
      </c>
      <c r="BG308" s="668">
        <f t="shared" si="288"/>
        <v>40.557699841121099</v>
      </c>
      <c r="BH308" s="650">
        <v>300</v>
      </c>
      <c r="BI308" s="620">
        <v>103.50685607036536</v>
      </c>
      <c r="BJ308" s="720">
        <f>(BI325-BI326)/BI307</f>
        <v>1.3355637032007097</v>
      </c>
      <c r="BK308" s="714">
        <f>I308-BI323</f>
        <v>36.32000000000005</v>
      </c>
      <c r="BL308" s="693">
        <f>BI325-BI326</f>
        <v>138.24</v>
      </c>
      <c r="BM308" s="693">
        <f t="shared" si="289"/>
        <v>26.273148148148184</v>
      </c>
      <c r="BN308" s="668">
        <f t="shared" si="290"/>
        <v>35.089463035481657</v>
      </c>
      <c r="BO308" s="650">
        <v>300</v>
      </c>
      <c r="BP308" s="681">
        <v>103.50685607036536</v>
      </c>
      <c r="BQ308" s="720">
        <f>(BP325-BP326)/BP307</f>
        <v>1.1020526014475185</v>
      </c>
      <c r="BR308" s="714">
        <f>N308-BP323</f>
        <v>43.71999999999997</v>
      </c>
      <c r="BS308" s="693">
        <f>BP325-BP326</f>
        <v>114.07000000000001</v>
      </c>
      <c r="BT308" s="693">
        <f t="shared" si="291"/>
        <v>38.327342859647558</v>
      </c>
      <c r="BU308" s="668">
        <f t="shared" si="292"/>
        <v>42.238747905045564</v>
      </c>
      <c r="BV308" s="650">
        <v>300</v>
      </c>
      <c r="BW308" s="620">
        <v>103.50685607036536</v>
      </c>
      <c r="BX308" s="720">
        <f>(BW325-BW326)/BW307</f>
        <v>1.3426163761125767</v>
      </c>
      <c r="BY308" s="714">
        <f>S308-BW323</f>
        <v>36.240000000000009</v>
      </c>
      <c r="BZ308" s="693">
        <f>BW325-BW326</f>
        <v>138.97</v>
      </c>
      <c r="CA308" s="693">
        <f t="shared" si="293"/>
        <v>26.077570698711959</v>
      </c>
      <c r="CB308" s="668">
        <f t="shared" si="294"/>
        <v>35.012173469324168</v>
      </c>
      <c r="CC308" s="560"/>
    </row>
    <row r="309" spans="1:81" ht="15.75">
      <c r="A309" s="564"/>
      <c r="B309" s="585" t="s">
        <v>116</v>
      </c>
      <c r="C309" s="559">
        <v>350</v>
      </c>
      <c r="D309" s="612">
        <f>$BB$324+0.09+226.86</f>
        <v>442.02</v>
      </c>
      <c r="E309" s="652">
        <v>1.37</v>
      </c>
      <c r="F309" s="652">
        <v>1.45</v>
      </c>
      <c r="G309" s="653">
        <v>1.1100000000000001</v>
      </c>
      <c r="H309" s="559">
        <v>350</v>
      </c>
      <c r="I309" s="612">
        <f>0.09+215.03+251.98</f>
        <v>467.1</v>
      </c>
      <c r="J309" s="27">
        <v>0</v>
      </c>
      <c r="K309" s="260">
        <v>0</v>
      </c>
      <c r="L309" s="548">
        <v>0</v>
      </c>
      <c r="M309" s="559">
        <v>350</v>
      </c>
      <c r="N309" s="649">
        <f>0.1+214.9+228.84</f>
        <v>443.84000000000003</v>
      </c>
      <c r="O309" s="27">
        <v>0</v>
      </c>
      <c r="P309" s="27">
        <v>0</v>
      </c>
      <c r="Q309" s="559">
        <v>0</v>
      </c>
      <c r="R309" s="559">
        <v>350</v>
      </c>
      <c r="S309" s="649">
        <f>0.09+214.66+248.15</f>
        <v>462.9</v>
      </c>
      <c r="T309" s="27">
        <v>0</v>
      </c>
      <c r="U309" s="258">
        <v>0</v>
      </c>
      <c r="V309" s="94">
        <v>0</v>
      </c>
      <c r="W309" s="5"/>
      <c r="X309" s="650">
        <v>350</v>
      </c>
      <c r="Y309" s="651">
        <f t="shared" si="272"/>
        <v>0.13100000000000003</v>
      </c>
      <c r="Z309" s="620">
        <v>9.6440000000000001</v>
      </c>
      <c r="AA309" s="620">
        <v>4.5170000000000003</v>
      </c>
      <c r="AB309" s="620">
        <f t="shared" si="273"/>
        <v>4.9959999999999996</v>
      </c>
      <c r="AC309" s="620">
        <f t="shared" si="274"/>
        <v>33.580000000000005</v>
      </c>
      <c r="AD309" s="653">
        <f t="shared" si="275"/>
        <v>28.730711528399997</v>
      </c>
      <c r="AE309" s="650">
        <v>350</v>
      </c>
      <c r="AF309" s="620">
        <f t="shared" si="276"/>
        <v>0</v>
      </c>
      <c r="AG309" s="620">
        <v>9.6440000000000001</v>
      </c>
      <c r="AH309" s="620">
        <v>4.5170000000000003</v>
      </c>
      <c r="AI309" s="620">
        <f t="shared" si="277"/>
        <v>5.1269999999999998</v>
      </c>
      <c r="AJ309" s="620">
        <f t="shared" si="278"/>
        <v>33.449000000000005</v>
      </c>
      <c r="AK309" s="653">
        <f t="shared" si="279"/>
        <v>29.369037653864996</v>
      </c>
      <c r="AL309" s="650">
        <v>350</v>
      </c>
      <c r="AM309" s="620">
        <f t="shared" si="280"/>
        <v>0</v>
      </c>
      <c r="AN309" s="620">
        <v>9.6440000000000001</v>
      </c>
      <c r="AO309" s="620">
        <v>4.5170000000000003</v>
      </c>
      <c r="AP309" s="620">
        <f t="shared" si="281"/>
        <v>5.1269999999999998</v>
      </c>
      <c r="AQ309" s="620">
        <f t="shared" si="282"/>
        <v>33.449000000000005</v>
      </c>
      <c r="AR309" s="698">
        <f t="shared" si="283"/>
        <v>29.369037653864996</v>
      </c>
      <c r="AS309" s="650">
        <v>350</v>
      </c>
      <c r="AT309" s="620">
        <f t="shared" si="295"/>
        <v>0</v>
      </c>
      <c r="AU309" s="620">
        <v>9.6440000000000001</v>
      </c>
      <c r="AV309" s="620">
        <v>4.5170000000000003</v>
      </c>
      <c r="AW309" s="620">
        <f t="shared" si="284"/>
        <v>5.1269999999999998</v>
      </c>
      <c r="AX309" s="620">
        <f t="shared" si="285"/>
        <v>33.449000000000005</v>
      </c>
      <c r="AY309" s="698">
        <f t="shared" si="286"/>
        <v>29.369037653864996</v>
      </c>
      <c r="AZ309" s="75"/>
      <c r="BA309" s="650">
        <v>350</v>
      </c>
      <c r="BB309" s="620">
        <v>103.50685607036536</v>
      </c>
      <c r="BC309" s="720">
        <f>(BB325-BB326)/BB307</f>
        <v>1.0839861653582146</v>
      </c>
      <c r="BD309" s="714">
        <f>D309-BB323</f>
        <v>41.600000000000023</v>
      </c>
      <c r="BE309" s="693">
        <f>BB325-BB326</f>
        <v>112.19999999999999</v>
      </c>
      <c r="BF309" s="693">
        <f t="shared" si="287"/>
        <v>37.076648841354746</v>
      </c>
      <c r="BG309" s="668">
        <f t="shared" si="288"/>
        <v>40.190574401873221</v>
      </c>
      <c r="BH309" s="650">
        <v>350</v>
      </c>
      <c r="BI309" s="620">
        <v>103.50685607036536</v>
      </c>
      <c r="BJ309" s="720">
        <f>(BI325-BI326)/BI307</f>
        <v>1.3355637032007097</v>
      </c>
      <c r="BK309" s="714">
        <f>I309-BI323</f>
        <v>36.210000000000036</v>
      </c>
      <c r="BL309" s="693">
        <f>BI325-BI326</f>
        <v>138.24</v>
      </c>
      <c r="BM309" s="693">
        <f t="shared" si="289"/>
        <v>26.193576388888911</v>
      </c>
      <c r="BN309" s="668">
        <f t="shared" si="290"/>
        <v>34.983189882015147</v>
      </c>
      <c r="BO309" s="650">
        <v>350</v>
      </c>
      <c r="BP309" s="681">
        <v>103.50685607036536</v>
      </c>
      <c r="BQ309" s="720">
        <f>(BP325-BP326)/BP307</f>
        <v>1.1020526014475185</v>
      </c>
      <c r="BR309" s="714">
        <f>N309-BP323</f>
        <v>43.29000000000002</v>
      </c>
      <c r="BS309" s="693">
        <f>BP325-BP326</f>
        <v>114.07000000000001</v>
      </c>
      <c r="BT309" s="693">
        <f t="shared" si="291"/>
        <v>37.950381344788305</v>
      </c>
      <c r="BU309" s="668">
        <f t="shared" si="292"/>
        <v>41.823316486949324</v>
      </c>
      <c r="BV309" s="650">
        <v>350</v>
      </c>
      <c r="BW309" s="620">
        <v>103.50685607036536</v>
      </c>
      <c r="BX309" s="720">
        <f>(BW325-BW326)/BW307</f>
        <v>1.3426163761125767</v>
      </c>
      <c r="BY309" s="714">
        <f>S309-BW323</f>
        <v>36.110000000000014</v>
      </c>
      <c r="BZ309" s="693">
        <f>BW325-BW326</f>
        <v>138.97</v>
      </c>
      <c r="CA309" s="693">
        <f t="shared" si="293"/>
        <v>25.984025329207753</v>
      </c>
      <c r="CB309" s="668">
        <f t="shared" si="294"/>
        <v>34.886577924318317</v>
      </c>
      <c r="CC309" s="560"/>
    </row>
    <row r="310" spans="1:81" ht="15.75">
      <c r="A310" s="564"/>
      <c r="B310" s="585" t="s">
        <v>116</v>
      </c>
      <c r="C310" s="559">
        <v>450</v>
      </c>
      <c r="D310" s="612">
        <f>$BB$324+0.09+225.5</f>
        <v>440.65999999999997</v>
      </c>
      <c r="E310" s="652">
        <v>2.38</v>
      </c>
      <c r="F310" s="652">
        <v>1.71</v>
      </c>
      <c r="G310" s="653">
        <v>2.09</v>
      </c>
      <c r="H310" s="559">
        <v>450</v>
      </c>
      <c r="I310" s="612">
        <f>0.09+215.03+251.18</f>
        <v>466.3</v>
      </c>
      <c r="J310" s="260">
        <v>0</v>
      </c>
      <c r="K310" s="260">
        <v>0</v>
      </c>
      <c r="L310" s="94">
        <v>0</v>
      </c>
      <c r="M310" s="559">
        <v>450</v>
      </c>
      <c r="N310" s="649">
        <f>0.1+214.9+227.74</f>
        <v>442.74</v>
      </c>
      <c r="O310" s="559">
        <v>1.44</v>
      </c>
      <c r="P310" s="559">
        <v>0</v>
      </c>
      <c r="Q310" s="559">
        <v>1.36</v>
      </c>
      <c r="R310" s="559">
        <v>450</v>
      </c>
      <c r="S310" s="649">
        <f>0.09+214.66+247.41</f>
        <v>462.15999999999997</v>
      </c>
      <c r="T310" s="27">
        <v>0</v>
      </c>
      <c r="U310" s="258">
        <v>0</v>
      </c>
      <c r="V310" s="94">
        <v>0</v>
      </c>
      <c r="W310" s="5"/>
      <c r="X310" s="650">
        <v>450</v>
      </c>
      <c r="Y310" s="651">
        <f t="shared" si="272"/>
        <v>0.20600000000000002</v>
      </c>
      <c r="Z310" s="620">
        <v>9.6440000000000001</v>
      </c>
      <c r="AA310" s="620">
        <v>4.5170000000000003</v>
      </c>
      <c r="AB310" s="620">
        <f t="shared" si="273"/>
        <v>4.9209999999999994</v>
      </c>
      <c r="AC310" s="620">
        <f t="shared" si="274"/>
        <v>33.655000000000008</v>
      </c>
      <c r="AD310" s="653">
        <f t="shared" si="275"/>
        <v>46.885133709224995</v>
      </c>
      <c r="AE310" s="650">
        <v>450</v>
      </c>
      <c r="AF310" s="620">
        <f t="shared" si="276"/>
        <v>0</v>
      </c>
      <c r="AG310" s="620">
        <v>9.6440000000000001</v>
      </c>
      <c r="AH310" s="620">
        <v>4.5170000000000003</v>
      </c>
      <c r="AI310" s="620">
        <f t="shared" si="277"/>
        <v>5.1269999999999998</v>
      </c>
      <c r="AJ310" s="620">
        <f t="shared" si="278"/>
        <v>33.449000000000005</v>
      </c>
      <c r="AK310" s="653">
        <f t="shared" si="279"/>
        <v>48.54881734618499</v>
      </c>
      <c r="AL310" s="650">
        <v>450</v>
      </c>
      <c r="AM310" s="620">
        <f t="shared" si="280"/>
        <v>9.3333333333333324E-2</v>
      </c>
      <c r="AN310" s="620">
        <v>9.6440000000000001</v>
      </c>
      <c r="AO310" s="620">
        <v>4.5170000000000003</v>
      </c>
      <c r="AP310" s="620">
        <f t="shared" si="281"/>
        <v>5.0336666666666661</v>
      </c>
      <c r="AQ310" s="620">
        <f t="shared" si="282"/>
        <v>33.542333333333339</v>
      </c>
      <c r="AR310" s="698">
        <f t="shared" si="283"/>
        <v>47.798021725784992</v>
      </c>
      <c r="AS310" s="650">
        <v>450</v>
      </c>
      <c r="AT310" s="620">
        <f t="shared" si="295"/>
        <v>0</v>
      </c>
      <c r="AU310" s="620">
        <v>9.6440000000000001</v>
      </c>
      <c r="AV310" s="620">
        <v>4.5170000000000003</v>
      </c>
      <c r="AW310" s="620">
        <f t="shared" si="284"/>
        <v>5.1269999999999998</v>
      </c>
      <c r="AX310" s="620">
        <f t="shared" si="285"/>
        <v>33.449000000000005</v>
      </c>
      <c r="AY310" s="698">
        <f t="shared" si="286"/>
        <v>48.54881734618499</v>
      </c>
      <c r="AZ310" s="75"/>
      <c r="BA310" s="650">
        <v>450</v>
      </c>
      <c r="BB310" s="620">
        <v>103.50685607036536</v>
      </c>
      <c r="BC310" s="720">
        <f>(BB325-BB326)/BB307</f>
        <v>1.0839861653582146</v>
      </c>
      <c r="BD310" s="714">
        <f>D310-BB323</f>
        <v>40.240000000000009</v>
      </c>
      <c r="BE310" s="693">
        <f>BB325-BB326</f>
        <v>112.19999999999999</v>
      </c>
      <c r="BF310" s="693">
        <f t="shared" si="287"/>
        <v>35.864527629233521</v>
      </c>
      <c r="BG310" s="668">
        <f t="shared" si="288"/>
        <v>38.876651777196585</v>
      </c>
      <c r="BH310" s="650">
        <v>450</v>
      </c>
      <c r="BI310" s="620">
        <v>103.50685607036536</v>
      </c>
      <c r="BJ310" s="720">
        <f>(BI325-BI326)/BI307</f>
        <v>1.3355637032007097</v>
      </c>
      <c r="BK310" s="714">
        <f>I310-BI323</f>
        <v>35.410000000000025</v>
      </c>
      <c r="BL310" s="693">
        <f>BI325-BI326</f>
        <v>138.24</v>
      </c>
      <c r="BM310" s="693">
        <f t="shared" si="289"/>
        <v>25.614872685185201</v>
      </c>
      <c r="BN310" s="668">
        <f t="shared" si="290"/>
        <v>34.210294220440652</v>
      </c>
      <c r="BO310" s="650">
        <v>450</v>
      </c>
      <c r="BP310" s="681">
        <v>103.50685607036536</v>
      </c>
      <c r="BQ310" s="720">
        <f>(BP325-BP326)/BP307</f>
        <v>1.1020526014475185</v>
      </c>
      <c r="BR310" s="714">
        <f>N310-BP323</f>
        <v>42.19</v>
      </c>
      <c r="BS310" s="693">
        <f>BP325-BP326</f>
        <v>114.07000000000001</v>
      </c>
      <c r="BT310" s="693">
        <f t="shared" si="291"/>
        <v>36.986061190497061</v>
      </c>
      <c r="BU310" s="668">
        <f t="shared" si="292"/>
        <v>40.76058495228439</v>
      </c>
      <c r="BV310" s="650">
        <v>450</v>
      </c>
      <c r="BW310" s="620">
        <v>103.50685607036536</v>
      </c>
      <c r="BX310" s="720">
        <f>(BW325-BW326)/BW307</f>
        <v>1.3426163761125767</v>
      </c>
      <c r="BY310" s="714">
        <f>S310-BW323</f>
        <v>35.370000000000005</v>
      </c>
      <c r="BZ310" s="693">
        <f>BW325-BW326</f>
        <v>138.97</v>
      </c>
      <c r="CA310" s="693">
        <f t="shared" si="293"/>
        <v>25.45153630279917</v>
      </c>
      <c r="CB310" s="668">
        <f t="shared" si="294"/>
        <v>34.171649437361907</v>
      </c>
      <c r="CC310" s="560"/>
    </row>
    <row r="311" spans="1:81" ht="15.75">
      <c r="A311" s="564"/>
      <c r="B311" s="585" t="s">
        <v>116</v>
      </c>
      <c r="C311" s="559">
        <v>550</v>
      </c>
      <c r="D311" s="612">
        <f>$BB$324+0.09+224.24</f>
        <v>439.4</v>
      </c>
      <c r="E311" s="652">
        <v>3.44</v>
      </c>
      <c r="F311" s="652">
        <v>2.16</v>
      </c>
      <c r="G311" s="653">
        <v>1.49</v>
      </c>
      <c r="H311" s="559">
        <v>550</v>
      </c>
      <c r="I311" s="612">
        <f>0.09+215.03+251.11</f>
        <v>466.23</v>
      </c>
      <c r="J311" s="620">
        <v>0</v>
      </c>
      <c r="K311" s="649">
        <v>0</v>
      </c>
      <c r="L311" s="588">
        <v>0</v>
      </c>
      <c r="M311" s="559">
        <v>550</v>
      </c>
      <c r="N311" s="649">
        <f>0.1+214.9+226.49</f>
        <v>441.49</v>
      </c>
      <c r="O311" s="559">
        <v>1.44</v>
      </c>
      <c r="P311" s="559">
        <v>1.3</v>
      </c>
      <c r="Q311" s="559">
        <v>1.45</v>
      </c>
      <c r="R311" s="559">
        <v>550</v>
      </c>
      <c r="S311" s="649">
        <f>0.09+214.66+247.34</f>
        <v>462.09000000000003</v>
      </c>
      <c r="T311" s="27">
        <v>0</v>
      </c>
      <c r="U311" s="258">
        <v>0</v>
      </c>
      <c r="V311" s="94">
        <v>0</v>
      </c>
      <c r="W311" s="5"/>
      <c r="X311" s="650">
        <v>550</v>
      </c>
      <c r="Y311" s="651">
        <f t="shared" si="272"/>
        <v>0.23633333333333334</v>
      </c>
      <c r="Z311" s="620">
        <v>9.6440000000000001</v>
      </c>
      <c r="AA311" s="620">
        <v>4.5170000000000003</v>
      </c>
      <c r="AB311" s="620">
        <f t="shared" si="273"/>
        <v>4.8906666666666663</v>
      </c>
      <c r="AC311" s="620">
        <f t="shared" si="274"/>
        <v>33.68533333333334</v>
      </c>
      <c r="AD311" s="653">
        <f t="shared" si="275"/>
        <v>69.669302611626662</v>
      </c>
      <c r="AE311" s="650">
        <v>550</v>
      </c>
      <c r="AF311" s="620">
        <f t="shared" si="276"/>
        <v>0</v>
      </c>
      <c r="AG311" s="620">
        <v>9.6440000000000001</v>
      </c>
      <c r="AH311" s="620">
        <v>4.5170000000000003</v>
      </c>
      <c r="AI311" s="620">
        <f t="shared" si="277"/>
        <v>5.1269999999999998</v>
      </c>
      <c r="AJ311" s="620">
        <f t="shared" si="278"/>
        <v>33.449000000000005</v>
      </c>
      <c r="AK311" s="653">
        <f t="shared" si="279"/>
        <v>72.523541961584996</v>
      </c>
      <c r="AL311" s="650">
        <v>550</v>
      </c>
      <c r="AM311" s="620">
        <f t="shared" si="280"/>
        <v>0.13966666666666666</v>
      </c>
      <c r="AN311" s="620">
        <v>9.6440000000000001</v>
      </c>
      <c r="AO311" s="620">
        <v>4.5170000000000003</v>
      </c>
      <c r="AP311" s="620">
        <f t="shared" si="281"/>
        <v>4.987333333333333</v>
      </c>
      <c r="AQ311" s="620">
        <f t="shared" si="282"/>
        <v>33.588666666666668</v>
      </c>
      <c r="AR311" s="698">
        <f t="shared" si="283"/>
        <v>70.842472546926643</v>
      </c>
      <c r="AS311" s="650">
        <v>550</v>
      </c>
      <c r="AT311" s="620">
        <f t="shared" si="295"/>
        <v>0</v>
      </c>
      <c r="AU311" s="620">
        <v>9.6440000000000001</v>
      </c>
      <c r="AV311" s="620">
        <v>4.5170000000000003</v>
      </c>
      <c r="AW311" s="620">
        <f t="shared" si="284"/>
        <v>5.1269999999999998</v>
      </c>
      <c r="AX311" s="620">
        <f t="shared" si="285"/>
        <v>33.449000000000005</v>
      </c>
      <c r="AY311" s="698">
        <f t="shared" si="286"/>
        <v>72.523541961584996</v>
      </c>
      <c r="AZ311" s="75"/>
      <c r="BA311" s="650">
        <v>550</v>
      </c>
      <c r="BB311" s="620">
        <v>103.50685607036536</v>
      </c>
      <c r="BC311" s="720">
        <f>(BB325-BB326)/BB307</f>
        <v>1.0839861653582146</v>
      </c>
      <c r="BD311" s="714">
        <f>D311-BB323</f>
        <v>38.980000000000018</v>
      </c>
      <c r="BE311" s="693">
        <f>BB325-BB326</f>
        <v>112.19999999999999</v>
      </c>
      <c r="BF311" s="693">
        <f t="shared" si="287"/>
        <v>34.741532976827116</v>
      </c>
      <c r="BG311" s="668">
        <f t="shared" si="288"/>
        <v>37.659341110216786</v>
      </c>
      <c r="BH311" s="650">
        <v>550</v>
      </c>
      <c r="BI311" s="620">
        <v>103.50685607036536</v>
      </c>
      <c r="BJ311" s="720">
        <f>(BI325-BI326)/BI307</f>
        <v>1.3355637032007097</v>
      </c>
      <c r="BK311" s="714">
        <f>I311-BI323</f>
        <v>35.340000000000032</v>
      </c>
      <c r="BL311" s="693">
        <f>BI325-BI326</f>
        <v>138.24</v>
      </c>
      <c r="BM311" s="693">
        <f t="shared" si="289"/>
        <v>25.564236111111132</v>
      </c>
      <c r="BN311" s="668">
        <f t="shared" si="290"/>
        <v>34.142665850052893</v>
      </c>
      <c r="BO311" s="650">
        <v>550</v>
      </c>
      <c r="BP311" s="681">
        <v>103.50685607036536</v>
      </c>
      <c r="BQ311" s="720">
        <f>(BP325-BP326)/BP307</f>
        <v>1.1020526014475185</v>
      </c>
      <c r="BR311" s="714">
        <f>N311-BP323</f>
        <v>40.94</v>
      </c>
      <c r="BS311" s="693">
        <f>BP325-BP326</f>
        <v>114.07000000000001</v>
      </c>
      <c r="BT311" s="693">
        <f t="shared" si="291"/>
        <v>35.890242833347941</v>
      </c>
      <c r="BU311" s="668">
        <f t="shared" si="292"/>
        <v>39.552935481074257</v>
      </c>
      <c r="BV311" s="650">
        <v>550</v>
      </c>
      <c r="BW311" s="620">
        <v>103.50685607036536</v>
      </c>
      <c r="BX311" s="720">
        <f>(BW325-BW326)/BW307</f>
        <v>1.3426163761125767</v>
      </c>
      <c r="BY311" s="714">
        <f>S311-BW323</f>
        <v>35.300000000000068</v>
      </c>
      <c r="BZ311" s="693">
        <f>BW325-BW326</f>
        <v>138.97</v>
      </c>
      <c r="CA311" s="693">
        <f t="shared" si="293"/>
        <v>25.401165719220025</v>
      </c>
      <c r="CB311" s="668">
        <f t="shared" si="294"/>
        <v>34.104021066974205</v>
      </c>
      <c r="CC311" s="560"/>
    </row>
    <row r="312" spans="1:81" ht="15.75">
      <c r="A312" s="564"/>
      <c r="B312" s="585" t="s">
        <v>116</v>
      </c>
      <c r="C312" s="559">
        <v>650</v>
      </c>
      <c r="D312" s="612">
        <f>$BB$324+0.09+223.31</f>
        <v>438.47</v>
      </c>
      <c r="E312" s="652">
        <v>2.58</v>
      </c>
      <c r="F312" s="652">
        <v>2.4</v>
      </c>
      <c r="G312" s="653">
        <v>2.0299999999999998</v>
      </c>
      <c r="H312" s="559">
        <v>650</v>
      </c>
      <c r="I312" s="612">
        <f>0.09+215.03+250.62</f>
        <v>465.74</v>
      </c>
      <c r="J312" s="620">
        <v>0</v>
      </c>
      <c r="K312" s="649">
        <v>0</v>
      </c>
      <c r="L312" s="588">
        <v>0</v>
      </c>
      <c r="M312" s="559">
        <v>650</v>
      </c>
      <c r="N312" s="649">
        <f>0.1+214.9+225.47</f>
        <v>440.47</v>
      </c>
      <c r="O312" s="559">
        <v>1.52</v>
      </c>
      <c r="P312" s="559">
        <v>2.31</v>
      </c>
      <c r="Q312" s="559">
        <v>1.89</v>
      </c>
      <c r="R312" s="559">
        <v>650</v>
      </c>
      <c r="S312" s="649">
        <f>0.09+214.66+247.28</f>
        <v>462.03</v>
      </c>
      <c r="T312" s="27">
        <v>0</v>
      </c>
      <c r="U312" s="258">
        <v>0</v>
      </c>
      <c r="V312" s="94">
        <v>0</v>
      </c>
      <c r="W312" s="5"/>
      <c r="X312" s="650">
        <v>650</v>
      </c>
      <c r="Y312" s="651">
        <f t="shared" si="272"/>
        <v>0.23366666666666663</v>
      </c>
      <c r="Z312" s="620">
        <v>9.6440000000000001</v>
      </c>
      <c r="AA312" s="620">
        <v>4.5170000000000003</v>
      </c>
      <c r="AB312" s="620">
        <f t="shared" si="273"/>
        <v>4.8933333333333335</v>
      </c>
      <c r="AC312" s="620">
        <f t="shared" si="274"/>
        <v>33.68266666666667</v>
      </c>
      <c r="AD312" s="653">
        <f t="shared" si="275"/>
        <v>97.352061615466667</v>
      </c>
      <c r="AE312" s="650">
        <v>650</v>
      </c>
      <c r="AF312" s="620">
        <f t="shared" si="276"/>
        <v>0</v>
      </c>
      <c r="AG312" s="620">
        <v>9.6440000000000001</v>
      </c>
      <c r="AH312" s="620">
        <v>4.5170000000000003</v>
      </c>
      <c r="AI312" s="620">
        <f t="shared" si="277"/>
        <v>5.1269999999999998</v>
      </c>
      <c r="AJ312" s="620">
        <f t="shared" si="278"/>
        <v>33.449000000000005</v>
      </c>
      <c r="AK312" s="653">
        <f t="shared" si="279"/>
        <v>101.293211500065</v>
      </c>
      <c r="AL312" s="650">
        <v>650</v>
      </c>
      <c r="AM312" s="620">
        <f t="shared" si="280"/>
        <v>0.19066666666666665</v>
      </c>
      <c r="AN312" s="620">
        <v>9.6440000000000001</v>
      </c>
      <c r="AO312" s="620">
        <v>4.5170000000000003</v>
      </c>
      <c r="AP312" s="620">
        <f t="shared" si="281"/>
        <v>4.9363333333333328</v>
      </c>
      <c r="AQ312" s="620">
        <f t="shared" si="282"/>
        <v>33.63966666666667</v>
      </c>
      <c r="AR312" s="698">
        <f t="shared" si="283"/>
        <v>98.082165732611656</v>
      </c>
      <c r="AS312" s="650">
        <v>650</v>
      </c>
      <c r="AT312" s="620">
        <f t="shared" si="295"/>
        <v>0</v>
      </c>
      <c r="AU312" s="620">
        <v>9.6440000000000001</v>
      </c>
      <c r="AV312" s="620">
        <v>4.5170000000000003</v>
      </c>
      <c r="AW312" s="620">
        <f t="shared" si="284"/>
        <v>5.1269999999999998</v>
      </c>
      <c r="AX312" s="620">
        <f t="shared" si="285"/>
        <v>33.449000000000005</v>
      </c>
      <c r="AY312" s="698">
        <f t="shared" si="286"/>
        <v>101.293211500065</v>
      </c>
      <c r="AZ312" s="75"/>
      <c r="BA312" s="650">
        <v>650</v>
      </c>
      <c r="BB312" s="620">
        <v>103.50685607036536</v>
      </c>
      <c r="BC312" s="720">
        <f>(BB325-BB326)/BB307</f>
        <v>1.0839861653582146</v>
      </c>
      <c r="BD312" s="714">
        <f>D312-BB323</f>
        <v>38.050000000000068</v>
      </c>
      <c r="BE312" s="693">
        <f>BB325-BB326</f>
        <v>112.19999999999999</v>
      </c>
      <c r="BF312" s="693">
        <f t="shared" si="287"/>
        <v>33.912655971479566</v>
      </c>
      <c r="BG312" s="668">
        <f t="shared" si="288"/>
        <v>36.76084990363649</v>
      </c>
      <c r="BH312" s="650">
        <v>650</v>
      </c>
      <c r="BI312" s="620">
        <v>103.50685607036536</v>
      </c>
      <c r="BJ312" s="720">
        <f>(BI325-BI326)/BI307</f>
        <v>1.3355637032007097</v>
      </c>
      <c r="BK312" s="714">
        <f>I312-BI323</f>
        <v>34.850000000000023</v>
      </c>
      <c r="BL312" s="693">
        <f>BI325-BI326</f>
        <v>138.24</v>
      </c>
      <c r="BM312" s="693">
        <f t="shared" si="289"/>
        <v>25.209780092592609</v>
      </c>
      <c r="BN312" s="668">
        <f t="shared" si="290"/>
        <v>33.669267257338518</v>
      </c>
      <c r="BO312" s="650">
        <v>650</v>
      </c>
      <c r="BP312" s="681">
        <v>103.50685607036536</v>
      </c>
      <c r="BQ312" s="720">
        <f>(BP325-BP326)/BP307</f>
        <v>1.1020526014475185</v>
      </c>
      <c r="BR312" s="714">
        <f>N312-BP323</f>
        <v>39.920000000000016</v>
      </c>
      <c r="BS312" s="693">
        <f>BP325-BP326</f>
        <v>114.07000000000001</v>
      </c>
      <c r="BT312" s="693">
        <f t="shared" si="291"/>
        <v>34.996055053914276</v>
      </c>
      <c r="BU312" s="668">
        <f t="shared" si="292"/>
        <v>38.567493512566806</v>
      </c>
      <c r="BV312" s="650">
        <v>650</v>
      </c>
      <c r="BW312" s="620">
        <v>103.50685607036536</v>
      </c>
      <c r="BX312" s="720">
        <f>(BW325-BW326)/BW307</f>
        <v>1.3426163761125767</v>
      </c>
      <c r="BY312" s="714">
        <f>S312-BW323</f>
        <v>35.240000000000009</v>
      </c>
      <c r="BZ312" s="693">
        <f>BW325-BW326</f>
        <v>138.97</v>
      </c>
      <c r="CA312" s="693">
        <f t="shared" si="293"/>
        <v>25.35799093329496</v>
      </c>
      <c r="CB312" s="668">
        <f t="shared" si="294"/>
        <v>34.046053892356056</v>
      </c>
      <c r="CC312" s="560"/>
    </row>
    <row r="313" spans="1:81" ht="15.75">
      <c r="A313" s="564"/>
      <c r="B313" s="585" t="s">
        <v>116</v>
      </c>
      <c r="C313" s="559">
        <v>750</v>
      </c>
      <c r="D313" s="612">
        <f>$BB$324+0.09+222.54</f>
        <v>437.7</v>
      </c>
      <c r="E313" s="652">
        <v>2.69</v>
      </c>
      <c r="F313" s="652">
        <v>2</v>
      </c>
      <c r="G313" s="653">
        <v>2.08</v>
      </c>
      <c r="H313" s="559">
        <v>750</v>
      </c>
      <c r="I313" s="612">
        <f>0.09+215.03+250.15</f>
        <v>465.27</v>
      </c>
      <c r="J313" s="620">
        <v>0</v>
      </c>
      <c r="K313" s="649">
        <v>0</v>
      </c>
      <c r="L313" s="588">
        <v>0</v>
      </c>
      <c r="M313" s="559">
        <v>750</v>
      </c>
      <c r="N313" s="649">
        <f>0.1+214.9+224.61</f>
        <v>439.61</v>
      </c>
      <c r="O313" s="559">
        <v>1.69</v>
      </c>
      <c r="P313" s="559">
        <v>2.5</v>
      </c>
      <c r="Q313" s="559">
        <v>2.2400000000000002</v>
      </c>
      <c r="R313" s="559">
        <v>750</v>
      </c>
      <c r="S313" s="649">
        <f>0.09+214.66+246.53</f>
        <v>461.28</v>
      </c>
      <c r="T313" s="649">
        <v>0.84</v>
      </c>
      <c r="U313" s="649">
        <v>0.84</v>
      </c>
      <c r="V313" s="649">
        <v>1.29</v>
      </c>
      <c r="W313" s="5"/>
      <c r="X313" s="650">
        <v>750</v>
      </c>
      <c r="Y313" s="651">
        <f t="shared" si="272"/>
        <v>0.22566666666666663</v>
      </c>
      <c r="Z313" s="620">
        <v>9.6440000000000001</v>
      </c>
      <c r="AA313" s="620">
        <v>4.5170000000000003</v>
      </c>
      <c r="AB313" s="620">
        <f t="shared" si="273"/>
        <v>4.9013333333333335</v>
      </c>
      <c r="AC313" s="620">
        <f t="shared" si="274"/>
        <v>33.674666666666674</v>
      </c>
      <c r="AD313" s="653">
        <f t="shared" si="275"/>
        <v>129.79179628800003</v>
      </c>
      <c r="AE313" s="650">
        <v>750</v>
      </c>
      <c r="AF313" s="620">
        <f t="shared" si="276"/>
        <v>0</v>
      </c>
      <c r="AG313" s="620">
        <v>9.6440000000000001</v>
      </c>
      <c r="AH313" s="620">
        <v>4.5170000000000003</v>
      </c>
      <c r="AI313" s="620">
        <f t="shared" si="277"/>
        <v>5.1269999999999998</v>
      </c>
      <c r="AJ313" s="620">
        <f t="shared" si="278"/>
        <v>33.449000000000005</v>
      </c>
      <c r="AK313" s="653">
        <f t="shared" si="279"/>
        <v>134.857825961625</v>
      </c>
      <c r="AL313" s="650">
        <v>750</v>
      </c>
      <c r="AM313" s="620">
        <f t="shared" si="280"/>
        <v>0.21433333333333332</v>
      </c>
      <c r="AN313" s="620">
        <v>9.6440000000000001</v>
      </c>
      <c r="AO313" s="620">
        <v>4.5170000000000003</v>
      </c>
      <c r="AP313" s="620">
        <f t="shared" si="281"/>
        <v>4.9126666666666665</v>
      </c>
      <c r="AQ313" s="620">
        <f t="shared" si="282"/>
        <v>33.663333333333341</v>
      </c>
      <c r="AR313" s="698">
        <f t="shared" si="283"/>
        <v>130.04813042250001</v>
      </c>
      <c r="AS313" s="650">
        <v>750</v>
      </c>
      <c r="AT313" s="620">
        <f t="shared" si="295"/>
        <v>9.8999999999999991E-2</v>
      </c>
      <c r="AU313" s="620">
        <v>9.6440000000000001</v>
      </c>
      <c r="AV313" s="620">
        <v>4.5170000000000003</v>
      </c>
      <c r="AW313" s="620">
        <f t="shared" si="284"/>
        <v>5.0279999999999996</v>
      </c>
      <c r="AX313" s="620">
        <f t="shared" si="285"/>
        <v>33.548000000000002</v>
      </c>
      <c r="AY313" s="698">
        <f t="shared" si="286"/>
        <v>132.64521913799999</v>
      </c>
      <c r="AZ313" s="75"/>
      <c r="BA313" s="650">
        <v>750</v>
      </c>
      <c r="BB313" s="620">
        <v>103.50685607036536</v>
      </c>
      <c r="BC313" s="720">
        <f>(BB325-BB326)/BB307</f>
        <v>1.0839861653582146</v>
      </c>
      <c r="BD313" s="714">
        <f>D313-BB323</f>
        <v>37.28000000000003</v>
      </c>
      <c r="BE313" s="693">
        <f>BB325-BB326</f>
        <v>112.19999999999999</v>
      </c>
      <c r="BF313" s="693">
        <f t="shared" si="287"/>
        <v>33.226381461675608</v>
      </c>
      <c r="BG313" s="668">
        <f t="shared" si="288"/>
        <v>36.01693782937101</v>
      </c>
      <c r="BH313" s="650">
        <v>750</v>
      </c>
      <c r="BI313" s="620">
        <v>103.50685607036536</v>
      </c>
      <c r="BJ313" s="720">
        <f>(BI325-BI326)/BI307</f>
        <v>1.3355637032007097</v>
      </c>
      <c r="BK313" s="714">
        <f>I313-BI323</f>
        <v>34.379999999999995</v>
      </c>
      <c r="BL313" s="693">
        <f>BI325-BI326</f>
        <v>138.24</v>
      </c>
      <c r="BM313" s="693">
        <f t="shared" si="289"/>
        <v>24.869791666666664</v>
      </c>
      <c r="BN313" s="668">
        <f t="shared" si="290"/>
        <v>33.215191056163484</v>
      </c>
      <c r="BO313" s="650">
        <v>750</v>
      </c>
      <c r="BP313" s="681">
        <v>103.50685607036536</v>
      </c>
      <c r="BQ313" s="720">
        <f>(BP325-BP326)/BP307</f>
        <v>1.1020526014475185</v>
      </c>
      <c r="BR313" s="714">
        <f>N313-BP323</f>
        <v>39.06</v>
      </c>
      <c r="BS313" s="693">
        <f>BP325-BP326</f>
        <v>114.07000000000001</v>
      </c>
      <c r="BT313" s="693">
        <f t="shared" si="291"/>
        <v>34.242132024195669</v>
      </c>
      <c r="BU313" s="668">
        <f t="shared" si="292"/>
        <v>37.736630676374219</v>
      </c>
      <c r="BV313" s="650">
        <v>750</v>
      </c>
      <c r="BW313" s="620">
        <v>103.50685607036536</v>
      </c>
      <c r="BX313" s="720">
        <f>(BW325-BW326)/BW307</f>
        <v>1.3426163761125767</v>
      </c>
      <c r="BY313" s="714">
        <f>S313-BW323</f>
        <v>34.490000000000009</v>
      </c>
      <c r="BZ313" s="693">
        <f>BW325-BW326</f>
        <v>138.97</v>
      </c>
      <c r="CA313" s="693">
        <f t="shared" si="293"/>
        <v>24.818306109232218</v>
      </c>
      <c r="CB313" s="668">
        <f t="shared" si="294"/>
        <v>33.32146420962998</v>
      </c>
      <c r="CC313" s="560"/>
    </row>
    <row r="314" spans="1:81" ht="15.75">
      <c r="A314" s="564"/>
      <c r="B314" s="585" t="s">
        <v>116</v>
      </c>
      <c r="C314" s="559">
        <v>850</v>
      </c>
      <c r="D314" s="559">
        <v>436.94</v>
      </c>
      <c r="E314" s="652">
        <v>2.85</v>
      </c>
      <c r="F314" s="652">
        <v>2.4500000000000002</v>
      </c>
      <c r="G314" s="653">
        <v>4</v>
      </c>
      <c r="H314" s="559">
        <v>850</v>
      </c>
      <c r="I314" s="612">
        <v>464.46</v>
      </c>
      <c r="J314" s="620">
        <v>0.93</v>
      </c>
      <c r="K314" s="649">
        <v>0.83</v>
      </c>
      <c r="L314" s="588">
        <v>1.07</v>
      </c>
      <c r="M314" s="559">
        <v>850</v>
      </c>
      <c r="N314" s="649">
        <v>438.53</v>
      </c>
      <c r="O314" s="559">
        <v>1.84</v>
      </c>
      <c r="P314" s="559">
        <v>2.0299999999999998</v>
      </c>
      <c r="Q314" s="559">
        <v>1.31</v>
      </c>
      <c r="R314" s="559">
        <v>850</v>
      </c>
      <c r="S314" s="649">
        <v>460.41</v>
      </c>
      <c r="T314" s="649">
        <v>1.69</v>
      </c>
      <c r="U314" s="649">
        <v>1.92</v>
      </c>
      <c r="V314" s="649">
        <v>2.41</v>
      </c>
      <c r="W314" s="5"/>
      <c r="X314" s="650">
        <v>850</v>
      </c>
      <c r="Y314" s="651">
        <f t="shared" si="272"/>
        <v>0.31</v>
      </c>
      <c r="Z314" s="620">
        <v>9.6440000000000001</v>
      </c>
      <c r="AA314" s="620">
        <v>4.5170000000000003</v>
      </c>
      <c r="AB314" s="620">
        <f t="shared" si="273"/>
        <v>4.8170000000000002</v>
      </c>
      <c r="AC314" s="620">
        <f t="shared" si="274"/>
        <v>33.759000000000007</v>
      </c>
      <c r="AD314" s="653">
        <f t="shared" si="275"/>
        <v>164.25221797066501</v>
      </c>
      <c r="AE314" s="650">
        <v>850</v>
      </c>
      <c r="AF314" s="620">
        <f t="shared" si="276"/>
        <v>9.4333333333333338E-2</v>
      </c>
      <c r="AG314" s="620">
        <v>9.6440000000000001</v>
      </c>
      <c r="AH314" s="620">
        <v>4.5170000000000003</v>
      </c>
      <c r="AI314" s="620">
        <f t="shared" si="277"/>
        <v>5.0326666666666666</v>
      </c>
      <c r="AJ314" s="620">
        <f t="shared" si="278"/>
        <v>33.543333333333337</v>
      </c>
      <c r="AK314" s="653">
        <f t="shared" si="279"/>
        <v>170.50982439396668</v>
      </c>
      <c r="AL314" s="650">
        <v>850</v>
      </c>
      <c r="AM314" s="620">
        <f t="shared" si="280"/>
        <v>0.17266666666666666</v>
      </c>
      <c r="AN314" s="620">
        <v>9.6440000000000001</v>
      </c>
      <c r="AO314" s="620">
        <v>4.5170000000000003</v>
      </c>
      <c r="AP314" s="620">
        <f t="shared" si="281"/>
        <v>4.9543333333333335</v>
      </c>
      <c r="AQ314" s="620">
        <f t="shared" si="282"/>
        <v>33.62166666666667</v>
      </c>
      <c r="AR314" s="698">
        <f t="shared" si="283"/>
        <v>168.24783483969168</v>
      </c>
      <c r="AS314" s="650">
        <v>850</v>
      </c>
      <c r="AT314" s="620">
        <f t="shared" si="295"/>
        <v>0.20066666666666663</v>
      </c>
      <c r="AU314" s="620">
        <v>9.6440000000000001</v>
      </c>
      <c r="AV314" s="620">
        <v>4.5170000000000003</v>
      </c>
      <c r="AW314" s="620">
        <f t="shared" si="284"/>
        <v>4.926333333333333</v>
      </c>
      <c r="AX314" s="620">
        <f t="shared" si="285"/>
        <v>33.649666666666668</v>
      </c>
      <c r="AY314" s="698">
        <f t="shared" si="286"/>
        <v>167.43628662221167</v>
      </c>
      <c r="AZ314" s="75"/>
      <c r="BA314" s="650">
        <v>850</v>
      </c>
      <c r="BB314" s="620">
        <v>103.50685607036536</v>
      </c>
      <c r="BC314" s="720">
        <f>(BB325-BB326)/BB307</f>
        <v>1.0839861653582146</v>
      </c>
      <c r="BD314" s="714">
        <f>D314-BB323</f>
        <v>36.520000000000039</v>
      </c>
      <c r="BE314" s="693">
        <f>BB325-BB326</f>
        <v>112.19999999999999</v>
      </c>
      <c r="BF314" s="693">
        <f t="shared" si="287"/>
        <v>32.549019607843178</v>
      </c>
      <c r="BG314" s="668">
        <f t="shared" si="288"/>
        <v>35.282686950875267</v>
      </c>
      <c r="BH314" s="650">
        <v>850</v>
      </c>
      <c r="BI314" s="620">
        <v>103.50685607036536</v>
      </c>
      <c r="BJ314" s="720">
        <f>(BI325-BI326)/BI307</f>
        <v>1.3355637032007097</v>
      </c>
      <c r="BK314" s="714">
        <f>I314-BI323</f>
        <v>33.569999999999993</v>
      </c>
      <c r="BL314" s="693">
        <f>BI325-BI326</f>
        <v>138.24</v>
      </c>
      <c r="BM314" s="693">
        <f t="shared" si="289"/>
        <v>24.283854166666661</v>
      </c>
      <c r="BN314" s="668">
        <f t="shared" si="290"/>
        <v>32.432634198819308</v>
      </c>
      <c r="BO314" s="650">
        <v>850</v>
      </c>
      <c r="BP314" s="681">
        <v>103.50685607036536</v>
      </c>
      <c r="BQ314" s="720">
        <f>(BP325-BP326)/BP307</f>
        <v>1.1020526014475185</v>
      </c>
      <c r="BR314" s="714">
        <f>N314-BP323</f>
        <v>37.979999999999961</v>
      </c>
      <c r="BS314" s="693">
        <f>BP325-BP326</f>
        <v>114.07000000000001</v>
      </c>
      <c r="BT314" s="693">
        <f t="shared" si="291"/>
        <v>33.295344963618795</v>
      </c>
      <c r="BU314" s="668">
        <f t="shared" si="292"/>
        <v>36.693221533248625</v>
      </c>
      <c r="BV314" s="650">
        <v>850</v>
      </c>
      <c r="BW314" s="620">
        <v>103.50685607036536</v>
      </c>
      <c r="BX314" s="720">
        <f>(BW325-BW326)/BW307</f>
        <v>1.3426163761125767</v>
      </c>
      <c r="BY314" s="714">
        <f>S314-BW323</f>
        <v>33.620000000000061</v>
      </c>
      <c r="BZ314" s="693">
        <f>BW325-BW326</f>
        <v>138.97</v>
      </c>
      <c r="CA314" s="693">
        <f t="shared" si="293"/>
        <v>24.192271713319467</v>
      </c>
      <c r="CB314" s="668">
        <f t="shared" si="294"/>
        <v>32.480940177667783</v>
      </c>
      <c r="CC314" s="560"/>
    </row>
    <row r="315" spans="1:81" ht="15.75">
      <c r="A315" s="564"/>
      <c r="B315" s="585" t="s">
        <v>116</v>
      </c>
      <c r="C315" s="559">
        <v>950</v>
      </c>
      <c r="D315" s="559">
        <v>436.09</v>
      </c>
      <c r="E315" s="652">
        <v>3.95</v>
      </c>
      <c r="F315" s="652">
        <v>3.24</v>
      </c>
      <c r="G315" s="653">
        <v>3.13</v>
      </c>
      <c r="H315" s="559">
        <v>950</v>
      </c>
      <c r="I315" s="612">
        <v>463.74</v>
      </c>
      <c r="J315" s="620">
        <v>1.1200000000000001</v>
      </c>
      <c r="K315" s="649">
        <v>0.84</v>
      </c>
      <c r="L315" s="588">
        <v>0.87</v>
      </c>
      <c r="M315" s="559">
        <v>950</v>
      </c>
      <c r="N315" s="649">
        <v>437.72</v>
      </c>
      <c r="O315" s="559">
        <v>2</v>
      </c>
      <c r="P315" s="559">
        <v>2.13</v>
      </c>
      <c r="Q315" s="559">
        <v>2.5</v>
      </c>
      <c r="R315" s="559">
        <v>950</v>
      </c>
      <c r="S315" s="649">
        <v>459.65</v>
      </c>
      <c r="T315" s="649">
        <v>2.5499999999999998</v>
      </c>
      <c r="U315" s="649">
        <v>1.61</v>
      </c>
      <c r="V315" s="649">
        <v>2.41</v>
      </c>
      <c r="W315" s="5"/>
      <c r="X315" s="650">
        <v>950</v>
      </c>
      <c r="Y315" s="651">
        <f t="shared" si="272"/>
        <v>0.34399999999999997</v>
      </c>
      <c r="Z315" s="620">
        <v>9.6440000000000001</v>
      </c>
      <c r="AA315" s="620">
        <v>4.5170000000000003</v>
      </c>
      <c r="AB315" s="620">
        <f t="shared" si="273"/>
        <v>4.7829999999999995</v>
      </c>
      <c r="AC315" s="620">
        <f t="shared" si="274"/>
        <v>33.793000000000006</v>
      </c>
      <c r="AD315" s="653">
        <f t="shared" si="275"/>
        <v>203.93018404270498</v>
      </c>
      <c r="AE315" s="650">
        <v>950</v>
      </c>
      <c r="AF315" s="620">
        <f t="shared" si="276"/>
        <v>9.4333333333333338E-2</v>
      </c>
      <c r="AG315" s="620">
        <v>9.6440000000000001</v>
      </c>
      <c r="AH315" s="620">
        <v>4.5170000000000003</v>
      </c>
      <c r="AI315" s="620">
        <f t="shared" si="277"/>
        <v>5.0326666666666666</v>
      </c>
      <c r="AJ315" s="620">
        <f t="shared" si="278"/>
        <v>33.543333333333337</v>
      </c>
      <c r="AK315" s="653">
        <f t="shared" si="279"/>
        <v>212.98978064436665</v>
      </c>
      <c r="AL315" s="650">
        <v>950</v>
      </c>
      <c r="AM315" s="620">
        <f t="shared" si="280"/>
        <v>0.221</v>
      </c>
      <c r="AN315" s="620">
        <v>9.6440000000000001</v>
      </c>
      <c r="AO315" s="620">
        <v>4.5170000000000003</v>
      </c>
      <c r="AP315" s="620">
        <f t="shared" si="281"/>
        <v>4.9059999999999997</v>
      </c>
      <c r="AQ315" s="620">
        <f t="shared" si="282"/>
        <v>33.67</v>
      </c>
      <c r="AR315" s="698">
        <f t="shared" si="283"/>
        <v>208.41311380889996</v>
      </c>
      <c r="AS315" s="650">
        <v>950</v>
      </c>
      <c r="AT315" s="620">
        <f t="shared" si="295"/>
        <v>0.219</v>
      </c>
      <c r="AU315" s="620">
        <v>9.6440000000000001</v>
      </c>
      <c r="AV315" s="620">
        <v>4.5170000000000003</v>
      </c>
      <c r="AW315" s="620">
        <f t="shared" si="284"/>
        <v>4.9079999999999995</v>
      </c>
      <c r="AX315" s="620">
        <f t="shared" si="285"/>
        <v>33.668000000000006</v>
      </c>
      <c r="AY315" s="698">
        <f t="shared" si="286"/>
        <v>208.48569155208</v>
      </c>
      <c r="AZ315" s="75"/>
      <c r="BA315" s="650">
        <v>950</v>
      </c>
      <c r="BB315" s="620">
        <v>103.50685607036536</v>
      </c>
      <c r="BC315" s="720">
        <f>(BB325-BB326)/BB307</f>
        <v>1.0839861653582146</v>
      </c>
      <c r="BD315" s="714">
        <f>D315-BB323</f>
        <v>35.670000000000016</v>
      </c>
      <c r="BE315" s="693">
        <f>BB325-BB326</f>
        <v>112.19999999999999</v>
      </c>
      <c r="BF315" s="693">
        <f t="shared" si="287"/>
        <v>31.791443850267399</v>
      </c>
      <c r="BG315" s="668">
        <f t="shared" si="288"/>
        <v>34.461485310452353</v>
      </c>
      <c r="BH315" s="650">
        <v>950</v>
      </c>
      <c r="BI315" s="620">
        <v>103.50685607036536</v>
      </c>
      <c r="BJ315" s="720">
        <f>(BI325-BI326)/BI307</f>
        <v>1.3355637032007097</v>
      </c>
      <c r="BK315" s="714">
        <f>I315-BI323</f>
        <v>32.850000000000023</v>
      </c>
      <c r="BL315" s="693">
        <f>BI325-BI326</f>
        <v>138.24</v>
      </c>
      <c r="BM315" s="693">
        <f t="shared" si="289"/>
        <v>23.76302083333335</v>
      </c>
      <c r="BN315" s="668">
        <f t="shared" si="290"/>
        <v>31.737028103402302</v>
      </c>
      <c r="BO315" s="650">
        <v>950</v>
      </c>
      <c r="BP315" s="681">
        <v>103.50685607036536</v>
      </c>
      <c r="BQ315" s="720">
        <f>(BP325-BP326)/BP307</f>
        <v>1.1020526014475185</v>
      </c>
      <c r="BR315" s="714">
        <f>N315-BP323</f>
        <v>37.170000000000016</v>
      </c>
      <c r="BS315" s="693">
        <f>BP325-BP326</f>
        <v>114.07000000000001</v>
      </c>
      <c r="BT315" s="693">
        <f t="shared" si="291"/>
        <v>32.585254668186217</v>
      </c>
      <c r="BU315" s="668">
        <f t="shared" si="292"/>
        <v>35.910664675904513</v>
      </c>
      <c r="BV315" s="650">
        <v>950</v>
      </c>
      <c r="BW315" s="620">
        <v>103.50685607036536</v>
      </c>
      <c r="BX315" s="720">
        <f>(BW325-BW326)/BW307</f>
        <v>1.3426163761125767</v>
      </c>
      <c r="BY315" s="714">
        <f>S315-BW323</f>
        <v>32.860000000000014</v>
      </c>
      <c r="BZ315" s="693">
        <f>BW325-BW326</f>
        <v>138.97</v>
      </c>
      <c r="CA315" s="693">
        <f t="shared" si="293"/>
        <v>23.645391091602512</v>
      </c>
      <c r="CB315" s="668">
        <f t="shared" si="294"/>
        <v>31.746689299171969</v>
      </c>
      <c r="CC315" s="560"/>
    </row>
    <row r="316" spans="1:81" ht="15.75">
      <c r="A316" s="564"/>
      <c r="B316" s="585" t="s">
        <v>116</v>
      </c>
      <c r="C316" s="559">
        <v>1000</v>
      </c>
      <c r="D316" s="559">
        <v>435.62</v>
      </c>
      <c r="E316" s="652">
        <v>3.35</v>
      </c>
      <c r="F316" s="652">
        <v>4.4800000000000004</v>
      </c>
      <c r="G316" s="653">
        <v>3.77</v>
      </c>
      <c r="H316" s="559">
        <v>1000</v>
      </c>
      <c r="I316" s="559">
        <v>463.26</v>
      </c>
      <c r="J316" s="559">
        <v>1.3</v>
      </c>
      <c r="K316" s="649">
        <v>1.1000000000000001</v>
      </c>
      <c r="L316" s="588">
        <v>1.45</v>
      </c>
      <c r="M316" s="559">
        <v>1000</v>
      </c>
      <c r="N316" s="649">
        <v>437.26</v>
      </c>
      <c r="O316" s="559">
        <v>2</v>
      </c>
      <c r="P316" s="559">
        <v>2.78</v>
      </c>
      <c r="Q316" s="559">
        <v>2.9</v>
      </c>
      <c r="R316" s="559">
        <v>1000</v>
      </c>
      <c r="S316" s="649">
        <v>459.13</v>
      </c>
      <c r="T316" s="649">
        <v>2.2799999999999998</v>
      </c>
      <c r="U316" s="649">
        <v>2.76</v>
      </c>
      <c r="V316" s="649">
        <v>1.96</v>
      </c>
      <c r="W316" s="5"/>
      <c r="X316" s="650">
        <v>1000</v>
      </c>
      <c r="Y316" s="651">
        <f t="shared" si="272"/>
        <v>0.38666666666666666</v>
      </c>
      <c r="Z316" s="620">
        <v>9.6440000000000001</v>
      </c>
      <c r="AA316" s="620">
        <v>4.5170000000000003</v>
      </c>
      <c r="AB316" s="620">
        <f t="shared" si="273"/>
        <v>4.7403333333333331</v>
      </c>
      <c r="AC316" s="620">
        <f t="shared" si="274"/>
        <v>33.835666666666668</v>
      </c>
      <c r="AD316" s="653">
        <f t="shared" si="275"/>
        <v>224.22848930066661</v>
      </c>
      <c r="AE316" s="650">
        <v>1000</v>
      </c>
      <c r="AF316" s="620">
        <f t="shared" si="276"/>
        <v>0.12833333333333335</v>
      </c>
      <c r="AG316" s="620">
        <v>9.6440000000000001</v>
      </c>
      <c r="AH316" s="620">
        <v>4.5170000000000003</v>
      </c>
      <c r="AI316" s="620">
        <f t="shared" si="277"/>
        <v>4.9986666666666668</v>
      </c>
      <c r="AJ316" s="620">
        <f t="shared" si="278"/>
        <v>33.577333333333335</v>
      </c>
      <c r="AK316" s="653">
        <f t="shared" si="279"/>
        <v>234.64297185066664</v>
      </c>
      <c r="AL316" s="650">
        <v>1000</v>
      </c>
      <c r="AM316" s="620">
        <f t="shared" si="280"/>
        <v>0.25600000000000001</v>
      </c>
      <c r="AN316" s="620">
        <v>9.6440000000000001</v>
      </c>
      <c r="AO316" s="620">
        <v>4.5170000000000003</v>
      </c>
      <c r="AP316" s="620">
        <f t="shared" si="281"/>
        <v>4.8709999999999996</v>
      </c>
      <c r="AQ316" s="620">
        <f t="shared" si="282"/>
        <v>33.705000000000005</v>
      </c>
      <c r="AR316" s="698">
        <f t="shared" si="283"/>
        <v>229.51952288999996</v>
      </c>
      <c r="AS316" s="650">
        <v>1000</v>
      </c>
      <c r="AT316" s="620">
        <f t="shared" si="295"/>
        <v>0.23333333333333331</v>
      </c>
      <c r="AU316" s="620">
        <v>9.6440000000000001</v>
      </c>
      <c r="AV316" s="620">
        <v>4.5170000000000003</v>
      </c>
      <c r="AW316" s="620">
        <f t="shared" si="284"/>
        <v>4.8936666666666664</v>
      </c>
      <c r="AX316" s="620">
        <f t="shared" si="285"/>
        <v>33.682333333333339</v>
      </c>
      <c r="AY316" s="698">
        <f t="shared" si="286"/>
        <v>230.43249642066664</v>
      </c>
      <c r="AZ316" s="75"/>
      <c r="BA316" s="650">
        <v>1000</v>
      </c>
      <c r="BB316" s="620">
        <v>103.50685607036536</v>
      </c>
      <c r="BC316" s="720">
        <f>(BB325-BB326)/BB307</f>
        <v>1.0839861653582146</v>
      </c>
      <c r="BD316" s="714">
        <f>D316-BB323</f>
        <v>35.200000000000045</v>
      </c>
      <c r="BE316" s="693">
        <f>BB325-BB326</f>
        <v>112.19999999999999</v>
      </c>
      <c r="BF316" s="693">
        <f t="shared" si="287"/>
        <v>31.372549019607888</v>
      </c>
      <c r="BG316" s="668">
        <f t="shared" si="288"/>
        <v>34.007409109277368</v>
      </c>
      <c r="BH316" s="650">
        <v>1000</v>
      </c>
      <c r="BI316" s="620">
        <v>103.50685607036536</v>
      </c>
      <c r="BJ316" s="720">
        <f>(BI325-BI326)/BI307</f>
        <v>1.3355637032007097</v>
      </c>
      <c r="BK316" s="714">
        <f>I316-BI323</f>
        <v>32.370000000000005</v>
      </c>
      <c r="BL316" s="693">
        <f>BI325-BI326</f>
        <v>138.24</v>
      </c>
      <c r="BM316" s="693">
        <f t="shared" si="289"/>
        <v>23.415798611111114</v>
      </c>
      <c r="BN316" s="668">
        <f t="shared" si="290"/>
        <v>31.273290706457594</v>
      </c>
      <c r="BO316" s="650">
        <v>1000</v>
      </c>
      <c r="BP316" s="681">
        <v>103.50685607036536</v>
      </c>
      <c r="BQ316" s="720">
        <f>(BP325-BP326)/BP307</f>
        <v>1.1020526014475185</v>
      </c>
      <c r="BR316" s="714">
        <f>N316-BP323</f>
        <v>36.70999999999998</v>
      </c>
      <c r="BS316" s="693">
        <f>BP325-BP326</f>
        <v>114.07000000000001</v>
      </c>
      <c r="BT316" s="693">
        <f t="shared" si="291"/>
        <v>32.181993512755305</v>
      </c>
      <c r="BU316" s="668">
        <f t="shared" si="292"/>
        <v>35.466249670499145</v>
      </c>
      <c r="BV316" s="650">
        <v>1000</v>
      </c>
      <c r="BW316" s="620">
        <v>103.50685607036536</v>
      </c>
      <c r="BX316" s="720">
        <f>(BW325-BW326)/BW307</f>
        <v>1.3426163761125767</v>
      </c>
      <c r="BY316" s="714">
        <f>S316-BW323</f>
        <v>32.340000000000032</v>
      </c>
      <c r="BZ316" s="693">
        <f>BW325-BW326</f>
        <v>138.97</v>
      </c>
      <c r="CA316" s="693">
        <f t="shared" si="293"/>
        <v>23.27120961358569</v>
      </c>
      <c r="CB316" s="668">
        <f t="shared" si="294"/>
        <v>31.244307119148573</v>
      </c>
      <c r="CC316" s="560"/>
    </row>
    <row r="317" spans="1:81" ht="15.75">
      <c r="A317" s="564"/>
      <c r="B317" s="585" t="s">
        <v>116</v>
      </c>
      <c r="C317" s="559">
        <v>1350</v>
      </c>
      <c r="D317" s="559">
        <v>434.1</v>
      </c>
      <c r="E317" s="652">
        <v>4.6399999999999997</v>
      </c>
      <c r="F317" s="652">
        <v>4.17</v>
      </c>
      <c r="G317" s="653">
        <v>3.92</v>
      </c>
      <c r="H317" s="559">
        <v>1350</v>
      </c>
      <c r="I317" s="559">
        <v>461.04</v>
      </c>
      <c r="J317" s="620">
        <v>1.45</v>
      </c>
      <c r="K317" s="649">
        <v>1.35</v>
      </c>
      <c r="L317" s="619">
        <v>1.65</v>
      </c>
      <c r="M317" s="559">
        <v>1350</v>
      </c>
      <c r="N317" s="649">
        <v>435.15</v>
      </c>
      <c r="O317" s="559">
        <v>2.48</v>
      </c>
      <c r="P317" s="559">
        <v>2.9</v>
      </c>
      <c r="Q317" s="559">
        <v>3.24</v>
      </c>
      <c r="R317" s="559">
        <v>1350</v>
      </c>
      <c r="S317" s="649">
        <v>456.72</v>
      </c>
      <c r="T317" s="649">
        <v>3.22</v>
      </c>
      <c r="U317" s="649">
        <v>2.12</v>
      </c>
      <c r="V317" s="649">
        <v>2.5299999999999998</v>
      </c>
      <c r="W317" s="5"/>
      <c r="X317" s="650">
        <v>1350</v>
      </c>
      <c r="Y317" s="651">
        <f t="shared" si="272"/>
        <v>0.42433333333333334</v>
      </c>
      <c r="Z317" s="620">
        <v>9.6440000000000001</v>
      </c>
      <c r="AA317" s="620">
        <v>4.5170000000000003</v>
      </c>
      <c r="AB317" s="620">
        <f t="shared" si="273"/>
        <v>4.7026666666666666</v>
      </c>
      <c r="AC317" s="620">
        <f t="shared" si="274"/>
        <v>33.873333333333342</v>
      </c>
      <c r="AD317" s="653">
        <f t="shared" si="275"/>
        <v>405.86055090120004</v>
      </c>
      <c r="AE317" s="650">
        <v>1350</v>
      </c>
      <c r="AF317" s="620">
        <f t="shared" si="276"/>
        <v>0.14833333333333332</v>
      </c>
      <c r="AG317" s="620">
        <v>9.6440000000000001</v>
      </c>
      <c r="AH317" s="620">
        <v>4.5170000000000003</v>
      </c>
      <c r="AI317" s="620">
        <f t="shared" si="277"/>
        <v>4.9786666666666664</v>
      </c>
      <c r="AJ317" s="620">
        <f t="shared" si="278"/>
        <v>33.597333333333339</v>
      </c>
      <c r="AK317" s="653">
        <f t="shared" si="279"/>
        <v>426.17951108064</v>
      </c>
      <c r="AL317" s="650">
        <v>1350</v>
      </c>
      <c r="AM317" s="620">
        <f t="shared" si="280"/>
        <v>0.28733333333333333</v>
      </c>
      <c r="AN317" s="620">
        <v>9.6440000000000001</v>
      </c>
      <c r="AO317" s="620">
        <v>4.5170000000000003</v>
      </c>
      <c r="AP317" s="620">
        <f t="shared" si="281"/>
        <v>4.8396666666666661</v>
      </c>
      <c r="AQ317" s="620">
        <f t="shared" si="282"/>
        <v>33.736333333333341</v>
      </c>
      <c r="AR317" s="698">
        <f t="shared" si="283"/>
        <v>415.99493037274499</v>
      </c>
      <c r="AS317" s="650">
        <v>1350</v>
      </c>
      <c r="AT317" s="620">
        <f t="shared" si="295"/>
        <v>0.26233333333333331</v>
      </c>
      <c r="AU317" s="620">
        <v>9.6440000000000001</v>
      </c>
      <c r="AV317" s="620">
        <v>4.5170000000000003</v>
      </c>
      <c r="AW317" s="620">
        <f t="shared" si="284"/>
        <v>4.8646666666666665</v>
      </c>
      <c r="AX317" s="620">
        <f t="shared" si="285"/>
        <v>33.711333333333336</v>
      </c>
      <c r="AY317" s="698">
        <f t="shared" si="286"/>
        <v>417.83395087961998</v>
      </c>
      <c r="AZ317" s="75"/>
      <c r="BA317" s="650">
        <v>1350</v>
      </c>
      <c r="BB317" s="620">
        <v>103.50685607036536</v>
      </c>
      <c r="BC317" s="720">
        <f>(BB325-BB326)/BB307</f>
        <v>1.0839861653582146</v>
      </c>
      <c r="BD317" s="714">
        <f>D317-BB323</f>
        <v>33.680000000000064</v>
      </c>
      <c r="BE317" s="693">
        <f>BB325-BB326</f>
        <v>112.19999999999999</v>
      </c>
      <c r="BF317" s="693">
        <f t="shared" si="287"/>
        <v>30.017825311943021</v>
      </c>
      <c r="BG317" s="668">
        <f t="shared" si="288"/>
        <v>32.538907352285868</v>
      </c>
      <c r="BH317" s="650">
        <v>1350</v>
      </c>
      <c r="BI317" s="620">
        <v>103.50685607036536</v>
      </c>
      <c r="BJ317" s="720">
        <f>(BI325-BI326)/BI307</f>
        <v>1.3355637032007097</v>
      </c>
      <c r="BK317" s="714">
        <f>I317-BI323</f>
        <v>30.150000000000034</v>
      </c>
      <c r="BL317" s="693">
        <f>BI325-BI326</f>
        <v>138.24</v>
      </c>
      <c r="BM317" s="693">
        <f t="shared" si="289"/>
        <v>21.809895833333357</v>
      </c>
      <c r="BN317" s="668">
        <f t="shared" si="290"/>
        <v>29.128505245588428</v>
      </c>
      <c r="BO317" s="650">
        <v>1350</v>
      </c>
      <c r="BP317" s="681">
        <v>103.50685607036536</v>
      </c>
      <c r="BQ317" s="720">
        <f>(BP325-BP326)/BP307</f>
        <v>1.1020526014475185</v>
      </c>
      <c r="BR317" s="714">
        <f>N317-BP323</f>
        <v>34.599999999999966</v>
      </c>
      <c r="BS317" s="693">
        <f>BP325-BP326</f>
        <v>114.07000000000001</v>
      </c>
      <c r="BT317" s="693">
        <f t="shared" si="291"/>
        <v>30.332252125887582</v>
      </c>
      <c r="BU317" s="668">
        <f t="shared" si="292"/>
        <v>33.427737363096433</v>
      </c>
      <c r="BV317" s="650">
        <v>1350</v>
      </c>
      <c r="BW317" s="620">
        <v>103.50685607036536</v>
      </c>
      <c r="BX317" s="720">
        <f>(BW325-BW326)/BW307</f>
        <v>1.3426163761125767</v>
      </c>
      <c r="BY317" s="714">
        <f>S317-BW323</f>
        <v>29.930000000000064</v>
      </c>
      <c r="BZ317" s="693">
        <f>BW325-BW326</f>
        <v>138.97</v>
      </c>
      <c r="CA317" s="693">
        <f t="shared" si="293"/>
        <v>21.53702237893075</v>
      </c>
      <c r="CB317" s="668">
        <f t="shared" si="294"/>
        <v>28.915958938655468</v>
      </c>
      <c r="CC317" s="560"/>
    </row>
    <row r="318" spans="1:81" ht="15.75">
      <c r="A318" s="564"/>
      <c r="B318" s="585" t="s">
        <v>116</v>
      </c>
      <c r="C318" s="559">
        <v>2500</v>
      </c>
      <c r="D318" s="559">
        <v>429.29</v>
      </c>
      <c r="E318" s="652">
        <v>5.61</v>
      </c>
      <c r="F318" s="652">
        <v>7</v>
      </c>
      <c r="G318" s="653">
        <v>6.32</v>
      </c>
      <c r="H318" s="559">
        <v>2500</v>
      </c>
      <c r="I318" s="559">
        <v>454.84</v>
      </c>
      <c r="J318" s="559">
        <v>2.54</v>
      </c>
      <c r="K318" s="649">
        <v>2.61</v>
      </c>
      <c r="L318" s="588">
        <v>2.64</v>
      </c>
      <c r="M318" s="559">
        <v>2500</v>
      </c>
      <c r="N318" s="649">
        <v>429.09</v>
      </c>
      <c r="O318" s="559">
        <v>4.33</v>
      </c>
      <c r="P318" s="559">
        <v>4.92</v>
      </c>
      <c r="Q318" s="559">
        <v>5.54</v>
      </c>
      <c r="R318" s="559">
        <v>2500</v>
      </c>
      <c r="S318" s="649">
        <v>449.38</v>
      </c>
      <c r="T318" s="649">
        <v>3.48</v>
      </c>
      <c r="U318" s="649">
        <v>4.01</v>
      </c>
      <c r="V318" s="649">
        <v>3.09</v>
      </c>
      <c r="W318" s="5"/>
      <c r="X318" s="650">
        <v>2500</v>
      </c>
      <c r="Y318" s="651">
        <f t="shared" si="272"/>
        <v>0.63100000000000001</v>
      </c>
      <c r="Z318" s="620">
        <v>9.6440000000000001</v>
      </c>
      <c r="AA318" s="620">
        <v>4.5170000000000003</v>
      </c>
      <c r="AB318" s="620">
        <f t="shared" si="273"/>
        <v>4.4959999999999996</v>
      </c>
      <c r="AC318" s="620">
        <f t="shared" si="274"/>
        <v>34.080000000000005</v>
      </c>
      <c r="AD318" s="653">
        <f t="shared" si="275"/>
        <v>1338.7919039999999</v>
      </c>
      <c r="AE318" s="650">
        <v>2500</v>
      </c>
      <c r="AF318" s="620">
        <f t="shared" si="276"/>
        <v>0.25966666666666671</v>
      </c>
      <c r="AG318" s="620">
        <v>9.6440000000000001</v>
      </c>
      <c r="AH318" s="620">
        <v>4.5170000000000003</v>
      </c>
      <c r="AI318" s="620">
        <f t="shared" si="277"/>
        <v>4.8673333333333328</v>
      </c>
      <c r="AJ318" s="620">
        <f t="shared" si="278"/>
        <v>33.708666666666673</v>
      </c>
      <c r="AK318" s="653">
        <f t="shared" si="279"/>
        <v>1433.5731313166666</v>
      </c>
      <c r="AL318" s="650">
        <v>2500</v>
      </c>
      <c r="AM318" s="620">
        <f t="shared" si="280"/>
        <v>0.49299999999999999</v>
      </c>
      <c r="AN318" s="620">
        <v>9.6440000000000001</v>
      </c>
      <c r="AO318" s="620">
        <v>4.5170000000000003</v>
      </c>
      <c r="AP318" s="620">
        <f t="shared" si="281"/>
        <v>4.6339999999999995</v>
      </c>
      <c r="AQ318" s="620">
        <f t="shared" si="282"/>
        <v>33.942000000000007</v>
      </c>
      <c r="AR318" s="698">
        <f t="shared" si="283"/>
        <v>1374.2971546499998</v>
      </c>
      <c r="AS318" s="650">
        <v>2500</v>
      </c>
      <c r="AT318" s="620">
        <f t="shared" si="295"/>
        <v>0.35266666666666668</v>
      </c>
      <c r="AU318" s="620">
        <v>9.6440000000000001</v>
      </c>
      <c r="AV318" s="620">
        <v>4.5170000000000003</v>
      </c>
      <c r="AW318" s="620">
        <f t="shared" si="284"/>
        <v>4.7743333333333329</v>
      </c>
      <c r="AX318" s="620">
        <f t="shared" si="285"/>
        <v>33.801666666666669</v>
      </c>
      <c r="AY318" s="698">
        <f t="shared" si="286"/>
        <v>1410.0614537291665</v>
      </c>
      <c r="AZ318" s="75"/>
      <c r="BA318" s="650">
        <v>2500</v>
      </c>
      <c r="BB318" s="620">
        <v>103.50685607036536</v>
      </c>
      <c r="BC318" s="720">
        <f>(BB325-BB326)/BB307</f>
        <v>1.0839861653582146</v>
      </c>
      <c r="BD318" s="714">
        <f>D318-BB323</f>
        <v>28.870000000000061</v>
      </c>
      <c r="BE318" s="693">
        <f>BB325-BB326</f>
        <v>112.19999999999999</v>
      </c>
      <c r="BF318" s="693">
        <f t="shared" si="287"/>
        <v>25.730837789661376</v>
      </c>
      <c r="BG318" s="668">
        <f t="shared" si="288"/>
        <v>27.891872187069271</v>
      </c>
      <c r="BH318" s="650">
        <v>2500</v>
      </c>
      <c r="BI318" s="620">
        <v>103.50685607036536</v>
      </c>
      <c r="BJ318" s="720">
        <f>(BI325-BI326)/BI307</f>
        <v>1.3355637032007097</v>
      </c>
      <c r="BK318" s="714">
        <f>I318-BI323</f>
        <v>23.949999999999989</v>
      </c>
      <c r="BL318" s="693">
        <f>BI325-BI326</f>
        <v>138.24</v>
      </c>
      <c r="BM318" s="693">
        <f t="shared" si="289"/>
        <v>17.324942129629619</v>
      </c>
      <c r="BN318" s="668">
        <f t="shared" si="290"/>
        <v>23.138563868386125</v>
      </c>
      <c r="BO318" s="650">
        <v>2500</v>
      </c>
      <c r="BP318" s="681">
        <v>103.50685607036536</v>
      </c>
      <c r="BQ318" s="720">
        <f>(BP325-BP326)/BP307</f>
        <v>1.1020526014475185</v>
      </c>
      <c r="BR318" s="714">
        <f>N318-BP323</f>
        <v>28.539999999999964</v>
      </c>
      <c r="BS318" s="693">
        <f>BP325-BP326</f>
        <v>114.07000000000001</v>
      </c>
      <c r="BT318" s="693">
        <f t="shared" si="291"/>
        <v>25.019724730428649</v>
      </c>
      <c r="BU318" s="668">
        <f t="shared" si="292"/>
        <v>27.573052726669705</v>
      </c>
      <c r="BV318" s="650">
        <v>2500</v>
      </c>
      <c r="BW318" s="620">
        <v>103.50685607036536</v>
      </c>
      <c r="BX318" s="720">
        <f>(BW325-BW326)/BW307</f>
        <v>1.3426163761125767</v>
      </c>
      <c r="BY318" s="714">
        <f>S318-BW323</f>
        <v>22.590000000000032</v>
      </c>
      <c r="BZ318" s="693">
        <f>BW325-BW326</f>
        <v>138.97</v>
      </c>
      <c r="CA318" s="693">
        <f t="shared" si="293"/>
        <v>16.255306900769973</v>
      </c>
      <c r="CB318" s="668">
        <f t="shared" si="294"/>
        <v>21.824641243709543</v>
      </c>
      <c r="CC318" s="560"/>
    </row>
    <row r="319" spans="1:81" ht="15.75">
      <c r="A319" s="564"/>
      <c r="B319" s="585" t="s">
        <v>116</v>
      </c>
      <c r="C319" s="559">
        <v>5000</v>
      </c>
      <c r="D319" s="559">
        <v>422.59</v>
      </c>
      <c r="E319" s="652">
        <v>10.63</v>
      </c>
      <c r="F319" s="652">
        <v>9.32</v>
      </c>
      <c r="G319" s="653">
        <v>8.9600000000000009</v>
      </c>
      <c r="H319" s="559">
        <v>5000</v>
      </c>
      <c r="I319" s="559">
        <v>449.1</v>
      </c>
      <c r="J319" s="559">
        <v>3.79</v>
      </c>
      <c r="K319" s="649">
        <v>3.67</v>
      </c>
      <c r="L319" s="588">
        <v>4.1399999999999997</v>
      </c>
      <c r="M319" s="559">
        <v>5000</v>
      </c>
      <c r="N319" s="649">
        <v>422.34</v>
      </c>
      <c r="O319" s="559">
        <v>6.89</v>
      </c>
      <c r="P319" s="559">
        <v>8.02</v>
      </c>
      <c r="Q319" s="559">
        <v>10.01</v>
      </c>
      <c r="R319" s="559">
        <v>5000</v>
      </c>
      <c r="S319" s="649">
        <v>443.56</v>
      </c>
      <c r="T319" s="649">
        <v>4.58</v>
      </c>
      <c r="U319" s="649">
        <v>5.44</v>
      </c>
      <c r="V319" s="649">
        <v>4.26</v>
      </c>
      <c r="W319" s="5"/>
      <c r="X319" s="650">
        <v>5000</v>
      </c>
      <c r="Y319" s="651">
        <f t="shared" si="272"/>
        <v>0.96366666666666689</v>
      </c>
      <c r="Z319" s="620">
        <v>9.6440000000000001</v>
      </c>
      <c r="AA319" s="620">
        <v>4.5170000000000003</v>
      </c>
      <c r="AB319" s="620">
        <f t="shared" si="273"/>
        <v>4.1633333333333331</v>
      </c>
      <c r="AC319" s="620">
        <f t="shared" si="274"/>
        <v>34.412666666666674</v>
      </c>
      <c r="AD319" s="653">
        <f t="shared" si="275"/>
        <v>5007.3355076666667</v>
      </c>
      <c r="AE319" s="650">
        <v>5000</v>
      </c>
      <c r="AF319" s="620">
        <f t="shared" si="276"/>
        <v>0.38666666666666666</v>
      </c>
      <c r="AG319" s="620">
        <v>9.6440000000000001</v>
      </c>
      <c r="AH319" s="620">
        <v>4.5170000000000003</v>
      </c>
      <c r="AI319" s="620">
        <f t="shared" si="277"/>
        <v>4.7403333333333331</v>
      </c>
      <c r="AJ319" s="620">
        <f t="shared" si="278"/>
        <v>33.835666666666668</v>
      </c>
      <c r="AK319" s="653">
        <f t="shared" si="279"/>
        <v>5605.7122325166656</v>
      </c>
      <c r="AL319" s="650">
        <v>5000</v>
      </c>
      <c r="AM319" s="620">
        <f t="shared" si="280"/>
        <v>0.83066666666666666</v>
      </c>
      <c r="AN319" s="620">
        <v>9.6440000000000001</v>
      </c>
      <c r="AO319" s="620">
        <v>4.5170000000000003</v>
      </c>
      <c r="AP319" s="620">
        <f t="shared" si="281"/>
        <v>4.2963333333333331</v>
      </c>
      <c r="AQ319" s="620">
        <f t="shared" si="282"/>
        <v>34.279666666666671</v>
      </c>
      <c r="AR319" s="698">
        <f t="shared" si="283"/>
        <v>5147.3267657166662</v>
      </c>
      <c r="AS319" s="650">
        <v>5000</v>
      </c>
      <c r="AT319" s="620">
        <f t="shared" si="295"/>
        <v>0.47599999999999998</v>
      </c>
      <c r="AU319" s="620">
        <v>9.6440000000000001</v>
      </c>
      <c r="AV319" s="620">
        <v>4.5170000000000003</v>
      </c>
      <c r="AW319" s="620">
        <f t="shared" si="284"/>
        <v>4.6509999999999998</v>
      </c>
      <c r="AX319" s="620">
        <f t="shared" si="285"/>
        <v>33.925000000000004</v>
      </c>
      <c r="AY319" s="698">
        <f t="shared" si="286"/>
        <v>5514.5918662499998</v>
      </c>
      <c r="AZ319" s="75"/>
      <c r="BA319" s="650">
        <v>5000</v>
      </c>
      <c r="BB319" s="620">
        <v>103.50685607036536</v>
      </c>
      <c r="BC319" s="720">
        <f>(BB325-BB326)/BB307</f>
        <v>1.0839861653582146</v>
      </c>
      <c r="BD319" s="714">
        <f>D319-BB323</f>
        <v>22.170000000000016</v>
      </c>
      <c r="BE319" s="693">
        <f>BB325-BB326</f>
        <v>112.19999999999999</v>
      </c>
      <c r="BF319" s="693">
        <f t="shared" si="287"/>
        <v>19.75935828877007</v>
      </c>
      <c r="BG319" s="668">
        <f t="shared" si="288"/>
        <v>21.41887102138292</v>
      </c>
      <c r="BH319" s="650">
        <v>5000</v>
      </c>
      <c r="BI319" s="620">
        <v>103.50685607036536</v>
      </c>
      <c r="BJ319" s="720">
        <f>(BI325-BI326)/BI307</f>
        <v>1.3355637032007097</v>
      </c>
      <c r="BK319" s="714">
        <f>I319-BI323</f>
        <v>18.210000000000036</v>
      </c>
      <c r="BL319" s="693">
        <f>BI325-BI326</f>
        <v>138.24</v>
      </c>
      <c r="BM319" s="693">
        <f t="shared" si="289"/>
        <v>13.17274305555558</v>
      </c>
      <c r="BN319" s="668">
        <f t="shared" si="290"/>
        <v>17.593037496589243</v>
      </c>
      <c r="BO319" s="650">
        <v>5000</v>
      </c>
      <c r="BP319" s="681">
        <v>103.50685607036536</v>
      </c>
      <c r="BQ319" s="720">
        <f>(BP325-BP326)/BP307</f>
        <v>1.1020526014475185</v>
      </c>
      <c r="BR319" s="714">
        <f>N319-BP323</f>
        <v>21.789999999999964</v>
      </c>
      <c r="BS319" s="693">
        <f>BP325-BP326</f>
        <v>114.07000000000001</v>
      </c>
      <c r="BT319" s="693">
        <f t="shared" si="291"/>
        <v>19.102305601823407</v>
      </c>
      <c r="BU319" s="668">
        <f t="shared" si="292"/>
        <v>21.051745582134991</v>
      </c>
      <c r="BV319" s="650">
        <v>5000</v>
      </c>
      <c r="BW319" s="620">
        <v>103.50685607036536</v>
      </c>
      <c r="BX319" s="720">
        <f>(BW325-BW326)/BW307</f>
        <v>1.3426163761125767</v>
      </c>
      <c r="BY319" s="714">
        <f>S319-BW323</f>
        <v>16.770000000000039</v>
      </c>
      <c r="BZ319" s="693">
        <f>BW325-BW326</f>
        <v>138.97</v>
      </c>
      <c r="CA319" s="693">
        <f t="shared" si="293"/>
        <v>12.067352666043059</v>
      </c>
      <c r="CB319" s="668">
        <f t="shared" si="294"/>
        <v>16.201825305755172</v>
      </c>
      <c r="CC319" s="560"/>
    </row>
    <row r="320" spans="1:81" ht="15.75">
      <c r="A320" s="564"/>
      <c r="B320" s="585" t="s">
        <v>116</v>
      </c>
      <c r="C320" s="559">
        <v>7000</v>
      </c>
      <c r="D320" s="559">
        <v>419.35</v>
      </c>
      <c r="E320" s="652">
        <v>10.49</v>
      </c>
      <c r="F320" s="652">
        <v>12.17</v>
      </c>
      <c r="G320" s="653">
        <v>10.98</v>
      </c>
      <c r="H320" s="559">
        <v>7000</v>
      </c>
      <c r="I320" s="655">
        <v>446.32</v>
      </c>
      <c r="J320" s="559">
        <v>4.3499999999999996</v>
      </c>
      <c r="K320" s="649">
        <v>4.59</v>
      </c>
      <c r="L320" s="588">
        <v>4.82</v>
      </c>
      <c r="M320" s="559">
        <v>7000</v>
      </c>
      <c r="N320" s="649">
        <v>419.12</v>
      </c>
      <c r="O320" s="559">
        <v>8.41</v>
      </c>
      <c r="P320" s="559">
        <v>9.65</v>
      </c>
      <c r="Q320" s="559">
        <v>11.86</v>
      </c>
      <c r="R320" s="559">
        <v>7000</v>
      </c>
      <c r="S320" s="649">
        <v>441</v>
      </c>
      <c r="T320" s="649">
        <v>6.52</v>
      </c>
      <c r="U320" s="649">
        <v>5.29</v>
      </c>
      <c r="V320" s="649">
        <v>5.36</v>
      </c>
      <c r="W320" s="5"/>
      <c r="X320" s="650">
        <v>7000</v>
      </c>
      <c r="Y320" s="651">
        <f t="shared" si="272"/>
        <v>1.1213333333333333</v>
      </c>
      <c r="Z320" s="620">
        <v>9.6440000000000001</v>
      </c>
      <c r="AA320" s="620">
        <v>4.5170000000000003</v>
      </c>
      <c r="AB320" s="620">
        <f t="shared" si="273"/>
        <v>4.0056666666666665</v>
      </c>
      <c r="AC320" s="620">
        <f t="shared" si="274"/>
        <v>34.570333333333338</v>
      </c>
      <c r="AD320" s="653">
        <f t="shared" si="275"/>
        <v>9485.9673388526662</v>
      </c>
      <c r="AE320" s="650">
        <v>7000</v>
      </c>
      <c r="AF320" s="620">
        <f t="shared" si="276"/>
        <v>0.45866666666666667</v>
      </c>
      <c r="AG320" s="620">
        <v>9.6440000000000001</v>
      </c>
      <c r="AH320" s="620">
        <v>4.5170000000000003</v>
      </c>
      <c r="AI320" s="620">
        <f t="shared" si="277"/>
        <v>4.668333333333333</v>
      </c>
      <c r="AJ320" s="620">
        <f t="shared" si="278"/>
        <v>33.907666666666671</v>
      </c>
      <c r="AK320" s="653">
        <f t="shared" si="279"/>
        <v>10843.338487636665</v>
      </c>
      <c r="AL320" s="650">
        <v>7000</v>
      </c>
      <c r="AM320" s="620">
        <f t="shared" si="280"/>
        <v>0.9973333333333334</v>
      </c>
      <c r="AN320" s="620">
        <v>9.6440000000000001</v>
      </c>
      <c r="AO320" s="620">
        <v>4.5170000000000003</v>
      </c>
      <c r="AP320" s="620">
        <f t="shared" si="281"/>
        <v>4.1296666666666662</v>
      </c>
      <c r="AQ320" s="620">
        <f t="shared" si="282"/>
        <v>34.446333333333335</v>
      </c>
      <c r="AR320" s="698">
        <f t="shared" si="283"/>
        <v>9744.5379108046654</v>
      </c>
      <c r="AS320" s="650">
        <v>7000</v>
      </c>
      <c r="AT320" s="620">
        <f t="shared" si="295"/>
        <v>0.57233333333333325</v>
      </c>
      <c r="AU320" s="620">
        <v>9.6440000000000001</v>
      </c>
      <c r="AV320" s="620">
        <v>4.5170000000000003</v>
      </c>
      <c r="AW320" s="620">
        <f t="shared" si="284"/>
        <v>4.5546666666666669</v>
      </c>
      <c r="AX320" s="620">
        <f t="shared" si="285"/>
        <v>34.021333333333338</v>
      </c>
      <c r="AY320" s="698">
        <f t="shared" si="286"/>
        <v>10614.784464554668</v>
      </c>
      <c r="AZ320" s="75"/>
      <c r="BA320" s="650">
        <v>7000</v>
      </c>
      <c r="BB320" s="620">
        <v>103.50685607036536</v>
      </c>
      <c r="BC320" s="720">
        <f>(BB325-BB326)/BB307</f>
        <v>1.0839861653582146</v>
      </c>
      <c r="BD320" s="714">
        <f>D320-BB323</f>
        <v>18.930000000000064</v>
      </c>
      <c r="BE320" s="693">
        <f>BB325-BB326</f>
        <v>112.19999999999999</v>
      </c>
      <c r="BF320" s="693">
        <f t="shared" si="287"/>
        <v>16.871657754010755</v>
      </c>
      <c r="BG320" s="668">
        <f t="shared" si="288"/>
        <v>18.288643592006306</v>
      </c>
      <c r="BH320" s="650">
        <v>7000</v>
      </c>
      <c r="BI320" s="620">
        <v>103.50685607036536</v>
      </c>
      <c r="BJ320" s="720">
        <f>(BI325-BI326)/BI307</f>
        <v>1.3355637032007097</v>
      </c>
      <c r="BK320" s="714">
        <f>I320-BI323</f>
        <v>15.430000000000007</v>
      </c>
      <c r="BL320" s="693">
        <f>BI325-BI326</f>
        <v>138.24</v>
      </c>
      <c r="BM320" s="693">
        <f t="shared" si="289"/>
        <v>11.161747685185189</v>
      </c>
      <c r="BN320" s="668">
        <f t="shared" si="290"/>
        <v>14.90722507261788</v>
      </c>
      <c r="BO320" s="650">
        <v>7000</v>
      </c>
      <c r="BP320" s="681">
        <v>103.50685607036536</v>
      </c>
      <c r="BQ320" s="720">
        <f>(BP325-BP326)/BP307</f>
        <v>1.1020526014475185</v>
      </c>
      <c r="BR320" s="714">
        <f>N320-BP323</f>
        <v>18.569999999999993</v>
      </c>
      <c r="BS320" s="693">
        <f>BP325-BP326</f>
        <v>114.07000000000001</v>
      </c>
      <c r="BT320" s="693">
        <f t="shared" si="291"/>
        <v>16.279477513807304</v>
      </c>
      <c r="BU320" s="668">
        <f t="shared" si="292"/>
        <v>17.940840544297721</v>
      </c>
      <c r="BV320" s="650">
        <v>7000</v>
      </c>
      <c r="BW320" s="620">
        <v>103.50685607036536</v>
      </c>
      <c r="BX320" s="720">
        <f>(BW325-BW326)/BW307</f>
        <v>1.3426163761125767</v>
      </c>
      <c r="BY320" s="714">
        <f>S320-BW323</f>
        <v>14.210000000000036</v>
      </c>
      <c r="BZ320" s="693">
        <f>BW325-BW326</f>
        <v>138.97</v>
      </c>
      <c r="CA320" s="693">
        <f t="shared" si="293"/>
        <v>10.225228466575546</v>
      </c>
      <c r="CB320" s="668">
        <f t="shared" si="294"/>
        <v>13.728559188716819</v>
      </c>
      <c r="CC320" s="560"/>
    </row>
    <row r="321" spans="1:81" ht="15.75">
      <c r="A321" s="564"/>
      <c r="B321" s="585" t="s">
        <v>116</v>
      </c>
      <c r="C321" s="559">
        <v>9000</v>
      </c>
      <c r="D321" s="559">
        <v>417.05</v>
      </c>
      <c r="E321" s="27">
        <v>12.09</v>
      </c>
      <c r="F321" s="27">
        <v>13.52</v>
      </c>
      <c r="G321" s="94">
        <v>12.25</v>
      </c>
      <c r="H321" s="559">
        <v>9000</v>
      </c>
      <c r="I321" s="559">
        <v>444.48</v>
      </c>
      <c r="J321" s="559">
        <v>5.31</v>
      </c>
      <c r="K321" s="649">
        <v>5.38</v>
      </c>
      <c r="L321" s="588">
        <v>5.65</v>
      </c>
      <c r="M321" s="559">
        <v>9000</v>
      </c>
      <c r="N321" s="649">
        <v>416.93</v>
      </c>
      <c r="O321" s="559">
        <v>9.75</v>
      </c>
      <c r="P321" s="559">
        <v>10.65</v>
      </c>
      <c r="Q321" s="559">
        <v>13.08</v>
      </c>
      <c r="R321" s="559">
        <v>9000</v>
      </c>
      <c r="S321" s="649">
        <v>439.35</v>
      </c>
      <c r="T321" s="649">
        <v>6.18</v>
      </c>
      <c r="U321" s="649">
        <v>7.18</v>
      </c>
      <c r="V321" s="649">
        <v>6.23</v>
      </c>
      <c r="W321" s="5"/>
      <c r="X321" s="650">
        <v>9000</v>
      </c>
      <c r="Y321" s="651">
        <f t="shared" si="272"/>
        <v>1.262</v>
      </c>
      <c r="Z321" s="620">
        <v>9.6440000000000001</v>
      </c>
      <c r="AA321" s="620">
        <v>4.5170000000000003</v>
      </c>
      <c r="AB321" s="620">
        <f t="shared" si="273"/>
        <v>3.8650000000000002</v>
      </c>
      <c r="AC321" s="620">
        <f t="shared" si="274"/>
        <v>34.711000000000006</v>
      </c>
      <c r="AD321" s="653">
        <f t="shared" si="275"/>
        <v>15191.785302570001</v>
      </c>
      <c r="AE321" s="650">
        <v>9000</v>
      </c>
      <c r="AF321" s="620">
        <f t="shared" si="276"/>
        <v>0.54466666666666663</v>
      </c>
      <c r="AG321" s="620">
        <v>9.6440000000000001</v>
      </c>
      <c r="AH321" s="620">
        <v>4.5170000000000003</v>
      </c>
      <c r="AI321" s="620">
        <f t="shared" si="277"/>
        <v>4.5823333333333327</v>
      </c>
      <c r="AJ321" s="620">
        <f t="shared" si="278"/>
        <v>33.99366666666667</v>
      </c>
      <c r="AK321" s="653">
        <f t="shared" si="279"/>
        <v>17639.118577673999</v>
      </c>
      <c r="AL321" s="650">
        <v>9000</v>
      </c>
      <c r="AM321" s="620">
        <f t="shared" si="280"/>
        <v>1.1159999999999999</v>
      </c>
      <c r="AN321" s="620">
        <v>9.6440000000000001</v>
      </c>
      <c r="AO321" s="620">
        <v>4.5170000000000003</v>
      </c>
      <c r="AP321" s="620">
        <f t="shared" si="281"/>
        <v>4.0110000000000001</v>
      </c>
      <c r="AQ321" s="620">
        <f t="shared" si="282"/>
        <v>34.565000000000005</v>
      </c>
      <c r="AR321" s="698">
        <f t="shared" si="283"/>
        <v>15699.340666170001</v>
      </c>
      <c r="AS321" s="650">
        <v>9000</v>
      </c>
      <c r="AT321" s="620">
        <f t="shared" si="295"/>
        <v>0.65300000000000002</v>
      </c>
      <c r="AU321" s="620">
        <v>9.6440000000000001</v>
      </c>
      <c r="AV321" s="620">
        <v>4.5170000000000003</v>
      </c>
      <c r="AW321" s="620">
        <f t="shared" si="284"/>
        <v>4.4740000000000002</v>
      </c>
      <c r="AX321" s="620">
        <f t="shared" si="285"/>
        <v>34.102000000000004</v>
      </c>
      <c r="AY321" s="698">
        <f t="shared" si="286"/>
        <v>17276.987542824001</v>
      </c>
      <c r="AZ321" s="75"/>
      <c r="BA321" s="650">
        <v>9000</v>
      </c>
      <c r="BB321" s="620">
        <v>103.50685607036536</v>
      </c>
      <c r="BC321" s="720">
        <f>(BB325-BB326)/BB307</f>
        <v>1.0839861653582146</v>
      </c>
      <c r="BD321" s="714">
        <f>D321-BB323</f>
        <v>16.630000000000052</v>
      </c>
      <c r="BE321" s="693">
        <f>BB325-BB326</f>
        <v>112.19999999999999</v>
      </c>
      <c r="BF321" s="693">
        <f t="shared" si="287"/>
        <v>14.821746880570458</v>
      </c>
      <c r="BG321" s="668">
        <f t="shared" si="288"/>
        <v>16.066568564979651</v>
      </c>
      <c r="BH321" s="650">
        <v>9000</v>
      </c>
      <c r="BI321" s="620">
        <v>103.50685607036536</v>
      </c>
      <c r="BJ321" s="720">
        <f>(BI325-BI326)/BI307</f>
        <v>1.3355637032007097</v>
      </c>
      <c r="BK321" s="714">
        <f>I321-BI323</f>
        <v>13.590000000000032</v>
      </c>
      <c r="BL321" s="693">
        <f>BI325-BI326</f>
        <v>138.24</v>
      </c>
      <c r="BM321" s="693">
        <f t="shared" si="289"/>
        <v>9.8307291666666892</v>
      </c>
      <c r="BN321" s="668">
        <f t="shared" si="290"/>
        <v>13.12956505099659</v>
      </c>
      <c r="BO321" s="650">
        <v>9000</v>
      </c>
      <c r="BP321" s="681">
        <v>103.50685607036536</v>
      </c>
      <c r="BQ321" s="720">
        <f>(BP325-BP326)/BP307</f>
        <v>1.1020526014475185</v>
      </c>
      <c r="BR321" s="714">
        <f>N321-BP323</f>
        <v>16.379999999999995</v>
      </c>
      <c r="BS321" s="693">
        <f>BP325-BP326</f>
        <v>114.07000000000001</v>
      </c>
      <c r="BT321" s="693">
        <f t="shared" si="291"/>
        <v>14.359603752082052</v>
      </c>
      <c r="BU321" s="668">
        <f t="shared" si="292"/>
        <v>15.825038670737573</v>
      </c>
      <c r="BV321" s="650">
        <v>9000</v>
      </c>
      <c r="BW321" s="620">
        <v>103.50685607036536</v>
      </c>
      <c r="BX321" s="720">
        <f>(BW325-BW326)/BW307</f>
        <v>1.3426163761125767</v>
      </c>
      <c r="BY321" s="714">
        <f>S321-BW323</f>
        <v>12.560000000000059</v>
      </c>
      <c r="BZ321" s="693">
        <f>BW325-BW326</f>
        <v>138.97</v>
      </c>
      <c r="CA321" s="693">
        <f t="shared" si="293"/>
        <v>9.037921853637517</v>
      </c>
      <c r="CB321" s="668">
        <f t="shared" si="294"/>
        <v>12.134461886719464</v>
      </c>
      <c r="CC321" s="560"/>
    </row>
    <row r="322" spans="1:81" ht="15.75">
      <c r="A322" s="564"/>
      <c r="B322" s="599" t="s">
        <v>116</v>
      </c>
      <c r="C322" s="605">
        <v>10000</v>
      </c>
      <c r="D322" s="559">
        <v>415.72</v>
      </c>
      <c r="E322" s="605">
        <v>13.6</v>
      </c>
      <c r="F322" s="656">
        <v>12.18</v>
      </c>
      <c r="G322" s="656">
        <v>12.39</v>
      </c>
      <c r="H322" s="605">
        <v>10000</v>
      </c>
      <c r="I322" s="605">
        <v>443.31</v>
      </c>
      <c r="J322" s="605">
        <v>5.4</v>
      </c>
      <c r="K322" s="658">
        <v>5.74</v>
      </c>
      <c r="L322" s="646">
        <v>6.1</v>
      </c>
      <c r="M322" s="605">
        <v>10000</v>
      </c>
      <c r="N322" s="649">
        <v>415.56</v>
      </c>
      <c r="O322" s="559">
        <v>10.28</v>
      </c>
      <c r="P322" s="559">
        <v>11.3</v>
      </c>
      <c r="Q322" s="559">
        <v>13.66</v>
      </c>
      <c r="R322" s="605">
        <v>10000</v>
      </c>
      <c r="S322" s="649">
        <v>438.28</v>
      </c>
      <c r="T322" s="649">
        <v>5.55</v>
      </c>
      <c r="U322" s="649">
        <v>5.23</v>
      </c>
      <c r="V322" s="649">
        <v>5.84</v>
      </c>
      <c r="W322" s="5"/>
      <c r="X322" s="660">
        <v>10000</v>
      </c>
      <c r="Y322" s="608">
        <f>AVERAGE(F322:G322)/10</f>
        <v>1.2284999999999999</v>
      </c>
      <c r="Z322" s="609">
        <v>9.6440000000000001</v>
      </c>
      <c r="AA322" s="609">
        <v>4.5170000000000003</v>
      </c>
      <c r="AB322" s="609">
        <f t="shared" si="273"/>
        <v>3.8985000000000003</v>
      </c>
      <c r="AC322" s="609">
        <f t="shared" si="274"/>
        <v>34.677500000000002</v>
      </c>
      <c r="AD322" s="702">
        <f t="shared" si="275"/>
        <v>18899.594678250003</v>
      </c>
      <c r="AE322" s="660">
        <v>10000</v>
      </c>
      <c r="AF322" s="620">
        <f t="shared" si="276"/>
        <v>0.57466666666666666</v>
      </c>
      <c r="AG322" s="609">
        <v>9.6440000000000001</v>
      </c>
      <c r="AH322" s="609">
        <v>4.5170000000000003</v>
      </c>
      <c r="AI322" s="609">
        <f t="shared" si="277"/>
        <v>4.5523333333333333</v>
      </c>
      <c r="AJ322" s="609">
        <f t="shared" si="278"/>
        <v>34.023666666666671</v>
      </c>
      <c r="AK322" s="702">
        <f t="shared" si="279"/>
        <v>21653.212650066667</v>
      </c>
      <c r="AL322" s="660">
        <v>10000</v>
      </c>
      <c r="AM322" s="620">
        <f t="shared" si="280"/>
        <v>1.1746666666666665</v>
      </c>
      <c r="AN322" s="609">
        <v>9.6440000000000001</v>
      </c>
      <c r="AO322" s="609">
        <v>4.5170000000000003</v>
      </c>
      <c r="AP322" s="609">
        <f t="shared" si="281"/>
        <v>3.9523333333333337</v>
      </c>
      <c r="AQ322" s="609">
        <f t="shared" si="282"/>
        <v>34.623666666666672</v>
      </c>
      <c r="AR322" s="699">
        <f t="shared" si="283"/>
        <v>19130.829210066669</v>
      </c>
      <c r="AS322" s="660">
        <v>10000</v>
      </c>
      <c r="AT322" s="620">
        <f>AVERAGE(T322:V322)/10</f>
        <v>0.55400000000000005</v>
      </c>
      <c r="AU322" s="609">
        <v>9.6440000000000001</v>
      </c>
      <c r="AV322" s="609">
        <v>4.5170000000000003</v>
      </c>
      <c r="AW322" s="609">
        <f t="shared" si="284"/>
        <v>4.5729999999999995</v>
      </c>
      <c r="AX322" s="609">
        <f t="shared" si="285"/>
        <v>34.003000000000007</v>
      </c>
      <c r="AY322" s="699">
        <f t="shared" si="286"/>
        <v>21738.301516200001</v>
      </c>
      <c r="AZ322" s="75"/>
      <c r="BA322" s="660">
        <v>10000</v>
      </c>
      <c r="BB322" s="609">
        <v>103.50685607036536</v>
      </c>
      <c r="BC322" s="720">
        <f>(BB325-BB326)/BB307</f>
        <v>1.0839861653582146</v>
      </c>
      <c r="BD322" s="714">
        <f>D322-BB323</f>
        <v>15.300000000000068</v>
      </c>
      <c r="BE322" s="682">
        <f>BB325-BB326</f>
        <v>112.19999999999999</v>
      </c>
      <c r="BF322" s="682">
        <f t="shared" si="287"/>
        <v>13.636363636363699</v>
      </c>
      <c r="BG322" s="683">
        <f t="shared" si="288"/>
        <v>14.781629527612084</v>
      </c>
      <c r="BH322" s="660">
        <v>10000</v>
      </c>
      <c r="BI322" s="609">
        <v>103.50685607036536</v>
      </c>
      <c r="BJ322" s="720">
        <f>(BI325-BI326)/BI307</f>
        <v>1.3355637032007097</v>
      </c>
      <c r="BK322" s="714">
        <f>I322-BI323</f>
        <v>12.420000000000016</v>
      </c>
      <c r="BL322" s="682">
        <f>BI325-BI326</f>
        <v>138.24</v>
      </c>
      <c r="BM322" s="682">
        <f t="shared" si="289"/>
        <v>8.9843750000000107</v>
      </c>
      <c r="BN322" s="683">
        <f t="shared" si="290"/>
        <v>11.99920514594389</v>
      </c>
      <c r="BO322" s="660">
        <v>10000</v>
      </c>
      <c r="BP322" s="684">
        <v>103.50685607036536</v>
      </c>
      <c r="BQ322" s="720">
        <f>(BP325-BP326)/BP307</f>
        <v>1.1020526014475185</v>
      </c>
      <c r="BR322" s="714">
        <f>N322-BP323</f>
        <v>15.009999999999991</v>
      </c>
      <c r="BS322" s="682">
        <f>BP325-BP326</f>
        <v>114.07000000000001</v>
      </c>
      <c r="BT322" s="682">
        <f t="shared" si="291"/>
        <v>13.158586832646613</v>
      </c>
      <c r="BU322" s="683">
        <f t="shared" si="292"/>
        <v>14.501454850291262</v>
      </c>
      <c r="BV322" s="660">
        <v>10000</v>
      </c>
      <c r="BW322" s="609">
        <v>103.50685607036536</v>
      </c>
      <c r="BX322" s="720">
        <f>(BW325-BW326)/BW307</f>
        <v>1.3426163761125767</v>
      </c>
      <c r="BY322" s="714">
        <f>S322-BW323</f>
        <v>11.490000000000009</v>
      </c>
      <c r="BZ322" s="682">
        <f>BW325-BW326</f>
        <v>138.97</v>
      </c>
      <c r="CA322" s="682">
        <f t="shared" si="293"/>
        <v>8.2679715046412952</v>
      </c>
      <c r="CB322" s="683">
        <f t="shared" si="294"/>
        <v>11.100713939363544</v>
      </c>
      <c r="CC322" s="560"/>
    </row>
    <row r="323" spans="1:81" ht="45">
      <c r="A323" s="560"/>
      <c r="B323" s="560"/>
      <c r="C323" s="559"/>
      <c r="D323" s="559"/>
      <c r="E323" s="560"/>
      <c r="F323" s="560"/>
      <c r="G323" s="560"/>
      <c r="H323" s="560"/>
      <c r="I323" s="560"/>
      <c r="J323" s="560"/>
      <c r="K323" s="560"/>
      <c r="L323" s="560"/>
      <c r="M323" s="560"/>
      <c r="N323" s="661"/>
      <c r="O323" s="559"/>
      <c r="P323" s="559"/>
      <c r="Q323" s="559"/>
      <c r="R323" s="560"/>
      <c r="S323" s="661"/>
      <c r="T323" s="560"/>
      <c r="U323" s="560"/>
      <c r="V323" s="560"/>
      <c r="X323" s="560"/>
      <c r="Y323" s="560"/>
      <c r="Z323" s="560"/>
      <c r="AA323" s="560"/>
      <c r="AB323" s="560"/>
      <c r="AC323" s="560"/>
      <c r="AD323" s="560"/>
      <c r="AE323" s="559"/>
      <c r="AF323" s="559"/>
      <c r="AG323" s="559"/>
      <c r="AH323" s="559"/>
      <c r="AI323" s="559"/>
      <c r="AJ323" s="559"/>
      <c r="AK323" s="559"/>
      <c r="AL323" s="560"/>
      <c r="AM323" s="560"/>
      <c r="AN323" s="559"/>
      <c r="AO323" s="559"/>
      <c r="AP323" s="560"/>
      <c r="AQ323" s="560"/>
      <c r="AR323" s="560"/>
      <c r="AS323" s="560"/>
      <c r="AT323" s="560"/>
      <c r="AU323" s="560"/>
      <c r="AV323" s="560"/>
      <c r="AW323" s="560"/>
      <c r="AX323" s="560"/>
      <c r="AY323" s="560"/>
      <c r="AZ323" s="791" t="s">
        <v>144</v>
      </c>
      <c r="BA323" s="709" t="s">
        <v>1047</v>
      </c>
      <c r="BB323" s="565">
        <f>BB325+BB324</f>
        <v>400.41999999999996</v>
      </c>
      <c r="BC323" s="559"/>
      <c r="BD323" s="559"/>
      <c r="BE323" s="559"/>
      <c r="BF323" s="559"/>
      <c r="BG323" s="559"/>
      <c r="BH323" s="709" t="s">
        <v>1047</v>
      </c>
      <c r="BI323" s="565">
        <f>BI324+BI325</f>
        <v>430.89</v>
      </c>
      <c r="BJ323" s="559"/>
      <c r="BK323" s="569"/>
      <c r="BL323" s="569"/>
      <c r="BM323" s="569"/>
      <c r="BN323" s="569"/>
      <c r="BO323" s="709" t="s">
        <v>1047</v>
      </c>
      <c r="BP323" s="697">
        <f>BP324+BP325</f>
        <v>400.55</v>
      </c>
      <c r="BQ323" s="560"/>
      <c r="BR323" s="559"/>
      <c r="BS323" s="559"/>
      <c r="BT323" s="559"/>
      <c r="BU323" s="559"/>
      <c r="BV323" s="709" t="s">
        <v>1047</v>
      </c>
      <c r="BW323" s="697">
        <f>BW324+BW325</f>
        <v>426.78999999999996</v>
      </c>
      <c r="BX323" s="560"/>
      <c r="BY323" s="560"/>
      <c r="BZ323" s="560"/>
      <c r="CA323" s="560"/>
      <c r="CB323" s="560"/>
      <c r="CC323" s="560"/>
    </row>
    <row r="324" spans="1:81">
      <c r="A324" s="560"/>
      <c r="B324" s="560"/>
      <c r="C324" s="559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59"/>
      <c r="P324" s="559"/>
      <c r="Q324" s="559"/>
      <c r="R324" s="560"/>
      <c r="S324" s="560"/>
      <c r="T324" s="560"/>
      <c r="U324" s="560"/>
      <c r="V324" s="560"/>
      <c r="X324" s="560"/>
      <c r="Y324" s="560"/>
      <c r="Z324" s="560"/>
      <c r="AA324" s="560"/>
      <c r="AB324" s="560"/>
      <c r="AC324" s="560"/>
      <c r="AD324" s="560"/>
      <c r="AE324" s="559"/>
      <c r="AF324" s="559"/>
      <c r="AG324" s="559"/>
      <c r="AH324" s="559"/>
      <c r="AI324" s="559"/>
      <c r="AJ324" s="559"/>
      <c r="AK324" s="559"/>
      <c r="AL324" s="560"/>
      <c r="AM324" s="560"/>
      <c r="AN324" s="559"/>
      <c r="AO324" s="559"/>
      <c r="AP324" s="560"/>
      <c r="AQ324" s="560"/>
      <c r="AR324" s="560"/>
      <c r="AS324" s="560"/>
      <c r="AT324" s="560"/>
      <c r="AU324" s="560"/>
      <c r="AV324" s="560"/>
      <c r="AW324" s="560"/>
      <c r="AX324" s="560"/>
      <c r="AY324" s="560"/>
      <c r="AZ324" s="791"/>
      <c r="BA324" s="655" t="s">
        <v>1048</v>
      </c>
      <c r="BB324" s="569">
        <v>215.07</v>
      </c>
      <c r="BC324" s="559"/>
      <c r="BD324" s="559"/>
      <c r="BE324" s="559"/>
      <c r="BF324" s="559"/>
      <c r="BG324" s="559"/>
      <c r="BH324" s="655" t="s">
        <v>1048</v>
      </c>
      <c r="BI324" s="569">
        <v>215.03</v>
      </c>
      <c r="BJ324" s="559"/>
      <c r="BK324" s="569"/>
      <c r="BL324" s="569"/>
      <c r="BM324" s="569"/>
      <c r="BN324" s="569"/>
      <c r="BO324" s="655" t="s">
        <v>1048</v>
      </c>
      <c r="BP324" s="559">
        <v>214.9</v>
      </c>
      <c r="BQ324" s="560"/>
      <c r="BR324" s="559"/>
      <c r="BS324" s="559"/>
      <c r="BT324" s="620"/>
      <c r="BU324" s="620"/>
      <c r="BV324" s="655" t="s">
        <v>1048</v>
      </c>
      <c r="BW324" s="559">
        <v>214.66</v>
      </c>
      <c r="BX324" s="560"/>
      <c r="BY324" s="560"/>
      <c r="BZ324" s="560"/>
      <c r="CA324" s="560"/>
      <c r="CB324" s="560"/>
      <c r="CC324" s="560"/>
    </row>
    <row r="325" spans="1:81">
      <c r="A325" s="560"/>
      <c r="B325" s="560"/>
      <c r="C325" s="559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59"/>
      <c r="P325" s="559"/>
      <c r="Q325" s="559"/>
      <c r="R325" s="560"/>
      <c r="S325" s="560"/>
      <c r="T325" s="560"/>
      <c r="U325" s="560"/>
      <c r="V325" s="560"/>
      <c r="X325" s="560"/>
      <c r="Y325" s="560"/>
      <c r="Z325" s="560"/>
      <c r="AA325" s="560"/>
      <c r="AB325" s="560"/>
      <c r="AC325" s="560"/>
      <c r="AD325" s="560"/>
      <c r="AE325" s="559"/>
      <c r="AF325" s="559"/>
      <c r="AG325" s="559"/>
      <c r="AH325" s="559"/>
      <c r="AI325" s="559"/>
      <c r="AJ325" s="559"/>
      <c r="AK325" s="559"/>
      <c r="AL325" s="560"/>
      <c r="AM325" s="560"/>
      <c r="AN325" s="559"/>
      <c r="AO325" s="559"/>
      <c r="AP325" s="560"/>
      <c r="AQ325" s="560"/>
      <c r="AR325" s="560"/>
      <c r="AS325" s="560"/>
      <c r="AT325" s="560"/>
      <c r="AU325" s="560"/>
      <c r="AV325" s="560"/>
      <c r="AW325" s="560"/>
      <c r="AX325" s="560"/>
      <c r="AY325" s="560"/>
      <c r="AZ325" s="791"/>
      <c r="BA325" s="655" t="s">
        <v>1049</v>
      </c>
      <c r="BB325" s="565">
        <v>185.35</v>
      </c>
      <c r="BC325" s="559"/>
      <c r="BD325" s="559"/>
      <c r="BE325" s="559"/>
      <c r="BF325" s="559"/>
      <c r="BG325" s="559"/>
      <c r="BH325" s="655" t="s">
        <v>1049</v>
      </c>
      <c r="BI325" s="565">
        <v>215.86</v>
      </c>
      <c r="BJ325" s="559"/>
      <c r="BK325" s="569"/>
      <c r="BL325" s="569"/>
      <c r="BM325" s="569"/>
      <c r="BN325" s="569"/>
      <c r="BO325" s="655" t="s">
        <v>1049</v>
      </c>
      <c r="BP325" s="697">
        <v>185.65</v>
      </c>
      <c r="BQ325" s="560"/>
      <c r="BR325" s="559"/>
      <c r="BS325" s="559"/>
      <c r="BT325" s="620"/>
      <c r="BU325" s="620"/>
      <c r="BV325" s="655" t="s">
        <v>1049</v>
      </c>
      <c r="BW325" s="697">
        <v>212.13</v>
      </c>
      <c r="BX325" s="560"/>
      <c r="BY325" s="560"/>
      <c r="BZ325" s="560"/>
      <c r="CA325" s="560"/>
      <c r="CB325" s="560"/>
      <c r="CC325" s="560"/>
    </row>
    <row r="326" spans="1:81">
      <c r="A326" s="560"/>
      <c r="B326" s="560"/>
      <c r="C326" s="559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59"/>
      <c r="P326" s="559"/>
      <c r="Q326" s="559"/>
      <c r="R326" s="560"/>
      <c r="S326" s="560"/>
      <c r="T326" s="560"/>
      <c r="U326" s="560"/>
      <c r="V326" s="560"/>
      <c r="X326" s="560"/>
      <c r="Y326" s="560"/>
      <c r="Z326" s="560"/>
      <c r="AA326" s="560"/>
      <c r="AB326" s="560"/>
      <c r="AC326" s="560"/>
      <c r="AD326" s="560"/>
      <c r="AE326" s="559"/>
      <c r="AF326" s="559"/>
      <c r="AG326" s="559"/>
      <c r="AH326" s="559"/>
      <c r="AI326" s="559"/>
      <c r="AJ326" s="559"/>
      <c r="AK326" s="559"/>
      <c r="AL326" s="560"/>
      <c r="AM326" s="560"/>
      <c r="AN326" s="559"/>
      <c r="AO326" s="559"/>
      <c r="AP326" s="560"/>
      <c r="AQ326" s="560"/>
      <c r="AR326" s="560"/>
      <c r="AS326" s="560"/>
      <c r="AT326" s="560"/>
      <c r="AU326" s="560"/>
      <c r="AV326" s="560"/>
      <c r="AW326" s="560"/>
      <c r="AX326" s="560"/>
      <c r="AY326" s="560"/>
      <c r="AZ326" s="791"/>
      <c r="BA326" s="655" t="s">
        <v>1050</v>
      </c>
      <c r="BB326" s="569">
        <v>73.150000000000006</v>
      </c>
      <c r="BC326" s="559"/>
      <c r="BD326" s="560"/>
      <c r="BE326" s="560"/>
      <c r="BF326" s="560"/>
      <c r="BG326" s="560"/>
      <c r="BH326" s="655" t="s">
        <v>1050</v>
      </c>
      <c r="BI326" s="569">
        <v>77.62</v>
      </c>
      <c r="BJ326" s="559"/>
      <c r="BK326" s="560"/>
      <c r="BL326" s="560"/>
      <c r="BM326" s="560"/>
      <c r="BN326" s="560"/>
      <c r="BO326" s="655" t="s">
        <v>1050</v>
      </c>
      <c r="BP326" s="559">
        <v>71.58</v>
      </c>
      <c r="BQ326" s="560"/>
      <c r="BR326" s="560"/>
      <c r="BS326" s="560"/>
      <c r="BT326" s="560"/>
      <c r="BU326" s="560"/>
      <c r="BV326" s="655" t="s">
        <v>1050</v>
      </c>
      <c r="BW326" s="559">
        <v>73.16</v>
      </c>
      <c r="BX326" s="560"/>
      <c r="BY326" s="560"/>
      <c r="BZ326" s="560"/>
      <c r="CA326" s="560"/>
      <c r="CB326" s="560"/>
      <c r="CC326" s="560"/>
    </row>
    <row r="327" spans="1:81">
      <c r="A327" s="560"/>
      <c r="B327" s="560"/>
      <c r="C327" s="569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59"/>
      <c r="P327" s="559"/>
      <c r="Q327" s="559"/>
      <c r="R327" s="560"/>
      <c r="S327" s="560"/>
      <c r="T327" s="560"/>
      <c r="U327" s="560"/>
      <c r="V327" s="560"/>
      <c r="X327" s="560"/>
      <c r="Y327" s="560"/>
      <c r="Z327" s="560"/>
      <c r="AA327" s="560"/>
      <c r="AB327" s="560"/>
      <c r="AC327" s="560"/>
      <c r="AD327" s="560"/>
      <c r="AE327" s="559"/>
      <c r="AF327" s="559"/>
      <c r="AG327" s="559"/>
      <c r="AH327" s="559"/>
      <c r="AI327" s="559"/>
      <c r="AJ327" s="559"/>
      <c r="AK327" s="559"/>
      <c r="AL327" s="560"/>
      <c r="AM327" s="560"/>
      <c r="AN327" s="559"/>
      <c r="AO327" s="559"/>
      <c r="AP327" s="560"/>
      <c r="AQ327" s="560"/>
      <c r="AR327" s="560"/>
      <c r="AS327" s="560"/>
      <c r="AT327" s="560"/>
      <c r="AU327" s="560"/>
      <c r="AV327" s="560"/>
      <c r="AW327" s="560"/>
      <c r="AX327" s="560"/>
      <c r="AY327" s="560"/>
      <c r="AZ327" s="526"/>
      <c r="BA327" s="560"/>
      <c r="BB327" s="560"/>
      <c r="BC327" s="559"/>
      <c r="BD327" s="560"/>
      <c r="BE327" s="560"/>
      <c r="BF327" s="560"/>
      <c r="BG327" s="560"/>
      <c r="BH327" s="560"/>
      <c r="BI327" s="560"/>
      <c r="BJ327" s="559"/>
      <c r="BK327" s="560"/>
      <c r="BL327" s="560"/>
      <c r="BM327" s="560"/>
      <c r="BN327" s="560"/>
      <c r="BO327" s="560"/>
      <c r="BP327" s="560"/>
      <c r="BQ327" s="560"/>
      <c r="BR327" s="560"/>
      <c r="BS327" s="560"/>
      <c r="BT327" s="560"/>
      <c r="BU327" s="560"/>
      <c r="BV327" s="560"/>
      <c r="BW327" s="560"/>
      <c r="BX327" s="560"/>
      <c r="BY327" s="560"/>
      <c r="BZ327" s="560"/>
      <c r="CA327" s="560"/>
      <c r="CB327" s="560"/>
      <c r="CC327" s="560"/>
    </row>
    <row r="328" spans="1:81">
      <c r="A328" s="560"/>
      <c r="B328" s="560"/>
      <c r="C328" s="562"/>
      <c r="D328" s="562"/>
      <c r="E328" s="562"/>
      <c r="F328" s="562"/>
      <c r="G328" s="560"/>
      <c r="H328" s="560"/>
      <c r="I328" s="560"/>
      <c r="J328" s="560"/>
      <c r="K328" s="560"/>
      <c r="L328" s="560"/>
      <c r="M328" s="560"/>
      <c r="N328" s="560"/>
      <c r="O328" s="559"/>
      <c r="P328" s="559"/>
      <c r="Q328" s="559"/>
      <c r="R328" s="560"/>
      <c r="S328" s="560"/>
      <c r="T328" s="560"/>
      <c r="U328" s="560"/>
      <c r="V328" s="560"/>
      <c r="X328" s="560"/>
      <c r="Y328" s="560"/>
      <c r="Z328" s="560"/>
      <c r="AA328" s="560"/>
      <c r="AB328" s="560"/>
      <c r="AC328" s="560"/>
      <c r="AD328" s="560"/>
      <c r="AE328" s="559"/>
      <c r="AF328" s="559"/>
      <c r="AG328" s="559"/>
      <c r="AH328" s="559"/>
      <c r="AI328" s="559"/>
      <c r="AJ328" s="559"/>
      <c r="AK328" s="559"/>
      <c r="AL328" s="560"/>
      <c r="AM328" s="560"/>
      <c r="AN328" s="559"/>
      <c r="AO328" s="559"/>
      <c r="AP328" s="560"/>
      <c r="AQ328" s="560"/>
      <c r="AR328" s="560"/>
      <c r="AS328" s="560"/>
      <c r="AT328" s="560"/>
      <c r="AU328" s="560"/>
      <c r="AV328" s="560"/>
      <c r="AW328" s="560"/>
      <c r="AX328" s="560"/>
      <c r="AY328" s="560"/>
      <c r="AZ328" s="526"/>
      <c r="BA328" s="560"/>
      <c r="BB328" s="560"/>
      <c r="BC328" s="559"/>
      <c r="BD328" s="560"/>
      <c r="BE328" s="560"/>
      <c r="BF328" s="560"/>
      <c r="BG328" s="560"/>
      <c r="BH328" s="560"/>
      <c r="BI328" s="560"/>
      <c r="BJ328" s="559"/>
      <c r="BK328" s="560"/>
      <c r="BL328" s="560"/>
      <c r="BM328" s="560"/>
      <c r="BN328" s="560"/>
      <c r="BO328" s="560"/>
      <c r="BP328" s="560"/>
      <c r="BQ328" s="560"/>
      <c r="BR328" s="560"/>
      <c r="BS328" s="560"/>
      <c r="BT328" s="560"/>
      <c r="BU328" s="560"/>
      <c r="BV328" s="560"/>
      <c r="BW328" s="560"/>
      <c r="BX328" s="560"/>
      <c r="BY328" s="560"/>
      <c r="BZ328" s="560"/>
      <c r="CA328" s="560"/>
      <c r="CB328" s="560"/>
      <c r="CC328" s="560"/>
    </row>
    <row r="329" spans="1:81" ht="18.75">
      <c r="A329" s="557" t="s">
        <v>993</v>
      </c>
      <c r="B329" s="558"/>
      <c r="C329" s="639"/>
      <c r="D329" s="639"/>
      <c r="E329" s="562"/>
      <c r="F329" s="639"/>
      <c r="G329" s="560"/>
      <c r="H329" s="560"/>
      <c r="I329" s="560"/>
      <c r="J329" s="560"/>
      <c r="K329" s="560"/>
      <c r="L329" s="560"/>
      <c r="M329" s="560"/>
      <c r="N329" s="560"/>
      <c r="O329" s="559"/>
      <c r="P329" s="559"/>
      <c r="Q329" s="559"/>
      <c r="R329" s="560"/>
      <c r="S329" s="560"/>
      <c r="T329" s="560"/>
      <c r="U329" s="560"/>
      <c r="V329" s="560"/>
      <c r="X329" s="560"/>
      <c r="Y329" s="560"/>
      <c r="Z329" s="560"/>
      <c r="AA329" s="560"/>
      <c r="AB329" s="560"/>
      <c r="AC329" s="560"/>
      <c r="AD329" s="560"/>
      <c r="AE329" s="559"/>
      <c r="AF329" s="559"/>
      <c r="AG329" s="559"/>
      <c r="AH329" s="559"/>
      <c r="AI329" s="559"/>
      <c r="AJ329" s="559"/>
      <c r="AK329" s="559"/>
      <c r="AL329" s="560"/>
      <c r="AM329" s="560"/>
      <c r="AN329" s="559"/>
      <c r="AO329" s="559"/>
      <c r="AP329" s="560"/>
      <c r="AQ329" s="560"/>
      <c r="AR329" s="560"/>
      <c r="AS329" s="560"/>
      <c r="AT329" s="560"/>
      <c r="AU329" s="560"/>
      <c r="AV329" s="560"/>
      <c r="AW329" s="560"/>
      <c r="AX329" s="560"/>
      <c r="AY329" s="560"/>
      <c r="AZ329" s="526"/>
      <c r="BA329" s="560"/>
      <c r="BB329" s="560"/>
      <c r="BC329" s="559"/>
      <c r="BD329" s="560"/>
      <c r="BE329" s="560"/>
      <c r="BF329" s="560"/>
      <c r="BG329" s="560"/>
      <c r="BH329" s="560"/>
      <c r="BI329" s="560"/>
      <c r="BJ329" s="559"/>
      <c r="BK329" s="560"/>
      <c r="BL329" s="560"/>
      <c r="BM329" s="560"/>
      <c r="BN329" s="560"/>
      <c r="BO329" s="560"/>
      <c r="BP329" s="560"/>
      <c r="BQ329" s="560"/>
      <c r="BR329" s="560"/>
      <c r="BS329" s="560"/>
      <c r="BT329" s="560"/>
      <c r="BU329" s="560"/>
      <c r="BV329" s="560"/>
      <c r="BW329" s="560"/>
      <c r="BX329" s="560"/>
      <c r="BY329" s="560"/>
      <c r="BZ329" s="560"/>
      <c r="CA329" s="560"/>
      <c r="CB329" s="560"/>
      <c r="CC329" s="560"/>
    </row>
    <row r="330" spans="1:81" ht="18.75">
      <c r="A330" s="792" t="s">
        <v>990</v>
      </c>
      <c r="B330" s="792"/>
      <c r="C330" s="792"/>
      <c r="D330" s="792"/>
      <c r="E330" s="613"/>
      <c r="F330" s="613"/>
      <c r="G330" s="613"/>
      <c r="H330" s="613"/>
      <c r="I330" s="613"/>
      <c r="J330" s="613"/>
      <c r="K330" s="613"/>
      <c r="L330" s="613"/>
      <c r="M330" s="613"/>
      <c r="N330" s="613"/>
      <c r="O330" s="614"/>
      <c r="P330" s="614"/>
      <c r="Q330" s="614"/>
      <c r="R330" s="613"/>
      <c r="S330" s="613"/>
      <c r="T330" s="613"/>
      <c r="U330" s="613"/>
      <c r="V330" s="613"/>
      <c r="W330" s="90"/>
      <c r="X330" s="613"/>
      <c r="Y330" s="613"/>
      <c r="Z330" s="613"/>
      <c r="AA330" s="613"/>
      <c r="AB330" s="613"/>
      <c r="AC330" s="613"/>
      <c r="AD330" s="613"/>
      <c r="AE330" s="614"/>
      <c r="AF330" s="614"/>
      <c r="AG330" s="614"/>
      <c r="AH330" s="614"/>
      <c r="AI330" s="614"/>
      <c r="AJ330" s="614"/>
      <c r="AK330" s="614"/>
      <c r="AL330" s="613"/>
      <c r="AM330" s="613"/>
      <c r="AN330" s="614"/>
      <c r="AO330" s="614"/>
      <c r="AP330" s="613"/>
      <c r="AQ330" s="613"/>
      <c r="AR330" s="613"/>
      <c r="AS330" s="613"/>
      <c r="AT330" s="613"/>
      <c r="AU330" s="613"/>
      <c r="AV330" s="613"/>
      <c r="AW330" s="613"/>
      <c r="AX330" s="613"/>
      <c r="AY330" s="613"/>
      <c r="AZ330" s="89"/>
      <c r="BA330" s="613"/>
      <c r="BB330" s="613"/>
      <c r="BC330" s="614"/>
      <c r="BD330" s="613"/>
      <c r="BE330" s="613"/>
      <c r="BF330" s="613"/>
      <c r="BG330" s="613"/>
      <c r="BH330" s="613"/>
      <c r="BI330" s="613"/>
      <c r="BJ330" s="614"/>
      <c r="BK330" s="613"/>
      <c r="BL330" s="613"/>
      <c r="BM330" s="613"/>
      <c r="BN330" s="613"/>
      <c r="BO330" s="613"/>
      <c r="BP330" s="613"/>
      <c r="BQ330" s="613"/>
      <c r="BR330" s="613"/>
      <c r="BS330" s="613"/>
      <c r="BT330" s="613"/>
      <c r="BU330" s="613"/>
      <c r="BV330" s="613"/>
      <c r="BW330" s="613"/>
      <c r="BX330" s="613"/>
      <c r="BY330" s="613"/>
      <c r="BZ330" s="613"/>
      <c r="CA330" s="613"/>
      <c r="CB330" s="613"/>
      <c r="CC330" s="560"/>
    </row>
    <row r="331" spans="1:81">
      <c r="A331" s="560"/>
      <c r="B331" s="560"/>
      <c r="C331" s="559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59"/>
      <c r="P331" s="559"/>
      <c r="Q331" s="559"/>
      <c r="R331" s="560"/>
      <c r="S331" s="560"/>
      <c r="T331" s="560"/>
      <c r="U331" s="560"/>
      <c r="V331" s="560"/>
      <c r="X331" s="560"/>
      <c r="Y331" s="560"/>
      <c r="Z331" s="560"/>
      <c r="AA331" s="560"/>
      <c r="AB331" s="560"/>
      <c r="AC331" s="560"/>
      <c r="AD331" s="560"/>
      <c r="AE331" s="559"/>
      <c r="AF331" s="559"/>
      <c r="AG331" s="559"/>
      <c r="AH331" s="559"/>
      <c r="AI331" s="559"/>
      <c r="AJ331" s="559"/>
      <c r="AK331" s="559"/>
      <c r="AL331" s="560"/>
      <c r="AM331" s="560"/>
      <c r="AN331" s="559"/>
      <c r="AO331" s="559"/>
      <c r="AP331" s="560"/>
      <c r="AQ331" s="560"/>
      <c r="AR331" s="560"/>
      <c r="AS331" s="560"/>
      <c r="AT331" s="560"/>
      <c r="AU331" s="560"/>
      <c r="AV331" s="560"/>
      <c r="AW331" s="560"/>
      <c r="AX331" s="560"/>
      <c r="AY331" s="560"/>
      <c r="AZ331" s="526"/>
      <c r="BA331" s="560"/>
      <c r="BB331" s="560"/>
      <c r="BC331" s="559"/>
      <c r="BD331" s="560"/>
      <c r="BE331" s="560"/>
      <c r="BF331" s="560"/>
      <c r="BG331" s="560"/>
      <c r="BH331" s="560"/>
      <c r="BI331" s="560"/>
      <c r="BJ331" s="559"/>
      <c r="BK331" s="560"/>
      <c r="BL331" s="560"/>
      <c r="BM331" s="560"/>
      <c r="BN331" s="560"/>
      <c r="BO331" s="560"/>
      <c r="BP331" s="560"/>
      <c r="BQ331" s="560"/>
      <c r="BR331" s="560"/>
      <c r="BS331" s="560"/>
      <c r="BT331" s="560"/>
      <c r="BU331" s="560"/>
      <c r="BV331" s="560"/>
      <c r="BW331" s="560"/>
      <c r="BX331" s="560"/>
      <c r="BY331" s="560"/>
      <c r="BZ331" s="560"/>
      <c r="CA331" s="560"/>
      <c r="CB331" s="560"/>
      <c r="CC331" s="560"/>
    </row>
    <row r="332" spans="1:81">
      <c r="A332" s="565" t="s">
        <v>134</v>
      </c>
      <c r="B332" s="721" t="s">
        <v>124</v>
      </c>
      <c r="C332" s="641" t="s">
        <v>119</v>
      </c>
      <c r="D332" s="642" t="s">
        <v>111</v>
      </c>
      <c r="E332" s="569"/>
      <c r="F332" s="569"/>
      <c r="G332" s="570"/>
      <c r="H332" s="640" t="s">
        <v>124</v>
      </c>
      <c r="I332" s="642" t="s">
        <v>119</v>
      </c>
      <c r="J332" s="642" t="s">
        <v>111</v>
      </c>
      <c r="K332" s="569"/>
      <c r="L332" s="569"/>
      <c r="M332" s="571" t="s">
        <v>124</v>
      </c>
      <c r="N332" s="642" t="s">
        <v>119</v>
      </c>
      <c r="O332" s="641" t="s">
        <v>111</v>
      </c>
      <c r="P332" s="559"/>
      <c r="Q332" s="559"/>
      <c r="R332" s="571" t="s">
        <v>124</v>
      </c>
      <c r="S332" s="642" t="s">
        <v>119</v>
      </c>
      <c r="T332" s="642" t="s">
        <v>111</v>
      </c>
      <c r="U332" s="569"/>
      <c r="V332" s="569"/>
      <c r="W332" s="447" t="s">
        <v>133</v>
      </c>
      <c r="X332" s="571" t="s">
        <v>124</v>
      </c>
      <c r="Y332" s="642" t="s">
        <v>119</v>
      </c>
      <c r="Z332" s="642" t="s">
        <v>111</v>
      </c>
      <c r="AA332" s="569"/>
      <c r="AB332" s="569"/>
      <c r="AC332" s="569"/>
      <c r="AD332" s="570"/>
      <c r="AE332" s="640" t="s">
        <v>124</v>
      </c>
      <c r="AF332" s="642" t="s">
        <v>119</v>
      </c>
      <c r="AG332" s="642" t="s">
        <v>111</v>
      </c>
      <c r="AH332" s="569"/>
      <c r="AI332" s="569"/>
      <c r="AJ332" s="569"/>
      <c r="AK332" s="570"/>
      <c r="AL332" s="571" t="s">
        <v>124</v>
      </c>
      <c r="AM332" s="642" t="s">
        <v>119</v>
      </c>
      <c r="AN332" s="642" t="s">
        <v>111</v>
      </c>
      <c r="AO332" s="569"/>
      <c r="AP332" s="569"/>
      <c r="AQ332" s="569"/>
      <c r="AR332" s="700"/>
      <c r="AS332" s="571" t="s">
        <v>124</v>
      </c>
      <c r="AT332" s="642" t="s">
        <v>119</v>
      </c>
      <c r="AU332" s="642" t="s">
        <v>111</v>
      </c>
      <c r="AV332" s="569"/>
      <c r="AW332" s="569"/>
      <c r="AX332" s="569"/>
      <c r="AY332" s="700"/>
      <c r="AZ332" s="447" t="s">
        <v>141</v>
      </c>
      <c r="BA332" s="640" t="s">
        <v>124</v>
      </c>
      <c r="BB332" s="642" t="s">
        <v>119</v>
      </c>
      <c r="BC332" s="642" t="s">
        <v>111</v>
      </c>
      <c r="BD332" s="569"/>
      <c r="BE332" s="569"/>
      <c r="BF332" s="569"/>
      <c r="BG332" s="569"/>
      <c r="BH332" s="640" t="s">
        <v>124</v>
      </c>
      <c r="BI332" s="641" t="s">
        <v>119</v>
      </c>
      <c r="BJ332" s="641" t="s">
        <v>111</v>
      </c>
      <c r="BK332" s="569"/>
      <c r="BL332" s="569"/>
      <c r="BM332" s="569"/>
      <c r="BN332" s="569"/>
      <c r="BO332" s="571" t="s">
        <v>124</v>
      </c>
      <c r="BP332" s="642" t="s">
        <v>119</v>
      </c>
      <c r="BQ332" s="642" t="s">
        <v>111</v>
      </c>
      <c r="BR332" s="560"/>
      <c r="BS332" s="569"/>
      <c r="BT332" s="569"/>
      <c r="BU332" s="569"/>
      <c r="BV332" s="672" t="s">
        <v>124</v>
      </c>
      <c r="BW332" s="641" t="s">
        <v>119</v>
      </c>
      <c r="BX332" s="641" t="s">
        <v>111</v>
      </c>
      <c r="BY332" s="559"/>
      <c r="BZ332" s="559"/>
      <c r="CA332" s="559"/>
      <c r="CB332" s="570"/>
      <c r="CC332" s="560"/>
    </row>
    <row r="333" spans="1:81">
      <c r="A333" s="565"/>
      <c r="B333" s="722"/>
      <c r="C333" s="573" t="s">
        <v>991</v>
      </c>
      <c r="D333" s="574" t="s">
        <v>112</v>
      </c>
      <c r="E333" s="569"/>
      <c r="F333" s="569"/>
      <c r="G333" s="570"/>
      <c r="H333" s="572"/>
      <c r="I333" s="573" t="s">
        <v>991</v>
      </c>
      <c r="J333" s="643" t="s">
        <v>114</v>
      </c>
      <c r="K333" s="569"/>
      <c r="L333" s="569"/>
      <c r="M333" s="572"/>
      <c r="N333" s="573" t="s">
        <v>992</v>
      </c>
      <c r="O333" s="645" t="s">
        <v>4</v>
      </c>
      <c r="P333" s="559"/>
      <c r="Q333" s="559"/>
      <c r="R333" s="572"/>
      <c r="S333" s="573" t="s">
        <v>992</v>
      </c>
      <c r="T333" s="643" t="s">
        <v>114</v>
      </c>
      <c r="U333" s="801"/>
      <c r="V333" s="801"/>
      <c r="W333" s="80"/>
      <c r="X333" s="572"/>
      <c r="Y333" s="573" t="s">
        <v>991</v>
      </c>
      <c r="Z333" s="574" t="s">
        <v>112</v>
      </c>
      <c r="AA333" s="569"/>
      <c r="AB333" s="569"/>
      <c r="AC333" s="569"/>
      <c r="AD333" s="570"/>
      <c r="AE333" s="572"/>
      <c r="AF333" s="573" t="s">
        <v>991</v>
      </c>
      <c r="AG333" s="643" t="s">
        <v>114</v>
      </c>
      <c r="AH333" s="569"/>
      <c r="AI333" s="569"/>
      <c r="AJ333" s="569"/>
      <c r="AK333" s="570"/>
      <c r="AL333" s="572"/>
      <c r="AM333" s="573" t="s">
        <v>992</v>
      </c>
      <c r="AN333" s="645" t="s">
        <v>4</v>
      </c>
      <c r="AO333" s="569"/>
      <c r="AP333" s="569"/>
      <c r="AQ333" s="569"/>
      <c r="AR333" s="700"/>
      <c r="AS333" s="572"/>
      <c r="AT333" s="573" t="s">
        <v>992</v>
      </c>
      <c r="AU333" s="643" t="s">
        <v>114</v>
      </c>
      <c r="AV333" s="795"/>
      <c r="AW333" s="795"/>
      <c r="AX333" s="569"/>
      <c r="AY333" s="700"/>
      <c r="AZ333" s="80"/>
      <c r="BA333" s="572"/>
      <c r="BB333" s="573" t="s">
        <v>991</v>
      </c>
      <c r="BC333" s="574" t="s">
        <v>112</v>
      </c>
      <c r="BD333" s="569"/>
      <c r="BE333" s="569"/>
      <c r="BF333" s="569"/>
      <c r="BG333" s="570"/>
      <c r="BH333" s="572"/>
      <c r="BI333" s="573" t="s">
        <v>991</v>
      </c>
      <c r="BJ333" s="643" t="s">
        <v>114</v>
      </c>
      <c r="BK333" s="569"/>
      <c r="BL333" s="569"/>
      <c r="BM333" s="569"/>
      <c r="BN333" s="570"/>
      <c r="BO333" s="572"/>
      <c r="BP333" s="573" t="s">
        <v>992</v>
      </c>
      <c r="BQ333" s="645" t="s">
        <v>4</v>
      </c>
      <c r="BR333" s="569"/>
      <c r="BS333" s="569"/>
      <c r="BT333" s="569"/>
      <c r="BU333" s="700"/>
      <c r="BV333" s="572"/>
      <c r="BW333" s="573" t="s">
        <v>992</v>
      </c>
      <c r="BX333" s="643" t="s">
        <v>114</v>
      </c>
      <c r="BY333" s="795"/>
      <c r="BZ333" s="795"/>
      <c r="CA333" s="569"/>
      <c r="CB333" s="700"/>
      <c r="CC333" s="560"/>
    </row>
    <row r="334" spans="1:81" ht="63">
      <c r="A334" s="564"/>
      <c r="B334" s="579" t="s">
        <v>122</v>
      </c>
      <c r="C334" s="580" t="s">
        <v>121</v>
      </c>
      <c r="D334" s="581" t="s">
        <v>125</v>
      </c>
      <c r="E334" s="796" t="s">
        <v>1013</v>
      </c>
      <c r="F334" s="796"/>
      <c r="G334" s="797"/>
      <c r="H334" s="582" t="s">
        <v>121</v>
      </c>
      <c r="I334" s="581" t="s">
        <v>125</v>
      </c>
      <c r="J334" s="796" t="s">
        <v>1013</v>
      </c>
      <c r="K334" s="796"/>
      <c r="L334" s="797"/>
      <c r="M334" s="582" t="s">
        <v>121</v>
      </c>
      <c r="N334" s="581" t="s">
        <v>125</v>
      </c>
      <c r="O334" s="796" t="s">
        <v>1013</v>
      </c>
      <c r="P334" s="796"/>
      <c r="Q334" s="797"/>
      <c r="R334" s="582" t="s">
        <v>121</v>
      </c>
      <c r="S334" s="581" t="s">
        <v>125</v>
      </c>
      <c r="T334" s="796" t="s">
        <v>1013</v>
      </c>
      <c r="U334" s="796"/>
      <c r="V334" s="797"/>
      <c r="W334" s="5"/>
      <c r="X334" s="582" t="s">
        <v>121</v>
      </c>
      <c r="Y334" s="584" t="s">
        <v>126</v>
      </c>
      <c r="Z334" s="583" t="s">
        <v>127</v>
      </c>
      <c r="AA334" s="583" t="s">
        <v>128</v>
      </c>
      <c r="AB334" s="583" t="s">
        <v>129</v>
      </c>
      <c r="AC334" s="583" t="s">
        <v>130</v>
      </c>
      <c r="AD334" s="701" t="s">
        <v>131</v>
      </c>
      <c r="AE334" s="582" t="s">
        <v>121</v>
      </c>
      <c r="AF334" s="583" t="s">
        <v>126</v>
      </c>
      <c r="AG334" s="583" t="s">
        <v>127</v>
      </c>
      <c r="AH334" s="583" t="s">
        <v>128</v>
      </c>
      <c r="AI334" s="583" t="s">
        <v>129</v>
      </c>
      <c r="AJ334" s="583" t="s">
        <v>130</v>
      </c>
      <c r="AK334" s="701" t="s">
        <v>131</v>
      </c>
      <c r="AL334" s="582" t="s">
        <v>121</v>
      </c>
      <c r="AM334" s="583" t="s">
        <v>126</v>
      </c>
      <c r="AN334" s="583" t="s">
        <v>127</v>
      </c>
      <c r="AO334" s="583" t="s">
        <v>128</v>
      </c>
      <c r="AP334" s="583" t="s">
        <v>129</v>
      </c>
      <c r="AQ334" s="583" t="s">
        <v>130</v>
      </c>
      <c r="AR334" s="696" t="s">
        <v>131</v>
      </c>
      <c r="AS334" s="582" t="s">
        <v>121</v>
      </c>
      <c r="AT334" s="583" t="s">
        <v>126</v>
      </c>
      <c r="AU334" s="695" t="s">
        <v>127</v>
      </c>
      <c r="AV334" s="695" t="s">
        <v>128</v>
      </c>
      <c r="AW334" s="583" t="s">
        <v>129</v>
      </c>
      <c r="AX334" s="583" t="s">
        <v>130</v>
      </c>
      <c r="AY334" s="696" t="s">
        <v>131</v>
      </c>
      <c r="AZ334" s="75"/>
      <c r="BA334" s="648" t="s">
        <v>121</v>
      </c>
      <c r="BB334" s="583" t="s">
        <v>143</v>
      </c>
      <c r="BC334" s="583" t="s">
        <v>888</v>
      </c>
      <c r="BD334" s="583" t="s">
        <v>1045</v>
      </c>
      <c r="BE334" s="583" t="s">
        <v>1044</v>
      </c>
      <c r="BF334" s="666" t="s">
        <v>1051</v>
      </c>
      <c r="BG334" s="666" t="s">
        <v>1052</v>
      </c>
      <c r="BH334" s="648" t="s">
        <v>121</v>
      </c>
      <c r="BI334" s="583" t="s">
        <v>143</v>
      </c>
      <c r="BJ334" s="583" t="s">
        <v>888</v>
      </c>
      <c r="BK334" s="583" t="s">
        <v>1045</v>
      </c>
      <c r="BL334" s="583" t="s">
        <v>1044</v>
      </c>
      <c r="BM334" s="666" t="s">
        <v>1051</v>
      </c>
      <c r="BN334" s="666" t="s">
        <v>1052</v>
      </c>
      <c r="BO334" s="648" t="s">
        <v>121</v>
      </c>
      <c r="BP334" s="583" t="s">
        <v>143</v>
      </c>
      <c r="BQ334" s="583" t="s">
        <v>888</v>
      </c>
      <c r="BR334" s="583" t="s">
        <v>1045</v>
      </c>
      <c r="BS334" s="583" t="s">
        <v>1044</v>
      </c>
      <c r="BT334" s="666" t="s">
        <v>1051</v>
      </c>
      <c r="BU334" s="666" t="s">
        <v>1052</v>
      </c>
      <c r="BV334" s="648" t="s">
        <v>121</v>
      </c>
      <c r="BW334" s="583" t="s">
        <v>143</v>
      </c>
      <c r="BX334" s="583" t="s">
        <v>888</v>
      </c>
      <c r="BY334" s="583" t="s">
        <v>1045</v>
      </c>
      <c r="BZ334" s="583" t="s">
        <v>1044</v>
      </c>
      <c r="CA334" s="666" t="s">
        <v>1051</v>
      </c>
      <c r="CB334" s="666" t="s">
        <v>1052</v>
      </c>
      <c r="CC334" s="560"/>
    </row>
    <row r="335" spans="1:81" ht="15.75">
      <c r="A335" s="564"/>
      <c r="B335" s="585" t="s">
        <v>120</v>
      </c>
      <c r="C335" s="559">
        <v>0</v>
      </c>
      <c r="D335" s="612">
        <f>198.43+214.99+0.1</f>
        <v>413.52000000000004</v>
      </c>
      <c r="E335" s="27">
        <v>0</v>
      </c>
      <c r="F335" s="27">
        <v>0</v>
      </c>
      <c r="G335" s="94">
        <v>0</v>
      </c>
      <c r="H335" s="559">
        <v>0</v>
      </c>
      <c r="I335" s="612">
        <f>207.97+214.9+0.09</f>
        <v>422.96</v>
      </c>
      <c r="J335" s="27">
        <v>0</v>
      </c>
      <c r="K335" s="258">
        <v>0</v>
      </c>
      <c r="L335" s="94">
        <v>0</v>
      </c>
      <c r="M335" s="559">
        <v>0</v>
      </c>
      <c r="N335" s="649">
        <f>208.26+214.79+0.1</f>
        <v>423.15</v>
      </c>
      <c r="O335" s="27">
        <v>0</v>
      </c>
      <c r="P335" s="258">
        <v>0</v>
      </c>
      <c r="Q335" s="94">
        <v>0</v>
      </c>
      <c r="R335" s="559">
        <v>0</v>
      </c>
      <c r="S335" s="649">
        <f>227.25+214.53+0.09</f>
        <v>441.86999999999995</v>
      </c>
      <c r="T335" s="27">
        <v>0</v>
      </c>
      <c r="U335" s="258">
        <v>0</v>
      </c>
      <c r="V335" s="94">
        <v>0</v>
      </c>
      <c r="W335" s="5"/>
      <c r="X335" s="650">
        <v>0</v>
      </c>
      <c r="Y335" s="651">
        <f t="shared" ref="Y335:Y350" si="296">AVERAGE(E335:G335)/10</f>
        <v>0</v>
      </c>
      <c r="Z335" s="620">
        <v>9.6440000000000001</v>
      </c>
      <c r="AA335" s="620">
        <v>4.5170000000000003</v>
      </c>
      <c r="AB335" s="620">
        <f t="shared" ref="AB335:AB350" si="297">Z335-(AA335+Y335)</f>
        <v>5.1269999999999998</v>
      </c>
      <c r="AC335" s="620">
        <f t="shared" ref="AC335:AC350" si="298">3*Z335+AA335+Y335</f>
        <v>33.449000000000005</v>
      </c>
      <c r="AD335" s="653">
        <f t="shared" ref="AD335:AD350" si="299">1.398*(10^-6)*(X335^2)*AB335*AC335</f>
        <v>0</v>
      </c>
      <c r="AE335" s="650">
        <v>0</v>
      </c>
      <c r="AF335" s="620">
        <f t="shared" ref="AF335:AF350" si="300">AVERAGE(J335:L335)/10</f>
        <v>0</v>
      </c>
      <c r="AG335" s="620">
        <v>9.6440000000000001</v>
      </c>
      <c r="AH335" s="620">
        <v>4.5170000000000003</v>
      </c>
      <c r="AI335" s="620">
        <f t="shared" ref="AI335:AI350" si="301">AG335-(AH335+AF335)</f>
        <v>5.1269999999999998</v>
      </c>
      <c r="AJ335" s="620">
        <f t="shared" ref="AJ335:AJ350" si="302">3*AG335+AH335+AF335</f>
        <v>33.449000000000005</v>
      </c>
      <c r="AK335" s="653">
        <f t="shared" ref="AK335:AK350" si="303">1.398*(10^-6)*(AE335^2)*AI335*AJ335</f>
        <v>0</v>
      </c>
      <c r="AL335" s="650">
        <v>0</v>
      </c>
      <c r="AM335" s="620">
        <f t="shared" ref="AM335:AM350" si="304">AVERAGE(O335:Q335)/10</f>
        <v>0</v>
      </c>
      <c r="AN335" s="620">
        <v>9.6440000000000001</v>
      </c>
      <c r="AO335" s="620">
        <v>4.5170000000000003</v>
      </c>
      <c r="AP335" s="620">
        <f t="shared" ref="AP335:AP350" si="305">AN335-(AO335+AM335)</f>
        <v>5.1269999999999998</v>
      </c>
      <c r="AQ335" s="620">
        <f t="shared" ref="AQ335:AQ350" si="306">3*AN335+AO335+AM335</f>
        <v>33.449000000000005</v>
      </c>
      <c r="AR335" s="698">
        <f t="shared" ref="AR335:AR350" si="307">1.398*(10^-6)*(AL335^2)*AP335*AQ335</f>
        <v>0</v>
      </c>
      <c r="AS335" s="650">
        <v>0</v>
      </c>
      <c r="AT335" s="620">
        <f t="shared" ref="AT335:AT350" si="308">AVERAGE(T335:V335)/10</f>
        <v>0</v>
      </c>
      <c r="AU335" s="620">
        <v>9.6440000000000001</v>
      </c>
      <c r="AV335" s="620">
        <v>4.5170000000000003</v>
      </c>
      <c r="AW335" s="620">
        <f t="shared" ref="AW335:AW350" si="309">AU335-(AV335+AT335)</f>
        <v>5.1269999999999998</v>
      </c>
      <c r="AX335" s="620">
        <f t="shared" ref="AX335:AX350" si="310">3*AU335+AV335+AT335</f>
        <v>33.449000000000005</v>
      </c>
      <c r="AY335" s="698">
        <f t="shared" ref="AY335:AY350" si="311">1.398*(10^-6)*(AS335^2)*AW335*AX335</f>
        <v>0</v>
      </c>
      <c r="AZ335" s="75"/>
      <c r="BA335" s="650">
        <v>0</v>
      </c>
      <c r="BB335" s="620">
        <v>103.50685607036536</v>
      </c>
      <c r="BC335" s="720">
        <f>(BB353-BB354)/BB335</f>
        <v>0.65338666990352989</v>
      </c>
      <c r="BD335" s="714">
        <f>D335-BB351</f>
        <v>58.090000000000032</v>
      </c>
      <c r="BE335" s="693">
        <f>BB353-BB354</f>
        <v>67.63</v>
      </c>
      <c r="BF335" s="693">
        <f t="shared" ref="BF335:BF350" si="312">BD335/BE335*100</f>
        <v>85.893834097294146</v>
      </c>
      <c r="BG335" s="668">
        <f t="shared" ref="BG335:BG350" si="313">BF335*BC335</f>
        <v>56.121886226077294</v>
      </c>
      <c r="BH335" s="650">
        <v>0</v>
      </c>
      <c r="BI335" s="620">
        <v>103.50685607036536</v>
      </c>
      <c r="BJ335" s="720">
        <f>(BI353-BI354)/BI335</f>
        <v>0.79994700972959176</v>
      </c>
      <c r="BK335" s="714">
        <f>I335-BI351</f>
        <v>52.44</v>
      </c>
      <c r="BL335" s="693">
        <f>BI353-BI354</f>
        <v>82.800000000000011</v>
      </c>
      <c r="BM335" s="693">
        <f t="shared" ref="BM335:BM350" si="314">BK335/BL335*100</f>
        <v>63.333333333333321</v>
      </c>
      <c r="BN335" s="668">
        <f t="shared" ref="BN335:BN350" si="315">BM335*BJ335</f>
        <v>50.663310616207468</v>
      </c>
      <c r="BO335" s="650">
        <v>0</v>
      </c>
      <c r="BP335" s="681">
        <v>103.50685607036536</v>
      </c>
      <c r="BQ335" s="720">
        <f>(BP353-BP354)/BP335</f>
        <v>0.70845548579071205</v>
      </c>
      <c r="BR335" s="714">
        <f>N335-BP351</f>
        <v>61.610000000000014</v>
      </c>
      <c r="BS335" s="693">
        <f>BP353-BP354</f>
        <v>73.33</v>
      </c>
      <c r="BT335" s="693">
        <f t="shared" ref="BT335:BT350" si="316">BR335/BS335*100</f>
        <v>84.01745533887906</v>
      </c>
      <c r="BU335" s="668">
        <f t="shared" ref="BU335:BU350" si="317">BT335*BQ335</f>
        <v>59.522627137005017</v>
      </c>
      <c r="BV335" s="650">
        <v>0</v>
      </c>
      <c r="BW335" s="620">
        <v>103.50685607036536</v>
      </c>
      <c r="BX335" s="720">
        <f>(BW353-BW354)/BW335</f>
        <v>1.0506550399528152</v>
      </c>
      <c r="BY335" s="714">
        <f t="shared" ref="BY335:BY350" si="318">S335-$BW$351</f>
        <v>45.249999999999943</v>
      </c>
      <c r="BZ335" s="693">
        <f>BW353-BW354</f>
        <v>108.75</v>
      </c>
      <c r="CA335" s="693">
        <f t="shared" ref="CA335:CA350" si="319">BY335/BZ335*100</f>
        <v>41.609195402298802</v>
      </c>
      <c r="CB335" s="668">
        <f t="shared" ref="CB335:CB350" si="320">CA335*BX335</f>
        <v>43.716910857806738</v>
      </c>
      <c r="CC335" s="560"/>
    </row>
    <row r="336" spans="1:81" ht="15.75">
      <c r="A336" s="564"/>
      <c r="B336" s="585" t="s">
        <v>116</v>
      </c>
      <c r="C336" s="559">
        <v>300</v>
      </c>
      <c r="D336" s="612">
        <v>397.09</v>
      </c>
      <c r="E336" s="27">
        <v>2.54</v>
      </c>
      <c r="F336" s="27">
        <v>2.25</v>
      </c>
      <c r="G336" s="94">
        <v>2.5499999999999998</v>
      </c>
      <c r="H336" s="559">
        <v>300</v>
      </c>
      <c r="I336" s="559">
        <v>411.84</v>
      </c>
      <c r="J336" s="27">
        <v>1.81</v>
      </c>
      <c r="K336" s="258">
        <v>0</v>
      </c>
      <c r="L336" s="94">
        <v>1.18</v>
      </c>
      <c r="M336" s="559">
        <v>300</v>
      </c>
      <c r="N336" s="649">
        <v>410.35</v>
      </c>
      <c r="O336" s="27">
        <v>3.84</v>
      </c>
      <c r="P336" s="27">
        <v>4.54</v>
      </c>
      <c r="Q336" s="559">
        <v>3.35</v>
      </c>
      <c r="R336" s="559">
        <v>300</v>
      </c>
      <c r="S336" s="649">
        <v>439.8</v>
      </c>
      <c r="T336" s="27">
        <v>0</v>
      </c>
      <c r="U336" s="258">
        <v>0</v>
      </c>
      <c r="V336" s="94">
        <v>0</v>
      </c>
      <c r="W336" s="5"/>
      <c r="X336" s="650">
        <v>300</v>
      </c>
      <c r="Y336" s="651">
        <f t="shared" si="296"/>
        <v>0.24466666666666667</v>
      </c>
      <c r="Z336" s="620">
        <v>9.6440000000000001</v>
      </c>
      <c r="AA336" s="620">
        <v>4.5170000000000003</v>
      </c>
      <c r="AB336" s="620">
        <f t="shared" si="297"/>
        <v>4.8823333333333334</v>
      </c>
      <c r="AC336" s="620">
        <f t="shared" si="298"/>
        <v>33.693666666666672</v>
      </c>
      <c r="AD336" s="653">
        <f t="shared" si="299"/>
        <v>20.697857029860003</v>
      </c>
      <c r="AE336" s="650">
        <v>300</v>
      </c>
      <c r="AF336" s="620">
        <f t="shared" si="300"/>
        <v>9.9666666666666667E-2</v>
      </c>
      <c r="AG336" s="620">
        <v>9.6440000000000001</v>
      </c>
      <c r="AH336" s="620">
        <v>4.5170000000000003</v>
      </c>
      <c r="AI336" s="620">
        <f t="shared" si="301"/>
        <v>5.027333333333333</v>
      </c>
      <c r="AJ336" s="620">
        <f t="shared" si="302"/>
        <v>33.548666666666669</v>
      </c>
      <c r="AK336" s="653">
        <f t="shared" si="303"/>
        <v>21.220842748559999</v>
      </c>
      <c r="AL336" s="650">
        <v>300</v>
      </c>
      <c r="AM336" s="620">
        <f t="shared" si="304"/>
        <v>0.39099999999999996</v>
      </c>
      <c r="AN336" s="620">
        <v>9.6440000000000001</v>
      </c>
      <c r="AO336" s="620">
        <v>4.5170000000000003</v>
      </c>
      <c r="AP336" s="620">
        <f t="shared" si="305"/>
        <v>4.7359999999999998</v>
      </c>
      <c r="AQ336" s="620">
        <f t="shared" si="306"/>
        <v>33.840000000000003</v>
      </c>
      <c r="AR336" s="698">
        <f t="shared" si="307"/>
        <v>20.164698316799999</v>
      </c>
      <c r="AS336" s="650">
        <v>300</v>
      </c>
      <c r="AT336" s="620">
        <f t="shared" si="308"/>
        <v>0</v>
      </c>
      <c r="AU336" s="620">
        <v>9.6440000000000001</v>
      </c>
      <c r="AV336" s="620">
        <v>4.5170000000000003</v>
      </c>
      <c r="AW336" s="620">
        <f t="shared" si="309"/>
        <v>5.1269999999999998</v>
      </c>
      <c r="AX336" s="620">
        <f t="shared" si="310"/>
        <v>33.449000000000005</v>
      </c>
      <c r="AY336" s="698">
        <f t="shared" si="311"/>
        <v>21.577252153859998</v>
      </c>
      <c r="AZ336" s="75"/>
      <c r="BA336" s="650">
        <v>300</v>
      </c>
      <c r="BB336" s="620">
        <v>103.50685607036536</v>
      </c>
      <c r="BC336" s="720">
        <f>(BB353-BB354)/BB335</f>
        <v>0.65338666990352989</v>
      </c>
      <c r="BD336" s="714">
        <f>D336-BB351</f>
        <v>41.659999999999968</v>
      </c>
      <c r="BE336" s="693">
        <f>BB353-BB354</f>
        <v>67.63</v>
      </c>
      <c r="BF336" s="693">
        <f t="shared" si="312"/>
        <v>61.599881709300561</v>
      </c>
      <c r="BG336" s="668">
        <f t="shared" si="313"/>
        <v>40.248541576491256</v>
      </c>
      <c r="BH336" s="650">
        <v>300</v>
      </c>
      <c r="BI336" s="620">
        <v>103.50685607036536</v>
      </c>
      <c r="BJ336" s="720">
        <f>(BI353-BI354)/BI335</f>
        <v>0.79994700972959176</v>
      </c>
      <c r="BK336" s="714">
        <f>I336-BI351</f>
        <v>41.319999999999993</v>
      </c>
      <c r="BL336" s="693">
        <f>BI353-BI354</f>
        <v>82.800000000000011</v>
      </c>
      <c r="BM336" s="693">
        <f t="shared" si="314"/>
        <v>49.903381642512059</v>
      </c>
      <c r="BN336" s="668">
        <f t="shared" si="315"/>
        <v>39.920060920322122</v>
      </c>
      <c r="BO336" s="650">
        <v>300</v>
      </c>
      <c r="BP336" s="681">
        <v>103.50685607036536</v>
      </c>
      <c r="BQ336" s="720">
        <f>(BP353-BP354)/BP335</f>
        <v>0.70845548579071205</v>
      </c>
      <c r="BR336" s="714">
        <f>N336-BP351</f>
        <v>48.810000000000059</v>
      </c>
      <c r="BS336" s="693">
        <f>BP353-BP354</f>
        <v>73.33</v>
      </c>
      <c r="BT336" s="693">
        <f t="shared" si="316"/>
        <v>66.562116459839174</v>
      </c>
      <c r="BU336" s="668">
        <f t="shared" si="317"/>
        <v>47.156296551813313</v>
      </c>
      <c r="BV336" s="650">
        <v>300</v>
      </c>
      <c r="BW336" s="620">
        <v>103.50685607036536</v>
      </c>
      <c r="BX336" s="720">
        <f>(BW353-BW354)/BW335</f>
        <v>1.0506550399528152</v>
      </c>
      <c r="BY336" s="714">
        <f t="shared" si="318"/>
        <v>43.180000000000007</v>
      </c>
      <c r="BZ336" s="693">
        <f>BW353-BW354</f>
        <v>108.75</v>
      </c>
      <c r="CA336" s="693">
        <f t="shared" si="319"/>
        <v>39.705747126436783</v>
      </c>
      <c r="CB336" s="668">
        <f t="shared" si="320"/>
        <v>41.717043333482813</v>
      </c>
      <c r="CC336" s="560"/>
    </row>
    <row r="337" spans="1:81" ht="15.75">
      <c r="A337" s="564"/>
      <c r="B337" s="585" t="s">
        <v>116</v>
      </c>
      <c r="C337" s="559">
        <v>350</v>
      </c>
      <c r="D337" s="559">
        <v>393.22</v>
      </c>
      <c r="E337" s="652">
        <v>3.14</v>
      </c>
      <c r="F337" s="652">
        <v>2.99</v>
      </c>
      <c r="G337" s="653">
        <v>2.87</v>
      </c>
      <c r="H337" s="559">
        <v>350</v>
      </c>
      <c r="I337" s="559">
        <v>410.77</v>
      </c>
      <c r="J337" s="27">
        <v>1.75</v>
      </c>
      <c r="K337" s="260">
        <v>0.82</v>
      </c>
      <c r="L337" s="548">
        <v>2</v>
      </c>
      <c r="M337" s="559">
        <v>350</v>
      </c>
      <c r="N337" s="649">
        <v>408.69</v>
      </c>
      <c r="O337" s="27">
        <v>4.5199999999999996</v>
      </c>
      <c r="P337" s="27">
        <v>5.05</v>
      </c>
      <c r="Q337" s="559">
        <v>4.24</v>
      </c>
      <c r="R337" s="559">
        <v>350</v>
      </c>
      <c r="S337" s="649">
        <v>438.16</v>
      </c>
      <c r="T337" s="260">
        <v>0</v>
      </c>
      <c r="U337" s="260">
        <v>0</v>
      </c>
      <c r="V337" s="649">
        <v>0</v>
      </c>
      <c r="W337" s="5"/>
      <c r="X337" s="650">
        <v>350</v>
      </c>
      <c r="Y337" s="651">
        <f t="shared" si="296"/>
        <v>0.3</v>
      </c>
      <c r="Z337" s="620">
        <v>9.6440000000000001</v>
      </c>
      <c r="AA337" s="620">
        <v>4.5170000000000003</v>
      </c>
      <c r="AB337" s="620">
        <f t="shared" si="297"/>
        <v>4.827</v>
      </c>
      <c r="AC337" s="620">
        <f t="shared" si="298"/>
        <v>33.749000000000002</v>
      </c>
      <c r="AD337" s="653">
        <f t="shared" si="299"/>
        <v>27.898539470864996</v>
      </c>
      <c r="AE337" s="650">
        <v>350</v>
      </c>
      <c r="AF337" s="620">
        <f t="shared" si="300"/>
        <v>0.15233333333333335</v>
      </c>
      <c r="AG337" s="620">
        <v>9.6440000000000001</v>
      </c>
      <c r="AH337" s="620">
        <v>4.5170000000000003</v>
      </c>
      <c r="AI337" s="620">
        <f t="shared" si="301"/>
        <v>4.9746666666666668</v>
      </c>
      <c r="AJ337" s="620">
        <f t="shared" si="302"/>
        <v>33.601333333333336</v>
      </c>
      <c r="AK337" s="653">
        <f t="shared" si="303"/>
        <v>28.626203659386665</v>
      </c>
      <c r="AL337" s="650">
        <v>350</v>
      </c>
      <c r="AM337" s="620">
        <f t="shared" si="304"/>
        <v>0.46033333333333337</v>
      </c>
      <c r="AN337" s="620">
        <v>9.6440000000000001</v>
      </c>
      <c r="AO337" s="620">
        <v>4.5170000000000003</v>
      </c>
      <c r="AP337" s="620">
        <f t="shared" si="305"/>
        <v>4.6666666666666661</v>
      </c>
      <c r="AQ337" s="620">
        <f t="shared" si="306"/>
        <v>33.909333333333336</v>
      </c>
      <c r="AR337" s="698">
        <f t="shared" si="307"/>
        <v>27.100000106666659</v>
      </c>
      <c r="AS337" s="650">
        <v>350</v>
      </c>
      <c r="AT337" s="620">
        <f t="shared" si="308"/>
        <v>0</v>
      </c>
      <c r="AU337" s="620">
        <v>9.6440000000000001</v>
      </c>
      <c r="AV337" s="620">
        <v>4.5170000000000003</v>
      </c>
      <c r="AW337" s="620">
        <f t="shared" si="309"/>
        <v>5.1269999999999998</v>
      </c>
      <c r="AX337" s="620">
        <f t="shared" si="310"/>
        <v>33.449000000000005</v>
      </c>
      <c r="AY337" s="698">
        <f t="shared" si="311"/>
        <v>29.369037653864996</v>
      </c>
      <c r="AZ337" s="75"/>
      <c r="BA337" s="650">
        <v>350</v>
      </c>
      <c r="BB337" s="620">
        <v>103.50685607036536</v>
      </c>
      <c r="BC337" s="720">
        <f>(BB353-BB354)/BB335</f>
        <v>0.65338666990352989</v>
      </c>
      <c r="BD337" s="714">
        <f>D337-BB351</f>
        <v>37.79000000000002</v>
      </c>
      <c r="BE337" s="693">
        <f>BB353-BB354</f>
        <v>67.63</v>
      </c>
      <c r="BF337" s="693">
        <f t="shared" si="312"/>
        <v>55.87756912612749</v>
      </c>
      <c r="BG337" s="668">
        <f t="shared" si="313"/>
        <v>36.509658813624739</v>
      </c>
      <c r="BH337" s="650">
        <v>350</v>
      </c>
      <c r="BI337" s="620">
        <v>103.50685607036536</v>
      </c>
      <c r="BJ337" s="720">
        <f>(BI353-BI354)/BI335</f>
        <v>0.79994700972959176</v>
      </c>
      <c r="BK337" s="714">
        <f>I337-BI351</f>
        <v>40.25</v>
      </c>
      <c r="BL337" s="693">
        <f>BI353-BI354</f>
        <v>82.800000000000011</v>
      </c>
      <c r="BM337" s="693">
        <f t="shared" si="314"/>
        <v>48.611111111111107</v>
      </c>
      <c r="BN337" s="668">
        <f t="shared" si="315"/>
        <v>38.886312972966266</v>
      </c>
      <c r="BO337" s="650">
        <v>350</v>
      </c>
      <c r="BP337" s="681">
        <v>103.50685607036536</v>
      </c>
      <c r="BQ337" s="720">
        <f>(BP353-BP354)/BP335</f>
        <v>0.70845548579071205</v>
      </c>
      <c r="BR337" s="714">
        <f>N337-BP351</f>
        <v>47.150000000000034</v>
      </c>
      <c r="BS337" s="693">
        <f>BP353-BP354</f>
        <v>73.33</v>
      </c>
      <c r="BT337" s="693">
        <f t="shared" si="316"/>
        <v>64.298377198963635</v>
      </c>
      <c r="BU337" s="668">
        <f t="shared" si="317"/>
        <v>45.552538054046224</v>
      </c>
      <c r="BV337" s="650">
        <v>350</v>
      </c>
      <c r="BW337" s="620">
        <v>103.50685607036536</v>
      </c>
      <c r="BX337" s="720">
        <f>(BW353-BW354)/BW335</f>
        <v>1.0506550399528152</v>
      </c>
      <c r="BY337" s="714">
        <f t="shared" si="318"/>
        <v>41.54000000000002</v>
      </c>
      <c r="BZ337" s="693">
        <f>BW353-BW354</f>
        <v>108.75</v>
      </c>
      <c r="CA337" s="693">
        <f t="shared" si="319"/>
        <v>38.197701149425306</v>
      </c>
      <c r="CB337" s="668">
        <f t="shared" si="320"/>
        <v>40.132607227255136</v>
      </c>
      <c r="CC337" s="560"/>
    </row>
    <row r="338" spans="1:81" ht="15.75">
      <c r="A338" s="564"/>
      <c r="B338" s="585" t="s">
        <v>116</v>
      </c>
      <c r="C338" s="559">
        <v>450</v>
      </c>
      <c r="D338" s="559">
        <v>391.15</v>
      </c>
      <c r="E338" s="652">
        <v>3.45</v>
      </c>
      <c r="F338" s="652">
        <v>3.12</v>
      </c>
      <c r="G338" s="653">
        <v>3.96</v>
      </c>
      <c r="H338" s="559">
        <v>450</v>
      </c>
      <c r="I338" s="612">
        <v>408.33</v>
      </c>
      <c r="J338" s="260">
        <v>2.4</v>
      </c>
      <c r="K338" s="260">
        <v>2.62</v>
      </c>
      <c r="L338" s="94">
        <v>2.88</v>
      </c>
      <c r="M338" s="559">
        <v>450</v>
      </c>
      <c r="N338" s="649">
        <v>405.74</v>
      </c>
      <c r="O338" s="559">
        <v>6.34</v>
      </c>
      <c r="P338" s="559">
        <v>5.39</v>
      </c>
      <c r="Q338" s="559">
        <v>5.22</v>
      </c>
      <c r="R338" s="559">
        <v>450</v>
      </c>
      <c r="S338" s="649">
        <v>435.9</v>
      </c>
      <c r="T338" s="649">
        <v>0.77</v>
      </c>
      <c r="U338" s="649">
        <v>0.73</v>
      </c>
      <c r="V338" s="649">
        <v>0</v>
      </c>
      <c r="W338" s="5"/>
      <c r="X338" s="650">
        <v>450</v>
      </c>
      <c r="Y338" s="651">
        <f t="shared" si="296"/>
        <v>0.35100000000000003</v>
      </c>
      <c r="Z338" s="620">
        <v>9.6440000000000001</v>
      </c>
      <c r="AA338" s="620">
        <v>4.5170000000000003</v>
      </c>
      <c r="AB338" s="620">
        <f t="shared" si="297"/>
        <v>4.7759999999999998</v>
      </c>
      <c r="AC338" s="620">
        <f t="shared" si="298"/>
        <v>33.800000000000004</v>
      </c>
      <c r="AD338" s="653">
        <f t="shared" si="299"/>
        <v>45.69968613599999</v>
      </c>
      <c r="AE338" s="650">
        <v>450</v>
      </c>
      <c r="AF338" s="620">
        <f t="shared" si="300"/>
        <v>0.26333333333333331</v>
      </c>
      <c r="AG338" s="620">
        <v>9.6440000000000001</v>
      </c>
      <c r="AH338" s="620">
        <v>4.5170000000000003</v>
      </c>
      <c r="AI338" s="620">
        <f t="shared" si="301"/>
        <v>4.8636666666666661</v>
      </c>
      <c r="AJ338" s="620">
        <f t="shared" si="302"/>
        <v>33.712333333333341</v>
      </c>
      <c r="AK338" s="653">
        <f t="shared" si="303"/>
        <v>46.417827911985</v>
      </c>
      <c r="AL338" s="650">
        <v>450</v>
      </c>
      <c r="AM338" s="620">
        <f t="shared" si="304"/>
        <v>0.56499999999999995</v>
      </c>
      <c r="AN338" s="620">
        <v>9.6440000000000001</v>
      </c>
      <c r="AO338" s="620">
        <v>4.5170000000000003</v>
      </c>
      <c r="AP338" s="620">
        <f t="shared" si="305"/>
        <v>4.5619999999999994</v>
      </c>
      <c r="AQ338" s="620">
        <f t="shared" si="306"/>
        <v>34.014000000000003</v>
      </c>
      <c r="AR338" s="698">
        <f t="shared" si="307"/>
        <v>43.928379971459982</v>
      </c>
      <c r="AS338" s="650">
        <v>450</v>
      </c>
      <c r="AT338" s="620">
        <f t="shared" si="308"/>
        <v>0.05</v>
      </c>
      <c r="AU338" s="620">
        <v>9.6440000000000001</v>
      </c>
      <c r="AV338" s="620">
        <v>4.5170000000000003</v>
      </c>
      <c r="AW338" s="620">
        <f t="shared" si="309"/>
        <v>5.077</v>
      </c>
      <c r="AX338" s="620">
        <f t="shared" si="310"/>
        <v>33.499000000000002</v>
      </c>
      <c r="AY338" s="698">
        <f t="shared" si="311"/>
        <v>48.147218779184989</v>
      </c>
      <c r="AZ338" s="75"/>
      <c r="BA338" s="650">
        <v>450</v>
      </c>
      <c r="BB338" s="620">
        <v>103.50685607036536</v>
      </c>
      <c r="BC338" s="720">
        <f>(BB353-BB354)/BB335</f>
        <v>0.65338666990352989</v>
      </c>
      <c r="BD338" s="714">
        <f>D338-BB351</f>
        <v>35.71999999999997</v>
      </c>
      <c r="BE338" s="693">
        <f>BB353-BB354</f>
        <v>67.63</v>
      </c>
      <c r="BF338" s="693">
        <f t="shared" si="312"/>
        <v>52.816797279313874</v>
      </c>
      <c r="BG338" s="668">
        <f t="shared" si="313"/>
        <v>34.509791289300708</v>
      </c>
      <c r="BH338" s="650">
        <v>450</v>
      </c>
      <c r="BI338" s="620">
        <v>103.50685607036536</v>
      </c>
      <c r="BJ338" s="720">
        <f>(BI353-BI354)/BI335</f>
        <v>0.79994700972959176</v>
      </c>
      <c r="BK338" s="714">
        <f>I338-BI351</f>
        <v>37.81</v>
      </c>
      <c r="BL338" s="693">
        <f>BI353-BI354</f>
        <v>82.800000000000011</v>
      </c>
      <c r="BM338" s="693">
        <f t="shared" si="314"/>
        <v>45.664251207729464</v>
      </c>
      <c r="BN338" s="668">
        <f t="shared" si="315"/>
        <v>36.528981205164087</v>
      </c>
      <c r="BO338" s="650">
        <v>450</v>
      </c>
      <c r="BP338" s="681">
        <v>103.50685607036536</v>
      </c>
      <c r="BQ338" s="720">
        <f>(BP353-BP354)/BP335</f>
        <v>0.70845548579071205</v>
      </c>
      <c r="BR338" s="714">
        <f>N338-BP351</f>
        <v>44.200000000000045</v>
      </c>
      <c r="BS338" s="693">
        <f>BP353-BP354</f>
        <v>73.33</v>
      </c>
      <c r="BT338" s="693">
        <f t="shared" si="316"/>
        <v>60.275467066684918</v>
      </c>
      <c r="BU338" s="668">
        <f t="shared" si="317"/>
        <v>42.702485301990329</v>
      </c>
      <c r="BV338" s="650">
        <v>450</v>
      </c>
      <c r="BW338" s="620">
        <v>103.50685607036536</v>
      </c>
      <c r="BX338" s="720">
        <f>(BW353-BW354)/BW335</f>
        <v>1.0506550399528152</v>
      </c>
      <c r="BY338" s="714">
        <f t="shared" si="318"/>
        <v>39.279999999999973</v>
      </c>
      <c r="BZ338" s="693">
        <f>BW353-BW354</f>
        <v>108.75</v>
      </c>
      <c r="CA338" s="693">
        <f t="shared" si="319"/>
        <v>36.119540229885033</v>
      </c>
      <c r="CB338" s="668">
        <f t="shared" si="320"/>
        <v>37.949176983307176</v>
      </c>
      <c r="CC338" s="560"/>
    </row>
    <row r="339" spans="1:81" ht="15.75">
      <c r="A339" s="564"/>
      <c r="B339" s="585" t="s">
        <v>116</v>
      </c>
      <c r="C339" s="559">
        <v>550</v>
      </c>
      <c r="D339" s="559">
        <v>388.7</v>
      </c>
      <c r="E339" s="652">
        <v>3.57</v>
      </c>
      <c r="F339" s="652">
        <v>3.99</v>
      </c>
      <c r="G339" s="653">
        <v>3.12</v>
      </c>
      <c r="H339" s="559">
        <v>550</v>
      </c>
      <c r="I339" s="559">
        <v>406.79</v>
      </c>
      <c r="J339" s="620">
        <v>2.97</v>
      </c>
      <c r="K339" s="649">
        <v>1.87</v>
      </c>
      <c r="L339" s="588">
        <v>2.83</v>
      </c>
      <c r="M339" s="559">
        <v>550</v>
      </c>
      <c r="N339" s="649">
        <v>403.44</v>
      </c>
      <c r="O339" s="559">
        <v>4.95</v>
      </c>
      <c r="P339" s="559">
        <v>5.63</v>
      </c>
      <c r="Q339" s="559">
        <v>5.92</v>
      </c>
      <c r="R339" s="559">
        <v>550</v>
      </c>
      <c r="S339" s="649">
        <v>434.3</v>
      </c>
      <c r="T339" s="649">
        <v>1.26</v>
      </c>
      <c r="U339" s="649">
        <v>1.56</v>
      </c>
      <c r="V339" s="649">
        <v>0.92</v>
      </c>
      <c r="W339" s="5"/>
      <c r="X339" s="650">
        <v>550</v>
      </c>
      <c r="Y339" s="651">
        <f t="shared" si="296"/>
        <v>0.35599999999999998</v>
      </c>
      <c r="Z339" s="620">
        <v>9.6440000000000001</v>
      </c>
      <c r="AA339" s="620">
        <v>4.5170000000000003</v>
      </c>
      <c r="AB339" s="620">
        <f t="shared" si="297"/>
        <v>4.7709999999999999</v>
      </c>
      <c r="AC339" s="620">
        <f t="shared" si="298"/>
        <v>33.805000000000007</v>
      </c>
      <c r="AD339" s="653">
        <f t="shared" si="299"/>
        <v>68.206051281225001</v>
      </c>
      <c r="AE339" s="650">
        <v>550</v>
      </c>
      <c r="AF339" s="620">
        <f t="shared" si="300"/>
        <v>0.25566666666666665</v>
      </c>
      <c r="AG339" s="620">
        <v>9.6440000000000001</v>
      </c>
      <c r="AH339" s="620">
        <v>4.5170000000000003</v>
      </c>
      <c r="AI339" s="620">
        <f t="shared" si="301"/>
        <v>4.8713333333333333</v>
      </c>
      <c r="AJ339" s="620">
        <f t="shared" si="302"/>
        <v>33.704666666666675</v>
      </c>
      <c r="AK339" s="653">
        <f t="shared" si="303"/>
        <v>69.433720212046666</v>
      </c>
      <c r="AL339" s="650">
        <v>550</v>
      </c>
      <c r="AM339" s="620">
        <f t="shared" si="304"/>
        <v>0.55000000000000004</v>
      </c>
      <c r="AN339" s="620">
        <v>9.6440000000000001</v>
      </c>
      <c r="AO339" s="620">
        <v>4.5170000000000003</v>
      </c>
      <c r="AP339" s="620">
        <f t="shared" si="305"/>
        <v>4.577</v>
      </c>
      <c r="AQ339" s="620">
        <f t="shared" si="306"/>
        <v>33.999000000000002</v>
      </c>
      <c r="AR339" s="698">
        <f t="shared" si="307"/>
        <v>65.808138519584986</v>
      </c>
      <c r="AS339" s="650">
        <v>550</v>
      </c>
      <c r="AT339" s="620">
        <f t="shared" si="308"/>
        <v>0.12466666666666668</v>
      </c>
      <c r="AU339" s="620">
        <v>9.6440000000000001</v>
      </c>
      <c r="AV339" s="620">
        <v>4.5170000000000003</v>
      </c>
      <c r="AW339" s="620">
        <f t="shared" si="309"/>
        <v>5.0023333333333335</v>
      </c>
      <c r="AX339" s="620">
        <f t="shared" si="310"/>
        <v>33.573666666666675</v>
      </c>
      <c r="AY339" s="698">
        <f t="shared" si="311"/>
        <v>71.023807808451679</v>
      </c>
      <c r="AZ339" s="75"/>
      <c r="BA339" s="650">
        <v>550</v>
      </c>
      <c r="BB339" s="620">
        <v>103.50685607036536</v>
      </c>
      <c r="BC339" s="720">
        <f>(BB353-BB354)/BB335</f>
        <v>0.65338666990352989</v>
      </c>
      <c r="BD339" s="714">
        <f>D339-BB351</f>
        <v>33.269999999999982</v>
      </c>
      <c r="BE339" s="693">
        <f>BB353-BB354</f>
        <v>67.63</v>
      </c>
      <c r="BF339" s="693">
        <f t="shared" si="312"/>
        <v>49.194144610379986</v>
      </c>
      <c r="BG339" s="668">
        <f t="shared" si="313"/>
        <v>32.142798325728862</v>
      </c>
      <c r="BH339" s="650">
        <v>550</v>
      </c>
      <c r="BI339" s="620">
        <v>103.50685607036536</v>
      </c>
      <c r="BJ339" s="720">
        <f>(BI353-BI354)/BI335</f>
        <v>0.79994700972959176</v>
      </c>
      <c r="BK339" s="714">
        <f>I339-BI351</f>
        <v>36.270000000000039</v>
      </c>
      <c r="BL339" s="693">
        <f>BI353-BI354</f>
        <v>82.800000000000011</v>
      </c>
      <c r="BM339" s="693">
        <f t="shared" si="314"/>
        <v>43.804347826086996</v>
      </c>
      <c r="BN339" s="668">
        <f t="shared" si="315"/>
        <v>35.041157056633239</v>
      </c>
      <c r="BO339" s="650">
        <v>550</v>
      </c>
      <c r="BP339" s="681">
        <v>103.50685607036536</v>
      </c>
      <c r="BQ339" s="720">
        <f>(BP353-BP354)/BP335</f>
        <v>0.70845548579071205</v>
      </c>
      <c r="BR339" s="714">
        <f>N339-BP351</f>
        <v>41.900000000000034</v>
      </c>
      <c r="BS339" s="693">
        <f>BP353-BP354</f>
        <v>73.33</v>
      </c>
      <c r="BT339" s="693">
        <f t="shared" si="316"/>
        <v>57.138960861857399</v>
      </c>
      <c r="BU339" s="668">
        <f t="shared" si="317"/>
        <v>40.480410274963667</v>
      </c>
      <c r="BV339" s="650">
        <v>550</v>
      </c>
      <c r="BW339" s="620">
        <v>103.50685607036536</v>
      </c>
      <c r="BX339" s="720">
        <f>(BW353-BW354)/BW335</f>
        <v>1.0506550399528152</v>
      </c>
      <c r="BY339" s="714">
        <f t="shared" si="318"/>
        <v>37.680000000000007</v>
      </c>
      <c r="BZ339" s="693">
        <f>BW353-BW354</f>
        <v>108.75</v>
      </c>
      <c r="CA339" s="693">
        <f t="shared" si="319"/>
        <v>34.648275862068971</v>
      </c>
      <c r="CB339" s="668">
        <f t="shared" si="320"/>
        <v>36.403385660158236</v>
      </c>
      <c r="CC339" s="560"/>
    </row>
    <row r="340" spans="1:81" ht="15.75">
      <c r="A340" s="564"/>
      <c r="B340" s="585" t="s">
        <v>116</v>
      </c>
      <c r="C340" s="559">
        <v>650</v>
      </c>
      <c r="D340" s="559">
        <v>386.55</v>
      </c>
      <c r="E340" s="652">
        <v>4.1100000000000003</v>
      </c>
      <c r="F340" s="652">
        <v>3.38</v>
      </c>
      <c r="G340" s="653">
        <v>3.8</v>
      </c>
      <c r="H340" s="559">
        <v>650</v>
      </c>
      <c r="I340" s="559">
        <v>405.13</v>
      </c>
      <c r="J340" s="620">
        <v>3.86</v>
      </c>
      <c r="K340" s="649">
        <v>2.41</v>
      </c>
      <c r="L340" s="588">
        <v>3.21</v>
      </c>
      <c r="M340" s="559">
        <v>650</v>
      </c>
      <c r="N340" s="649">
        <v>401.29</v>
      </c>
      <c r="O340" s="559">
        <v>5.29</v>
      </c>
      <c r="P340" s="559">
        <v>6.18</v>
      </c>
      <c r="Q340" s="559">
        <v>6.75</v>
      </c>
      <c r="R340" s="559">
        <v>650</v>
      </c>
      <c r="S340" s="649">
        <v>432.88</v>
      </c>
      <c r="T340" s="649">
        <v>2.31</v>
      </c>
      <c r="U340" s="649">
        <v>2.19</v>
      </c>
      <c r="V340" s="649">
        <v>1.52</v>
      </c>
      <c r="W340" s="5"/>
      <c r="X340" s="650">
        <v>650</v>
      </c>
      <c r="Y340" s="651">
        <f t="shared" si="296"/>
        <v>0.3763333333333333</v>
      </c>
      <c r="Z340" s="620">
        <v>9.6440000000000001</v>
      </c>
      <c r="AA340" s="620">
        <v>4.5170000000000003</v>
      </c>
      <c r="AB340" s="620">
        <f t="shared" si="297"/>
        <v>4.7506666666666666</v>
      </c>
      <c r="AC340" s="620">
        <f t="shared" si="298"/>
        <v>33.82533333333334</v>
      </c>
      <c r="AD340" s="653">
        <f t="shared" si="299"/>
        <v>94.914055136506676</v>
      </c>
      <c r="AE340" s="650">
        <v>650</v>
      </c>
      <c r="AF340" s="620">
        <f t="shared" si="300"/>
        <v>0.316</v>
      </c>
      <c r="AG340" s="620">
        <v>9.6440000000000001</v>
      </c>
      <c r="AH340" s="620">
        <v>4.5170000000000003</v>
      </c>
      <c r="AI340" s="620">
        <f t="shared" si="301"/>
        <v>4.8109999999999999</v>
      </c>
      <c r="AJ340" s="620">
        <f t="shared" si="302"/>
        <v>33.765000000000008</v>
      </c>
      <c r="AK340" s="653">
        <f t="shared" si="303"/>
        <v>95.948015286825012</v>
      </c>
      <c r="AL340" s="650">
        <v>650</v>
      </c>
      <c r="AM340" s="620">
        <f t="shared" si="304"/>
        <v>0.60733333333333328</v>
      </c>
      <c r="AN340" s="620">
        <v>9.6440000000000001</v>
      </c>
      <c r="AO340" s="620">
        <v>4.5170000000000003</v>
      </c>
      <c r="AP340" s="620">
        <f t="shared" si="305"/>
        <v>4.5196666666666667</v>
      </c>
      <c r="AQ340" s="620">
        <f t="shared" si="306"/>
        <v>34.056333333333342</v>
      </c>
      <c r="AR340" s="698">
        <f t="shared" si="307"/>
        <v>90.915551732611675</v>
      </c>
      <c r="AS340" s="650">
        <v>650</v>
      </c>
      <c r="AT340" s="620">
        <f t="shared" si="308"/>
        <v>0.20066666666666663</v>
      </c>
      <c r="AU340" s="620">
        <v>9.6440000000000001</v>
      </c>
      <c r="AV340" s="620">
        <v>4.5170000000000003</v>
      </c>
      <c r="AW340" s="620">
        <f t="shared" si="309"/>
        <v>4.926333333333333</v>
      </c>
      <c r="AX340" s="620">
        <f t="shared" si="310"/>
        <v>33.649666666666668</v>
      </c>
      <c r="AY340" s="698">
        <f t="shared" si="311"/>
        <v>97.912568993611657</v>
      </c>
      <c r="AZ340" s="75"/>
      <c r="BA340" s="650">
        <v>650</v>
      </c>
      <c r="BB340" s="620">
        <v>103.50685607036536</v>
      </c>
      <c r="BC340" s="720">
        <f>(BB353-BB354)/BB335</f>
        <v>0.65338666990352989</v>
      </c>
      <c r="BD340" s="714">
        <f>D340-BB351</f>
        <v>31.120000000000005</v>
      </c>
      <c r="BE340" s="693">
        <f>BB353-BB354</f>
        <v>67.63</v>
      </c>
      <c r="BF340" s="693">
        <f t="shared" si="312"/>
        <v>46.015082064172717</v>
      </c>
      <c r="BG340" s="668">
        <f t="shared" si="313"/>
        <v>30.065641235247458</v>
      </c>
      <c r="BH340" s="650">
        <v>650</v>
      </c>
      <c r="BI340" s="620">
        <v>103.50685607036536</v>
      </c>
      <c r="BJ340" s="720">
        <f>(BI353-BI354)/BI335</f>
        <v>0.79994700972959176</v>
      </c>
      <c r="BK340" s="714">
        <f>I340-BI351</f>
        <v>34.610000000000014</v>
      </c>
      <c r="BL340" s="693">
        <f>BI353-BI354</f>
        <v>82.800000000000011</v>
      </c>
      <c r="BM340" s="693">
        <f t="shared" si="314"/>
        <v>41.799516908212567</v>
      </c>
      <c r="BN340" s="668">
        <f t="shared" si="315"/>
        <v>33.437398558866157</v>
      </c>
      <c r="BO340" s="650">
        <v>650</v>
      </c>
      <c r="BP340" s="681">
        <v>103.50685607036536</v>
      </c>
      <c r="BQ340" s="720">
        <f>(BP353-BP354)/BP335</f>
        <v>0.70845548579071205</v>
      </c>
      <c r="BR340" s="714">
        <f>N340-BP351</f>
        <v>39.750000000000057</v>
      </c>
      <c r="BS340" s="693">
        <f>BP353-BP354</f>
        <v>73.33</v>
      </c>
      <c r="BT340" s="693">
        <f t="shared" si="316"/>
        <v>54.20700940951869</v>
      </c>
      <c r="BU340" s="668">
        <f t="shared" si="317"/>
        <v>38.40325318448226</v>
      </c>
      <c r="BV340" s="650">
        <v>650</v>
      </c>
      <c r="BW340" s="620">
        <v>103.50685607036536</v>
      </c>
      <c r="BX340" s="720">
        <f>(BW353-BW354)/BW335</f>
        <v>1.0506550399528152</v>
      </c>
      <c r="BY340" s="714">
        <f t="shared" si="318"/>
        <v>36.259999999999991</v>
      </c>
      <c r="BZ340" s="693">
        <f>BW353-BW354</f>
        <v>108.75</v>
      </c>
      <c r="CA340" s="693">
        <f t="shared" si="319"/>
        <v>33.342528735632179</v>
      </c>
      <c r="CB340" s="668">
        <f t="shared" si="320"/>
        <v>35.031495860863515</v>
      </c>
      <c r="CC340" s="560"/>
    </row>
    <row r="341" spans="1:81" ht="15.75">
      <c r="A341" s="564"/>
      <c r="B341" s="585" t="s">
        <v>116</v>
      </c>
      <c r="C341" s="559">
        <v>750</v>
      </c>
      <c r="D341" s="559">
        <v>385.36</v>
      </c>
      <c r="E341" s="652">
        <v>4.05</v>
      </c>
      <c r="F341" s="652">
        <v>4.6100000000000003</v>
      </c>
      <c r="G341" s="653">
        <v>4.0199999999999996</v>
      </c>
      <c r="H341" s="559">
        <v>750</v>
      </c>
      <c r="I341" s="559">
        <v>404.11</v>
      </c>
      <c r="J341" s="620">
        <v>3.97</v>
      </c>
      <c r="K341" s="649">
        <v>2.95</v>
      </c>
      <c r="L341" s="588">
        <v>3.32</v>
      </c>
      <c r="M341" s="559">
        <v>750</v>
      </c>
      <c r="N341" s="649">
        <v>399.91</v>
      </c>
      <c r="O341" s="559">
        <v>5.25</v>
      </c>
      <c r="P341" s="559">
        <v>6.27</v>
      </c>
      <c r="Q341" s="559">
        <v>5.87</v>
      </c>
      <c r="R341" s="559">
        <v>750</v>
      </c>
      <c r="S341" s="649">
        <v>432.09</v>
      </c>
      <c r="T341" s="649">
        <v>2.14</v>
      </c>
      <c r="U341" s="649">
        <v>2.52</v>
      </c>
      <c r="V341" s="649">
        <v>1.78</v>
      </c>
      <c r="W341" s="5"/>
      <c r="X341" s="650">
        <v>750</v>
      </c>
      <c r="Y341" s="651">
        <f t="shared" si="296"/>
        <v>0.42266666666666663</v>
      </c>
      <c r="Z341" s="620">
        <v>9.6440000000000001</v>
      </c>
      <c r="AA341" s="620">
        <v>4.5170000000000003</v>
      </c>
      <c r="AB341" s="620">
        <f t="shared" si="297"/>
        <v>4.7043333333333335</v>
      </c>
      <c r="AC341" s="620">
        <f t="shared" si="298"/>
        <v>33.87166666666667</v>
      </c>
      <c r="AD341" s="653">
        <f t="shared" si="299"/>
        <v>125.30383175062501</v>
      </c>
      <c r="AE341" s="650">
        <v>750</v>
      </c>
      <c r="AF341" s="620">
        <f t="shared" si="300"/>
        <v>0.34133333333333338</v>
      </c>
      <c r="AG341" s="620">
        <v>9.6440000000000001</v>
      </c>
      <c r="AH341" s="620">
        <v>4.5170000000000003</v>
      </c>
      <c r="AI341" s="620">
        <f t="shared" si="301"/>
        <v>4.7856666666666667</v>
      </c>
      <c r="AJ341" s="620">
        <f t="shared" si="302"/>
        <v>33.790333333333336</v>
      </c>
      <c r="AK341" s="653">
        <f t="shared" si="303"/>
        <v>127.164128681625</v>
      </c>
      <c r="AL341" s="650">
        <v>750</v>
      </c>
      <c r="AM341" s="620">
        <f t="shared" si="304"/>
        <v>0.57966666666666666</v>
      </c>
      <c r="AN341" s="620">
        <v>9.6440000000000001</v>
      </c>
      <c r="AO341" s="620">
        <v>4.5170000000000003</v>
      </c>
      <c r="AP341" s="620">
        <f t="shared" si="305"/>
        <v>4.5473333333333334</v>
      </c>
      <c r="AQ341" s="620">
        <f t="shared" si="306"/>
        <v>34.028666666666673</v>
      </c>
      <c r="AR341" s="698">
        <f t="shared" si="307"/>
        <v>121.68342389850001</v>
      </c>
      <c r="AS341" s="650">
        <v>750</v>
      </c>
      <c r="AT341" s="620">
        <f t="shared" si="308"/>
        <v>0.2146666666666667</v>
      </c>
      <c r="AU341" s="620">
        <v>9.6440000000000001</v>
      </c>
      <c r="AV341" s="620">
        <v>4.5170000000000003</v>
      </c>
      <c r="AW341" s="620">
        <f t="shared" si="309"/>
        <v>4.9123333333333328</v>
      </c>
      <c r="AX341" s="620">
        <f t="shared" si="310"/>
        <v>33.663666666666671</v>
      </c>
      <c r="AY341" s="698">
        <f t="shared" si="311"/>
        <v>130.04059406662498</v>
      </c>
      <c r="AZ341" s="75"/>
      <c r="BA341" s="650">
        <v>750</v>
      </c>
      <c r="BB341" s="620">
        <v>103.50685607036536</v>
      </c>
      <c r="BC341" s="720">
        <f>(BB353-BB354)/BB335</f>
        <v>0.65338666990352989</v>
      </c>
      <c r="BD341" s="714">
        <f>D341-BB351</f>
        <v>29.930000000000007</v>
      </c>
      <c r="BE341" s="693">
        <f>BB353-BB354</f>
        <v>67.63</v>
      </c>
      <c r="BF341" s="693">
        <f t="shared" si="312"/>
        <v>44.255507910690532</v>
      </c>
      <c r="BG341" s="668">
        <f t="shared" si="313"/>
        <v>28.915958938655411</v>
      </c>
      <c r="BH341" s="650">
        <v>750</v>
      </c>
      <c r="BI341" s="620">
        <v>103.50685607036536</v>
      </c>
      <c r="BJ341" s="720">
        <f>(BI353-BI354)/BI335</f>
        <v>0.79994700972959176</v>
      </c>
      <c r="BK341" s="714">
        <f>I341-BI351</f>
        <v>33.590000000000032</v>
      </c>
      <c r="BL341" s="693">
        <f>BI353-BI354</f>
        <v>82.800000000000011</v>
      </c>
      <c r="BM341" s="693">
        <f t="shared" si="314"/>
        <v>40.56763285024158</v>
      </c>
      <c r="BN341" s="668">
        <f t="shared" si="315"/>
        <v>32.451956590358705</v>
      </c>
      <c r="BO341" s="650">
        <v>750</v>
      </c>
      <c r="BP341" s="681">
        <v>103.50685607036536</v>
      </c>
      <c r="BQ341" s="720">
        <f>(BP353-BP354)/BP335</f>
        <v>0.70845548579071205</v>
      </c>
      <c r="BR341" s="714">
        <f>N341-BP351</f>
        <v>38.370000000000061</v>
      </c>
      <c r="BS341" s="693">
        <f>BP353-BP354</f>
        <v>73.33</v>
      </c>
      <c r="BT341" s="693">
        <f t="shared" si="316"/>
        <v>52.325105686622209</v>
      </c>
      <c r="BU341" s="668">
        <f t="shared" si="317"/>
        <v>37.070008168266284</v>
      </c>
      <c r="BV341" s="650">
        <v>750</v>
      </c>
      <c r="BW341" s="620">
        <v>103.50685607036536</v>
      </c>
      <c r="BX341" s="720">
        <f>(BW353-BW354)/BW335</f>
        <v>1.0506550399528152</v>
      </c>
      <c r="BY341" s="714">
        <f t="shared" si="318"/>
        <v>35.46999999999997</v>
      </c>
      <c r="BZ341" s="693">
        <f>BW353-BW354</f>
        <v>108.75</v>
      </c>
      <c r="CA341" s="693">
        <f t="shared" si="319"/>
        <v>32.616091954022963</v>
      </c>
      <c r="CB341" s="668">
        <f t="shared" si="320"/>
        <v>34.268261395058687</v>
      </c>
      <c r="CC341" s="560"/>
    </row>
    <row r="342" spans="1:81" ht="15.75">
      <c r="A342" s="564"/>
      <c r="B342" s="585" t="s">
        <v>116</v>
      </c>
      <c r="C342" s="559">
        <v>850</v>
      </c>
      <c r="D342" s="559">
        <v>384.34</v>
      </c>
      <c r="E342" s="652">
        <v>5.3</v>
      </c>
      <c r="F342" s="652">
        <v>5.19</v>
      </c>
      <c r="G342" s="653">
        <v>4.8499999999999996</v>
      </c>
      <c r="H342" s="559">
        <v>850</v>
      </c>
      <c r="I342" s="559">
        <v>403.22</v>
      </c>
      <c r="J342" s="620">
        <v>4.34</v>
      </c>
      <c r="K342" s="649">
        <v>3.15</v>
      </c>
      <c r="L342" s="588">
        <v>3.58</v>
      </c>
      <c r="M342" s="559">
        <v>850</v>
      </c>
      <c r="N342" s="649">
        <v>398.59</v>
      </c>
      <c r="O342" s="559">
        <v>6.92</v>
      </c>
      <c r="P342" s="559">
        <v>6.91</v>
      </c>
      <c r="Q342" s="559">
        <v>5.87</v>
      </c>
      <c r="R342" s="559">
        <v>850</v>
      </c>
      <c r="S342" s="649">
        <v>431.28</v>
      </c>
      <c r="T342" s="649">
        <v>2.5499999999999998</v>
      </c>
      <c r="U342" s="649">
        <v>2.4700000000000002</v>
      </c>
      <c r="V342" s="649">
        <v>1.91</v>
      </c>
      <c r="W342" s="5"/>
      <c r="X342" s="650">
        <v>850</v>
      </c>
      <c r="Y342" s="651">
        <f t="shared" si="296"/>
        <v>0.51133333333333331</v>
      </c>
      <c r="Z342" s="620">
        <v>9.6440000000000001</v>
      </c>
      <c r="AA342" s="620">
        <v>4.5170000000000003</v>
      </c>
      <c r="AB342" s="620">
        <f t="shared" si="297"/>
        <v>4.6156666666666668</v>
      </c>
      <c r="AC342" s="620">
        <f t="shared" si="298"/>
        <v>33.960333333333338</v>
      </c>
      <c r="AD342" s="653">
        <f t="shared" si="299"/>
        <v>158.32569556793169</v>
      </c>
      <c r="AE342" s="650">
        <v>850</v>
      </c>
      <c r="AF342" s="620">
        <f t="shared" si="300"/>
        <v>0.36899999999999999</v>
      </c>
      <c r="AG342" s="620">
        <v>9.6440000000000001</v>
      </c>
      <c r="AH342" s="620">
        <v>4.5170000000000003</v>
      </c>
      <c r="AI342" s="620">
        <f t="shared" si="301"/>
        <v>4.758</v>
      </c>
      <c r="AJ342" s="620">
        <f t="shared" si="302"/>
        <v>33.818000000000005</v>
      </c>
      <c r="AK342" s="653">
        <f t="shared" si="303"/>
        <v>162.52395427242001</v>
      </c>
      <c r="AL342" s="650">
        <v>850</v>
      </c>
      <c r="AM342" s="620">
        <f t="shared" si="304"/>
        <v>0.65666666666666662</v>
      </c>
      <c r="AN342" s="620">
        <v>9.6440000000000001</v>
      </c>
      <c r="AO342" s="620">
        <v>4.5170000000000003</v>
      </c>
      <c r="AP342" s="620">
        <f t="shared" si="305"/>
        <v>4.4703333333333335</v>
      </c>
      <c r="AQ342" s="620">
        <f t="shared" si="306"/>
        <v>34.105666666666671</v>
      </c>
      <c r="AR342" s="698">
        <f t="shared" si="307"/>
        <v>153.99672104453168</v>
      </c>
      <c r="AS342" s="650">
        <v>850</v>
      </c>
      <c r="AT342" s="620">
        <f t="shared" si="308"/>
        <v>0.23100000000000001</v>
      </c>
      <c r="AU342" s="620">
        <v>9.6440000000000001</v>
      </c>
      <c r="AV342" s="620">
        <v>4.5170000000000003</v>
      </c>
      <c r="AW342" s="620">
        <f t="shared" si="309"/>
        <v>4.8959999999999999</v>
      </c>
      <c r="AX342" s="620">
        <f t="shared" si="310"/>
        <v>33.680000000000007</v>
      </c>
      <c r="AY342" s="698">
        <f t="shared" si="311"/>
        <v>166.55532215040003</v>
      </c>
      <c r="AZ342" s="75"/>
      <c r="BA342" s="650">
        <v>850</v>
      </c>
      <c r="BB342" s="620">
        <v>103.50685607036536</v>
      </c>
      <c r="BC342" s="720">
        <f>(BB353-BB354)/BB335</f>
        <v>0.65338666990352989</v>
      </c>
      <c r="BD342" s="714">
        <f>D342-BB351</f>
        <v>28.909999999999968</v>
      </c>
      <c r="BE342" s="693">
        <f>BB353-BB354</f>
        <v>67.63</v>
      </c>
      <c r="BF342" s="693">
        <f t="shared" si="312"/>
        <v>42.747301493420039</v>
      </c>
      <c r="BG342" s="668">
        <f t="shared" si="313"/>
        <v>27.930516970147909</v>
      </c>
      <c r="BH342" s="650">
        <v>850</v>
      </c>
      <c r="BI342" s="620">
        <v>103.50685607036536</v>
      </c>
      <c r="BJ342" s="720">
        <f>(BI353-BI354)/BI335</f>
        <v>0.79994700972959176</v>
      </c>
      <c r="BK342" s="714">
        <f>I342-BI351</f>
        <v>32.700000000000045</v>
      </c>
      <c r="BL342" s="693">
        <f>BI353-BI354</f>
        <v>82.800000000000011</v>
      </c>
      <c r="BM342" s="693">
        <f t="shared" si="314"/>
        <v>39.492753623188456</v>
      </c>
      <c r="BN342" s="668">
        <f t="shared" si="315"/>
        <v>31.592110166857108</v>
      </c>
      <c r="BO342" s="650">
        <v>850</v>
      </c>
      <c r="BP342" s="681">
        <v>103.50685607036536</v>
      </c>
      <c r="BQ342" s="720">
        <f>(BP353-BP354)/BP335</f>
        <v>0.70845548579071205</v>
      </c>
      <c r="BR342" s="714">
        <f>N342-BP351</f>
        <v>37.050000000000011</v>
      </c>
      <c r="BS342" s="693">
        <f>BP353-BP354</f>
        <v>73.33</v>
      </c>
      <c r="BT342" s="693">
        <f t="shared" si="316"/>
        <v>50.525023864721142</v>
      </c>
      <c r="BU342" s="668">
        <f t="shared" si="317"/>
        <v>35.794730326668336</v>
      </c>
      <c r="BV342" s="650">
        <v>850</v>
      </c>
      <c r="BW342" s="620">
        <v>103.50685607036536</v>
      </c>
      <c r="BX342" s="720">
        <f>(BW353-BW354)/BW335</f>
        <v>1.0506550399528152</v>
      </c>
      <c r="BY342" s="714">
        <f t="shared" si="318"/>
        <v>34.659999999999968</v>
      </c>
      <c r="BZ342" s="693">
        <f>BW353-BW354</f>
        <v>108.75</v>
      </c>
      <c r="CA342" s="693">
        <f t="shared" si="319"/>
        <v>31.87126436781606</v>
      </c>
      <c r="CB342" s="668">
        <f t="shared" si="320"/>
        <v>33.485704537714518</v>
      </c>
      <c r="CC342" s="560"/>
    </row>
    <row r="343" spans="1:81" ht="15.75">
      <c r="A343" s="564"/>
      <c r="B343" s="585" t="s">
        <v>116</v>
      </c>
      <c r="C343" s="559">
        <v>950</v>
      </c>
      <c r="D343" s="559">
        <v>383.33</v>
      </c>
      <c r="E343" s="652">
        <v>5.47</v>
      </c>
      <c r="F343" s="652">
        <v>3.9</v>
      </c>
      <c r="G343" s="653">
        <v>5.0999999999999996</v>
      </c>
      <c r="H343" s="559">
        <v>950</v>
      </c>
      <c r="I343" s="559">
        <v>402.44</v>
      </c>
      <c r="J343" s="620">
        <v>3.43</v>
      </c>
      <c r="K343" s="649">
        <v>3.62</v>
      </c>
      <c r="L343" s="588">
        <v>4.1900000000000004</v>
      </c>
      <c r="M343" s="559">
        <v>950</v>
      </c>
      <c r="N343" s="649">
        <v>397.33</v>
      </c>
      <c r="O343" s="559">
        <v>6.83</v>
      </c>
      <c r="P343" s="559">
        <v>7.19</v>
      </c>
      <c r="Q343" s="559">
        <v>5.97</v>
      </c>
      <c r="R343" s="559">
        <v>950</v>
      </c>
      <c r="S343" s="649">
        <v>430.59</v>
      </c>
      <c r="T343" s="649">
        <v>2.57</v>
      </c>
      <c r="U343" s="649">
        <v>2.19</v>
      </c>
      <c r="V343" s="649">
        <v>3.13</v>
      </c>
      <c r="W343" s="5"/>
      <c r="X343" s="650">
        <v>950</v>
      </c>
      <c r="Y343" s="651">
        <f t="shared" si="296"/>
        <v>0.48233333333333334</v>
      </c>
      <c r="Z343" s="620">
        <v>9.6440000000000001</v>
      </c>
      <c r="AA343" s="620">
        <v>4.5170000000000003</v>
      </c>
      <c r="AB343" s="620">
        <f t="shared" si="297"/>
        <v>4.6446666666666667</v>
      </c>
      <c r="AC343" s="620">
        <f t="shared" si="298"/>
        <v>33.931333333333342</v>
      </c>
      <c r="AD343" s="653">
        <f t="shared" si="299"/>
        <v>198.84279498724669</v>
      </c>
      <c r="AE343" s="650">
        <v>950</v>
      </c>
      <c r="AF343" s="620">
        <f t="shared" si="300"/>
        <v>0.37466666666666676</v>
      </c>
      <c r="AG343" s="620">
        <v>9.6440000000000001</v>
      </c>
      <c r="AH343" s="620">
        <v>4.5170000000000003</v>
      </c>
      <c r="AI343" s="620">
        <f t="shared" si="301"/>
        <v>4.7523333333333326</v>
      </c>
      <c r="AJ343" s="620">
        <f t="shared" si="302"/>
        <v>33.823666666666675</v>
      </c>
      <c r="AK343" s="653">
        <f t="shared" si="303"/>
        <v>202.80654314885166</v>
      </c>
      <c r="AL343" s="650">
        <v>950</v>
      </c>
      <c r="AM343" s="620">
        <f t="shared" si="304"/>
        <v>0.66633333333333333</v>
      </c>
      <c r="AN343" s="620">
        <v>9.6440000000000001</v>
      </c>
      <c r="AO343" s="620">
        <v>4.5170000000000003</v>
      </c>
      <c r="AP343" s="620">
        <f t="shared" si="305"/>
        <v>4.4606666666666666</v>
      </c>
      <c r="AQ343" s="620">
        <f t="shared" si="306"/>
        <v>34.115333333333339</v>
      </c>
      <c r="AR343" s="698">
        <f t="shared" si="307"/>
        <v>192.00112431572666</v>
      </c>
      <c r="AS343" s="650">
        <v>950</v>
      </c>
      <c r="AT343" s="620">
        <f t="shared" si="308"/>
        <v>0.26300000000000001</v>
      </c>
      <c r="AU343" s="620">
        <v>9.6440000000000001</v>
      </c>
      <c r="AV343" s="620">
        <v>4.5170000000000003</v>
      </c>
      <c r="AW343" s="620">
        <f t="shared" si="309"/>
        <v>4.8639999999999999</v>
      </c>
      <c r="AX343" s="620">
        <f t="shared" si="310"/>
        <v>33.712000000000003</v>
      </c>
      <c r="AY343" s="698">
        <f t="shared" si="311"/>
        <v>206.88664958976</v>
      </c>
      <c r="AZ343" s="75"/>
      <c r="BA343" s="650">
        <v>950</v>
      </c>
      <c r="BB343" s="620">
        <v>103.50685607036536</v>
      </c>
      <c r="BC343" s="720">
        <f>(BB353-BB354)/BB335</f>
        <v>0.65338666990352989</v>
      </c>
      <c r="BD343" s="714">
        <f>D343-BB351</f>
        <v>27.899999999999977</v>
      </c>
      <c r="BE343" s="693">
        <f>BB353-BB354</f>
        <v>67.63</v>
      </c>
      <c r="BF343" s="693">
        <f t="shared" si="312"/>
        <v>41.253881413573829</v>
      </c>
      <c r="BG343" s="668">
        <f t="shared" si="313"/>
        <v>26.954736197410131</v>
      </c>
      <c r="BH343" s="650">
        <v>950</v>
      </c>
      <c r="BI343" s="620">
        <v>103.50685607036536</v>
      </c>
      <c r="BJ343" s="720">
        <f>(BI353-BI354)/BI335</f>
        <v>0.79994700972959176</v>
      </c>
      <c r="BK343" s="714">
        <f>I343-BI351</f>
        <v>31.920000000000016</v>
      </c>
      <c r="BL343" s="693">
        <f>BI353-BI354</f>
        <v>82.800000000000011</v>
      </c>
      <c r="BM343" s="693">
        <f t="shared" si="314"/>
        <v>38.550724637681171</v>
      </c>
      <c r="BN343" s="668">
        <f t="shared" si="315"/>
        <v>30.838536896821953</v>
      </c>
      <c r="BO343" s="650">
        <v>950</v>
      </c>
      <c r="BP343" s="681">
        <v>103.50685607036536</v>
      </c>
      <c r="BQ343" s="720">
        <f>(BP353-BP354)/BP335</f>
        <v>0.70845548579071205</v>
      </c>
      <c r="BR343" s="714">
        <f>N343-BP351</f>
        <v>35.79000000000002</v>
      </c>
      <c r="BS343" s="693">
        <f>BP353-BP354</f>
        <v>73.33</v>
      </c>
      <c r="BT343" s="693">
        <f t="shared" si="316"/>
        <v>48.806763943815653</v>
      </c>
      <c r="BU343" s="668">
        <f t="shared" si="317"/>
        <v>34.57741965968853</v>
      </c>
      <c r="BV343" s="650">
        <v>950</v>
      </c>
      <c r="BW343" s="620">
        <v>103.50685607036536</v>
      </c>
      <c r="BX343" s="720">
        <f>(BW353-BW354)/BW335</f>
        <v>1.0506550399528152</v>
      </c>
      <c r="BY343" s="714">
        <f t="shared" si="318"/>
        <v>33.96999999999997</v>
      </c>
      <c r="BZ343" s="693">
        <f>BW353-BW354</f>
        <v>108.75</v>
      </c>
      <c r="CA343" s="693">
        <f t="shared" si="319"/>
        <v>31.236781609195376</v>
      </c>
      <c r="CB343" s="668">
        <f t="shared" si="320"/>
        <v>32.819082029606527</v>
      </c>
      <c r="CC343" s="560"/>
    </row>
    <row r="344" spans="1:81" ht="15.75">
      <c r="A344" s="564"/>
      <c r="B344" s="585" t="s">
        <v>116</v>
      </c>
      <c r="C344" s="559">
        <v>1000</v>
      </c>
      <c r="D344" s="559">
        <v>382.87</v>
      </c>
      <c r="E344" s="652">
        <v>5.74</v>
      </c>
      <c r="F344" s="652">
        <v>5.32</v>
      </c>
      <c r="G344" s="653">
        <v>4.88</v>
      </c>
      <c r="H344" s="559">
        <v>1000</v>
      </c>
      <c r="I344" s="559">
        <v>401.98</v>
      </c>
      <c r="J344" s="559">
        <v>4.76</v>
      </c>
      <c r="K344" s="649">
        <v>3.9</v>
      </c>
      <c r="L344" s="588">
        <v>4.03</v>
      </c>
      <c r="M344" s="559">
        <v>1000</v>
      </c>
      <c r="N344" s="649">
        <v>396.69</v>
      </c>
      <c r="O344" s="649">
        <v>7.6</v>
      </c>
      <c r="P344" s="649">
        <v>6.9</v>
      </c>
      <c r="Q344" s="559">
        <v>5.78</v>
      </c>
      <c r="R344" s="559">
        <v>1000</v>
      </c>
      <c r="S344" s="649">
        <v>430.05</v>
      </c>
      <c r="T344" s="649">
        <v>2.95</v>
      </c>
      <c r="U344" s="649">
        <v>2.58</v>
      </c>
      <c r="V344" s="649">
        <v>2.86</v>
      </c>
      <c r="W344" s="5"/>
      <c r="X344" s="650">
        <v>1000</v>
      </c>
      <c r="Y344" s="651">
        <f t="shared" si="296"/>
        <v>0.53133333333333332</v>
      </c>
      <c r="Z344" s="620">
        <v>9.6440000000000001</v>
      </c>
      <c r="AA344" s="620">
        <v>4.5170000000000003</v>
      </c>
      <c r="AB344" s="620">
        <f t="shared" si="297"/>
        <v>4.5956666666666663</v>
      </c>
      <c r="AC344" s="620">
        <f t="shared" si="298"/>
        <v>33.980333333333341</v>
      </c>
      <c r="AD344" s="653">
        <f t="shared" si="299"/>
        <v>218.31487474066665</v>
      </c>
      <c r="AE344" s="650">
        <v>1000</v>
      </c>
      <c r="AF344" s="620">
        <f t="shared" si="300"/>
        <v>0.42300000000000004</v>
      </c>
      <c r="AG344" s="620">
        <v>9.6440000000000001</v>
      </c>
      <c r="AH344" s="620">
        <v>4.5170000000000003</v>
      </c>
      <c r="AI344" s="620">
        <f t="shared" si="301"/>
        <v>4.7039999999999997</v>
      </c>
      <c r="AJ344" s="620">
        <f t="shared" si="302"/>
        <v>33.872000000000007</v>
      </c>
      <c r="AK344" s="653">
        <f t="shared" si="303"/>
        <v>222.74877542399997</v>
      </c>
      <c r="AL344" s="650">
        <v>1000</v>
      </c>
      <c r="AM344" s="620">
        <f t="shared" si="304"/>
        <v>0.67600000000000005</v>
      </c>
      <c r="AN344" s="620">
        <v>9.6440000000000001</v>
      </c>
      <c r="AO344" s="620">
        <v>4.5170000000000003</v>
      </c>
      <c r="AP344" s="620">
        <f t="shared" si="305"/>
        <v>4.4509999999999996</v>
      </c>
      <c r="AQ344" s="620">
        <f t="shared" si="306"/>
        <v>34.125000000000007</v>
      </c>
      <c r="AR344" s="698">
        <f t="shared" si="307"/>
        <v>212.34274424999998</v>
      </c>
      <c r="AS344" s="650">
        <v>1000</v>
      </c>
      <c r="AT344" s="620">
        <f t="shared" si="308"/>
        <v>0.27966666666666667</v>
      </c>
      <c r="AU344" s="620">
        <v>9.6440000000000001</v>
      </c>
      <c r="AV344" s="620">
        <v>4.5170000000000003</v>
      </c>
      <c r="AW344" s="620">
        <f t="shared" si="309"/>
        <v>4.8473333333333333</v>
      </c>
      <c r="AX344" s="620">
        <f t="shared" si="310"/>
        <v>33.728666666666669</v>
      </c>
      <c r="AY344" s="698">
        <f t="shared" si="311"/>
        <v>228.56473813066663</v>
      </c>
      <c r="AZ344" s="75"/>
      <c r="BA344" s="650">
        <v>1000</v>
      </c>
      <c r="BB344" s="620">
        <v>103.50685607036536</v>
      </c>
      <c r="BC344" s="720">
        <f>(BB353-BB354)/BB335</f>
        <v>0.65338666990352989</v>
      </c>
      <c r="BD344" s="714">
        <f>D344-BB351</f>
        <v>27.439999999999998</v>
      </c>
      <c r="BE344" s="693">
        <f>BB353-BB354</f>
        <v>67.63</v>
      </c>
      <c r="BF344" s="693">
        <f t="shared" si="312"/>
        <v>40.573709892059732</v>
      </c>
      <c r="BG344" s="668">
        <f t="shared" si="313"/>
        <v>26.510321192004817</v>
      </c>
      <c r="BH344" s="650">
        <v>1000</v>
      </c>
      <c r="BI344" s="620">
        <v>103.50685607036536</v>
      </c>
      <c r="BJ344" s="720">
        <f>(BI353-BI354)/BI335</f>
        <v>0.79994700972959176</v>
      </c>
      <c r="BK344" s="714">
        <f>I344-BI351</f>
        <v>31.460000000000036</v>
      </c>
      <c r="BL344" s="693">
        <f>BI353-BI354</f>
        <v>82.800000000000011</v>
      </c>
      <c r="BM344" s="693">
        <f t="shared" si="314"/>
        <v>37.995169082125642</v>
      </c>
      <c r="BN344" s="668">
        <f t="shared" si="315"/>
        <v>30.394121891416646</v>
      </c>
      <c r="BO344" s="650">
        <v>1000</v>
      </c>
      <c r="BP344" s="681">
        <v>103.50685607036536</v>
      </c>
      <c r="BQ344" s="720">
        <f>(BP353-BP354)/BP335</f>
        <v>0.70845548579071205</v>
      </c>
      <c r="BR344" s="714">
        <f>N344-BP351</f>
        <v>35.150000000000034</v>
      </c>
      <c r="BS344" s="693">
        <f>BP353-BP354</f>
        <v>73.33</v>
      </c>
      <c r="BT344" s="693">
        <f t="shared" si="316"/>
        <v>47.933996999863673</v>
      </c>
      <c r="BU344" s="668">
        <f t="shared" si="317"/>
        <v>33.95910313042895</v>
      </c>
      <c r="BV344" s="650">
        <v>1000</v>
      </c>
      <c r="BW344" s="620">
        <v>103.50685607036536</v>
      </c>
      <c r="BX344" s="720">
        <f>(BW353-BW354)/BW335</f>
        <v>1.0506550399528152</v>
      </c>
      <c r="BY344" s="714">
        <f t="shared" si="318"/>
        <v>33.430000000000007</v>
      </c>
      <c r="BZ344" s="693">
        <f>BW353-BW354</f>
        <v>108.75</v>
      </c>
      <c r="CA344" s="693">
        <f t="shared" si="319"/>
        <v>30.740229885057481</v>
      </c>
      <c r="CB344" s="668">
        <f t="shared" si="320"/>
        <v>32.29737745804379</v>
      </c>
      <c r="CC344" s="560"/>
    </row>
    <row r="345" spans="1:81" ht="15.75">
      <c r="A345" s="564"/>
      <c r="B345" s="585" t="s">
        <v>116</v>
      </c>
      <c r="C345" s="559">
        <v>1350</v>
      </c>
      <c r="D345" s="559">
        <v>381.23</v>
      </c>
      <c r="E345" s="652">
        <v>6.34</v>
      </c>
      <c r="F345" s="652">
        <v>6.84</v>
      </c>
      <c r="G345" s="653">
        <v>7.08</v>
      </c>
      <c r="H345" s="559">
        <v>1350</v>
      </c>
      <c r="I345" s="559">
        <v>400.58</v>
      </c>
      <c r="J345" s="620">
        <v>5.55</v>
      </c>
      <c r="K345" s="649">
        <v>5.93</v>
      </c>
      <c r="L345" s="619">
        <v>5.36</v>
      </c>
      <c r="M345" s="559">
        <v>1350</v>
      </c>
      <c r="N345" s="649">
        <v>394.53</v>
      </c>
      <c r="O345" s="559">
        <v>8.5399999999999991</v>
      </c>
      <c r="P345" s="559">
        <v>7.69</v>
      </c>
      <c r="Q345" s="559">
        <v>8.58</v>
      </c>
      <c r="R345" s="559">
        <v>1350</v>
      </c>
      <c r="S345" s="649">
        <v>428.83</v>
      </c>
      <c r="T345" s="649">
        <v>4.1399999999999997</v>
      </c>
      <c r="U345" s="649">
        <v>3.33</v>
      </c>
      <c r="V345" s="649">
        <v>4.26</v>
      </c>
      <c r="W345" s="5"/>
      <c r="X345" s="650">
        <v>1350</v>
      </c>
      <c r="Y345" s="651">
        <f t="shared" si="296"/>
        <v>0.67533333333333334</v>
      </c>
      <c r="Z345" s="620">
        <v>9.6440000000000001</v>
      </c>
      <c r="AA345" s="620">
        <v>4.5170000000000003</v>
      </c>
      <c r="AB345" s="620">
        <f t="shared" si="297"/>
        <v>4.4516666666666662</v>
      </c>
      <c r="AC345" s="620">
        <f t="shared" si="298"/>
        <v>34.12433333333334</v>
      </c>
      <c r="AD345" s="653">
        <f t="shared" si="299"/>
        <v>387.04505362942501</v>
      </c>
      <c r="AE345" s="650">
        <v>1350</v>
      </c>
      <c r="AF345" s="620">
        <f t="shared" si="300"/>
        <v>0.56133333333333335</v>
      </c>
      <c r="AG345" s="620">
        <v>9.6440000000000001</v>
      </c>
      <c r="AH345" s="620">
        <v>4.5170000000000003</v>
      </c>
      <c r="AI345" s="620">
        <f t="shared" si="301"/>
        <v>4.5656666666666661</v>
      </c>
      <c r="AJ345" s="620">
        <f t="shared" si="302"/>
        <v>34.010333333333335</v>
      </c>
      <c r="AK345" s="653">
        <f t="shared" si="303"/>
        <v>395.63053004866492</v>
      </c>
      <c r="AL345" s="650">
        <v>1350</v>
      </c>
      <c r="AM345" s="620">
        <f t="shared" si="304"/>
        <v>0.82700000000000018</v>
      </c>
      <c r="AN345" s="620">
        <v>9.6440000000000001</v>
      </c>
      <c r="AO345" s="620">
        <v>4.5170000000000003</v>
      </c>
      <c r="AP345" s="620">
        <f t="shared" si="305"/>
        <v>4.3</v>
      </c>
      <c r="AQ345" s="620">
        <f t="shared" si="306"/>
        <v>34.276000000000003</v>
      </c>
      <c r="AR345" s="698">
        <f t="shared" si="307"/>
        <v>375.52019531399998</v>
      </c>
      <c r="AS345" s="650">
        <v>1350</v>
      </c>
      <c r="AT345" s="620">
        <f t="shared" si="308"/>
        <v>0.39100000000000001</v>
      </c>
      <c r="AU345" s="620">
        <v>9.6440000000000001</v>
      </c>
      <c r="AV345" s="620">
        <v>4.5170000000000003</v>
      </c>
      <c r="AW345" s="620">
        <f t="shared" si="309"/>
        <v>4.7359999999999998</v>
      </c>
      <c r="AX345" s="620">
        <f t="shared" si="310"/>
        <v>33.840000000000003</v>
      </c>
      <c r="AY345" s="698">
        <f t="shared" si="311"/>
        <v>408.33514091519999</v>
      </c>
      <c r="AZ345" s="75"/>
      <c r="BA345" s="650">
        <v>1350</v>
      </c>
      <c r="BB345" s="620">
        <v>103.50685607036536</v>
      </c>
      <c r="BC345" s="720">
        <f>(BB353-BB354)/BB335</f>
        <v>0.65338666990352989</v>
      </c>
      <c r="BD345" s="714">
        <f>D345-BB351</f>
        <v>25.800000000000011</v>
      </c>
      <c r="BE345" s="693">
        <f>BB353-BB354</f>
        <v>67.63</v>
      </c>
      <c r="BF345" s="693">
        <f t="shared" si="312"/>
        <v>38.14875055448767</v>
      </c>
      <c r="BG345" s="668">
        <f t="shared" si="313"/>
        <v>24.925885085777139</v>
      </c>
      <c r="BH345" s="650">
        <v>1350</v>
      </c>
      <c r="BI345" s="620">
        <v>103.50685607036536</v>
      </c>
      <c r="BJ345" s="720">
        <f>(BI353-BI354)/BI335</f>
        <v>0.79994700972959176</v>
      </c>
      <c r="BK345" s="714">
        <f>I345-BI351</f>
        <v>30.060000000000002</v>
      </c>
      <c r="BL345" s="693">
        <f>BI353-BI354</f>
        <v>82.800000000000011</v>
      </c>
      <c r="BM345" s="693">
        <f t="shared" si="314"/>
        <v>36.304347826086953</v>
      </c>
      <c r="BN345" s="668">
        <f t="shared" si="315"/>
        <v>29.041554483661265</v>
      </c>
      <c r="BO345" s="650">
        <v>1350</v>
      </c>
      <c r="BP345" s="681">
        <v>103.50685607036536</v>
      </c>
      <c r="BQ345" s="720">
        <f>(BP353-BP354)/BP335</f>
        <v>0.70845548579071205</v>
      </c>
      <c r="BR345" s="714">
        <f>N345-BP351</f>
        <v>32.990000000000009</v>
      </c>
      <c r="BS345" s="693">
        <f>BP353-BP354</f>
        <v>73.33</v>
      </c>
      <c r="BT345" s="693">
        <f t="shared" si="316"/>
        <v>44.988408564025647</v>
      </c>
      <c r="BU345" s="668">
        <f t="shared" si="317"/>
        <v>31.87228484417782</v>
      </c>
      <c r="BV345" s="650">
        <v>1350</v>
      </c>
      <c r="BW345" s="620">
        <v>103.50685607036536</v>
      </c>
      <c r="BX345" s="720">
        <f>(BW353-BW354)/BW335</f>
        <v>1.0506550399528152</v>
      </c>
      <c r="BY345" s="714">
        <f t="shared" si="318"/>
        <v>32.20999999999998</v>
      </c>
      <c r="BZ345" s="693">
        <f>BW353-BW354</f>
        <v>108.75</v>
      </c>
      <c r="CA345" s="693">
        <f t="shared" si="319"/>
        <v>29.618390804597684</v>
      </c>
      <c r="CB345" s="668">
        <f t="shared" si="320"/>
        <v>31.118711574142672</v>
      </c>
      <c r="CC345" s="560"/>
    </row>
    <row r="346" spans="1:81" ht="15.75">
      <c r="A346" s="564"/>
      <c r="B346" s="585" t="s">
        <v>116</v>
      </c>
      <c r="C346" s="559">
        <v>2500</v>
      </c>
      <c r="D346" s="559">
        <v>377.49</v>
      </c>
      <c r="E346" s="652">
        <v>14.33</v>
      </c>
      <c r="F346" s="652">
        <v>11.51</v>
      </c>
      <c r="G346" s="653">
        <v>11.63</v>
      </c>
      <c r="H346" s="559">
        <v>2500</v>
      </c>
      <c r="I346" s="559">
        <v>396.9</v>
      </c>
      <c r="J346" s="559">
        <v>10.14</v>
      </c>
      <c r="K346" s="649">
        <v>11.12</v>
      </c>
      <c r="L346" s="588">
        <v>11.53</v>
      </c>
      <c r="M346" s="559">
        <v>2500</v>
      </c>
      <c r="N346" s="649">
        <v>390.31</v>
      </c>
      <c r="O346" s="559">
        <v>11.89</v>
      </c>
      <c r="P346" s="559">
        <v>11.74</v>
      </c>
      <c r="Q346" s="559">
        <v>11.96</v>
      </c>
      <c r="R346" s="559">
        <v>2500</v>
      </c>
      <c r="S346" s="649">
        <v>425.36</v>
      </c>
      <c r="T346" s="649">
        <v>6.2</v>
      </c>
      <c r="U346" s="649">
        <v>6.51</v>
      </c>
      <c r="V346" s="649">
        <v>5.92</v>
      </c>
      <c r="W346" s="5"/>
      <c r="X346" s="650">
        <v>2500</v>
      </c>
      <c r="Y346" s="651">
        <f t="shared" si="296"/>
        <v>1.2490000000000001</v>
      </c>
      <c r="Z346" s="620">
        <v>9.6440000000000001</v>
      </c>
      <c r="AA346" s="620">
        <v>4.5170000000000003</v>
      </c>
      <c r="AB346" s="620">
        <f t="shared" si="297"/>
        <v>3.8780000000000001</v>
      </c>
      <c r="AC346" s="620">
        <f t="shared" si="298"/>
        <v>34.698000000000008</v>
      </c>
      <c r="AD346" s="653">
        <f t="shared" si="299"/>
        <v>1175.70789945</v>
      </c>
      <c r="AE346" s="650">
        <v>2500</v>
      </c>
      <c r="AF346" s="620">
        <f t="shared" si="300"/>
        <v>1.093</v>
      </c>
      <c r="AG346" s="620">
        <v>9.6440000000000001</v>
      </c>
      <c r="AH346" s="620">
        <v>4.5170000000000003</v>
      </c>
      <c r="AI346" s="620">
        <f t="shared" si="301"/>
        <v>4.0339999999999998</v>
      </c>
      <c r="AJ346" s="620">
        <f t="shared" si="302"/>
        <v>34.542000000000002</v>
      </c>
      <c r="AK346" s="653">
        <f t="shared" si="303"/>
        <v>1217.5044646499998</v>
      </c>
      <c r="AL346" s="650">
        <v>2500</v>
      </c>
      <c r="AM346" s="620">
        <f t="shared" si="304"/>
        <v>1.1863333333333335</v>
      </c>
      <c r="AN346" s="620">
        <v>9.6440000000000001</v>
      </c>
      <c r="AO346" s="620">
        <v>4.5170000000000003</v>
      </c>
      <c r="AP346" s="620">
        <f t="shared" si="305"/>
        <v>3.9406666666666661</v>
      </c>
      <c r="AQ346" s="620">
        <f t="shared" si="306"/>
        <v>34.635333333333335</v>
      </c>
      <c r="AR346" s="698">
        <f t="shared" si="307"/>
        <v>1192.5490773166664</v>
      </c>
      <c r="AS346" s="650">
        <v>2500</v>
      </c>
      <c r="AT346" s="620">
        <f t="shared" si="308"/>
        <v>0.62100000000000011</v>
      </c>
      <c r="AU346" s="620">
        <v>9.6440000000000001</v>
      </c>
      <c r="AV346" s="620">
        <v>4.5170000000000003</v>
      </c>
      <c r="AW346" s="620">
        <f t="shared" si="309"/>
        <v>4.5059999999999993</v>
      </c>
      <c r="AX346" s="620">
        <f t="shared" si="310"/>
        <v>34.070000000000007</v>
      </c>
      <c r="AY346" s="698">
        <f t="shared" si="311"/>
        <v>1341.3759322499998</v>
      </c>
      <c r="AZ346" s="75"/>
      <c r="BA346" s="650">
        <v>2500</v>
      </c>
      <c r="BB346" s="620">
        <v>103.50685607036536</v>
      </c>
      <c r="BC346" s="720">
        <f>(BB353-BB354)/BB335</f>
        <v>0.65338666990352989</v>
      </c>
      <c r="BD346" s="714">
        <f>D346-BB351</f>
        <v>22.060000000000002</v>
      </c>
      <c r="BE346" s="693">
        <f>BB353-BB354</f>
        <v>67.63</v>
      </c>
      <c r="BF346" s="693">
        <f t="shared" si="312"/>
        <v>32.61866035782937</v>
      </c>
      <c r="BG346" s="668">
        <f t="shared" si="313"/>
        <v>21.312597867916416</v>
      </c>
      <c r="BH346" s="650">
        <v>2500</v>
      </c>
      <c r="BI346" s="620">
        <v>103.50685607036536</v>
      </c>
      <c r="BJ346" s="720">
        <f>(BI353-BI354)/BI335</f>
        <v>0.79994700972959176</v>
      </c>
      <c r="BK346" s="714">
        <f>I346-BI351</f>
        <v>26.379999999999995</v>
      </c>
      <c r="BL346" s="693">
        <f>BI353-BI354</f>
        <v>82.800000000000011</v>
      </c>
      <c r="BM346" s="693">
        <f t="shared" si="314"/>
        <v>31.8599033816425</v>
      </c>
      <c r="BN346" s="668">
        <f t="shared" si="315"/>
        <v>25.486234440418627</v>
      </c>
      <c r="BO346" s="650">
        <v>2500</v>
      </c>
      <c r="BP346" s="681">
        <v>103.50685607036536</v>
      </c>
      <c r="BQ346" s="720">
        <f>(BP353-BP354)/BP335</f>
        <v>0.70845548579071205</v>
      </c>
      <c r="BR346" s="714">
        <f>N346-BP351</f>
        <v>28.770000000000039</v>
      </c>
      <c r="BS346" s="693">
        <f>BP353-BP354</f>
        <v>73.33</v>
      </c>
      <c r="BT346" s="693">
        <f t="shared" si="316"/>
        <v>39.233601527342202</v>
      </c>
      <c r="BU346" s="668">
        <f t="shared" si="317"/>
        <v>27.795260229372442</v>
      </c>
      <c r="BV346" s="650">
        <v>2500</v>
      </c>
      <c r="BW346" s="620">
        <v>103.50685607036536</v>
      </c>
      <c r="BX346" s="720">
        <f>(BW353-BW354)/BW335</f>
        <v>1.0506550399528152</v>
      </c>
      <c r="BY346" s="714">
        <f t="shared" si="318"/>
        <v>28.740000000000009</v>
      </c>
      <c r="BZ346" s="693">
        <f>BW353-BW354</f>
        <v>108.75</v>
      </c>
      <c r="CA346" s="693">
        <f t="shared" si="319"/>
        <v>26.427586206896557</v>
      </c>
      <c r="CB346" s="668">
        <f t="shared" si="320"/>
        <v>27.766276642063367</v>
      </c>
      <c r="CC346" s="560"/>
    </row>
    <row r="347" spans="1:81" ht="15.75">
      <c r="A347" s="564"/>
      <c r="B347" s="585" t="s">
        <v>116</v>
      </c>
      <c r="C347" s="559">
        <v>5000</v>
      </c>
      <c r="D347" s="559">
        <v>373.33</v>
      </c>
      <c r="E347" s="652">
        <v>18.8</v>
      </c>
      <c r="F347" s="652">
        <v>18.29</v>
      </c>
      <c r="G347" s="653">
        <v>18.04</v>
      </c>
      <c r="H347" s="559">
        <v>5000</v>
      </c>
      <c r="I347" s="559">
        <v>392.05</v>
      </c>
      <c r="J347" s="559">
        <v>16.55</v>
      </c>
      <c r="K347" s="649">
        <v>17.940000000000001</v>
      </c>
      <c r="L347" s="588">
        <v>16.96</v>
      </c>
      <c r="M347" s="559">
        <v>5000</v>
      </c>
      <c r="N347" s="649">
        <v>386.27</v>
      </c>
      <c r="O347" s="559">
        <v>17.79</v>
      </c>
      <c r="P347" s="559">
        <v>17.37</v>
      </c>
      <c r="Q347" s="559">
        <v>16.73</v>
      </c>
      <c r="R347" s="559">
        <v>5000</v>
      </c>
      <c r="S347" s="649">
        <v>420.38</v>
      </c>
      <c r="T347" s="649">
        <v>11.01</v>
      </c>
      <c r="U347" s="649">
        <v>11.5</v>
      </c>
      <c r="V347" s="649">
        <v>9.91</v>
      </c>
      <c r="W347" s="5"/>
      <c r="X347" s="650">
        <v>5000</v>
      </c>
      <c r="Y347" s="651">
        <f t="shared" si="296"/>
        <v>1.8376666666666668</v>
      </c>
      <c r="Z347" s="620">
        <v>9.6440000000000001</v>
      </c>
      <c r="AA347" s="620">
        <v>4.5170000000000003</v>
      </c>
      <c r="AB347" s="620">
        <f t="shared" si="297"/>
        <v>3.2893333333333334</v>
      </c>
      <c r="AC347" s="620">
        <f t="shared" si="298"/>
        <v>35.286666666666669</v>
      </c>
      <c r="AD347" s="653">
        <f t="shared" si="299"/>
        <v>4056.6328306666669</v>
      </c>
      <c r="AE347" s="650">
        <v>5000</v>
      </c>
      <c r="AF347" s="620">
        <f t="shared" si="300"/>
        <v>1.7150000000000003</v>
      </c>
      <c r="AG347" s="620">
        <v>9.6440000000000001</v>
      </c>
      <c r="AH347" s="620">
        <v>4.5170000000000003</v>
      </c>
      <c r="AI347" s="620">
        <f t="shared" si="301"/>
        <v>3.411999999999999</v>
      </c>
      <c r="AJ347" s="620">
        <f t="shared" si="302"/>
        <v>35.164000000000009</v>
      </c>
      <c r="AK347" s="653">
        <f t="shared" si="303"/>
        <v>4193.2859015999993</v>
      </c>
      <c r="AL347" s="650">
        <v>5000</v>
      </c>
      <c r="AM347" s="620">
        <f t="shared" si="304"/>
        <v>1.7296666666666667</v>
      </c>
      <c r="AN347" s="620">
        <v>9.6440000000000001</v>
      </c>
      <c r="AO347" s="620">
        <v>4.5170000000000003</v>
      </c>
      <c r="AP347" s="620">
        <f t="shared" si="305"/>
        <v>3.3973333333333331</v>
      </c>
      <c r="AQ347" s="620">
        <f t="shared" si="306"/>
        <v>35.178666666666672</v>
      </c>
      <c r="AR347" s="698">
        <f t="shared" si="307"/>
        <v>4177.0023082666667</v>
      </c>
      <c r="AS347" s="650">
        <v>5000</v>
      </c>
      <c r="AT347" s="620">
        <f t="shared" si="308"/>
        <v>1.0806666666666667</v>
      </c>
      <c r="AU347" s="620">
        <v>9.6440000000000001</v>
      </c>
      <c r="AV347" s="620">
        <v>4.5170000000000003</v>
      </c>
      <c r="AW347" s="620">
        <f t="shared" si="309"/>
        <v>4.0463333333333331</v>
      </c>
      <c r="AX347" s="620">
        <f t="shared" si="310"/>
        <v>34.529666666666671</v>
      </c>
      <c r="AY347" s="698">
        <f t="shared" si="311"/>
        <v>4883.1630157166665</v>
      </c>
      <c r="AZ347" s="75"/>
      <c r="BA347" s="650">
        <v>5000</v>
      </c>
      <c r="BB347" s="620">
        <v>103.50685607036536</v>
      </c>
      <c r="BC347" s="720">
        <f>(BB353-BB354)/BB335</f>
        <v>0.65338666990352989</v>
      </c>
      <c r="BD347" s="714">
        <f>D347-BB351</f>
        <v>17.899999999999977</v>
      </c>
      <c r="BE347" s="693">
        <f>BB353-BB354</f>
        <v>67.63</v>
      </c>
      <c r="BF347" s="693">
        <f t="shared" si="312"/>
        <v>26.467543989353803</v>
      </c>
      <c r="BG347" s="668">
        <f t="shared" si="313"/>
        <v>17.29354042772907</v>
      </c>
      <c r="BH347" s="650">
        <v>5000</v>
      </c>
      <c r="BI347" s="620">
        <v>103.50685607036536</v>
      </c>
      <c r="BJ347" s="720">
        <f>(BI353-BI354)/BI335</f>
        <v>0.79994700972959176</v>
      </c>
      <c r="BK347" s="714">
        <f>I347-BI351</f>
        <v>21.53000000000003</v>
      </c>
      <c r="BL347" s="693">
        <f>BI353-BI354</f>
        <v>82.800000000000011</v>
      </c>
      <c r="BM347" s="693">
        <f t="shared" si="314"/>
        <v>26.002415458937229</v>
      </c>
      <c r="BN347" s="668">
        <f t="shared" si="315"/>
        <v>20.800554492123347</v>
      </c>
      <c r="BO347" s="650">
        <v>5000</v>
      </c>
      <c r="BP347" s="681">
        <v>103.50685607036536</v>
      </c>
      <c r="BQ347" s="720">
        <f>(BP353-BP354)/BP335</f>
        <v>0.70845548579071205</v>
      </c>
      <c r="BR347" s="714">
        <f>N347-BP351</f>
        <v>24.730000000000018</v>
      </c>
      <c r="BS347" s="693">
        <f>BP353-BP354</f>
        <v>73.33</v>
      </c>
      <c r="BT347" s="693">
        <f t="shared" si="316"/>
        <v>33.724260193645186</v>
      </c>
      <c r="BU347" s="668">
        <f t="shared" si="317"/>
        <v>23.892137138421273</v>
      </c>
      <c r="BV347" s="650">
        <v>5000</v>
      </c>
      <c r="BW347" s="620">
        <v>103.50685607036536</v>
      </c>
      <c r="BX347" s="720">
        <f>(BW353-BW354)/BW335</f>
        <v>1.0506550399528152</v>
      </c>
      <c r="BY347" s="714">
        <f t="shared" si="318"/>
        <v>23.759999999999991</v>
      </c>
      <c r="BZ347" s="693">
        <f>BW353-BW354</f>
        <v>108.75</v>
      </c>
      <c r="CA347" s="693">
        <f t="shared" si="319"/>
        <v>21.848275862068959</v>
      </c>
      <c r="CB347" s="668">
        <f t="shared" si="320"/>
        <v>22.955001148762189</v>
      </c>
      <c r="CC347" s="560"/>
    </row>
    <row r="348" spans="1:81" ht="15.75">
      <c r="A348" s="564"/>
      <c r="B348" s="585" t="s">
        <v>116</v>
      </c>
      <c r="C348" s="559">
        <v>7000</v>
      </c>
      <c r="D348" s="559">
        <v>371.38</v>
      </c>
      <c r="E348" s="652">
        <v>21.61</v>
      </c>
      <c r="F348" s="652">
        <v>20.69</v>
      </c>
      <c r="G348" s="653">
        <v>20.79</v>
      </c>
      <c r="H348" s="559">
        <v>7000</v>
      </c>
      <c r="I348" s="655">
        <v>389.66</v>
      </c>
      <c r="J348" s="559">
        <v>18.66</v>
      </c>
      <c r="K348" s="649">
        <v>18.11</v>
      </c>
      <c r="L348" s="588">
        <v>17.66</v>
      </c>
      <c r="M348" s="559">
        <v>7000</v>
      </c>
      <c r="N348" s="649">
        <v>384.16</v>
      </c>
      <c r="O348" s="559">
        <v>19.190000000000001</v>
      </c>
      <c r="P348" s="559">
        <v>20.11</v>
      </c>
      <c r="Q348" s="559">
        <v>17.84</v>
      </c>
      <c r="R348" s="559">
        <v>7000</v>
      </c>
      <c r="S348" s="649">
        <v>417.55</v>
      </c>
      <c r="T348" s="649">
        <v>11.96</v>
      </c>
      <c r="U348" s="649">
        <v>10.94</v>
      </c>
      <c r="V348" s="649">
        <v>11.94</v>
      </c>
      <c r="W348" s="5"/>
      <c r="X348" s="650">
        <v>7000</v>
      </c>
      <c r="Y348" s="651">
        <f t="shared" si="296"/>
        <v>2.1029999999999998</v>
      </c>
      <c r="Z348" s="620">
        <v>9.6440000000000001</v>
      </c>
      <c r="AA348" s="620">
        <v>4.5170000000000003</v>
      </c>
      <c r="AB348" s="620">
        <f t="shared" si="297"/>
        <v>3.024</v>
      </c>
      <c r="AC348" s="620">
        <f t="shared" si="298"/>
        <v>35.552000000000007</v>
      </c>
      <c r="AD348" s="653">
        <f t="shared" si="299"/>
        <v>7364.5985064960014</v>
      </c>
      <c r="AE348" s="650">
        <v>7000</v>
      </c>
      <c r="AF348" s="620">
        <f t="shared" si="300"/>
        <v>1.8143333333333331</v>
      </c>
      <c r="AG348" s="620">
        <v>9.6440000000000001</v>
      </c>
      <c r="AH348" s="620">
        <v>4.5170000000000003</v>
      </c>
      <c r="AI348" s="620">
        <f t="shared" si="301"/>
        <v>3.3126666666666669</v>
      </c>
      <c r="AJ348" s="620">
        <f t="shared" si="302"/>
        <v>35.263333333333335</v>
      </c>
      <c r="AK348" s="653">
        <f t="shared" si="303"/>
        <v>8002.1069502266673</v>
      </c>
      <c r="AL348" s="650">
        <v>7000</v>
      </c>
      <c r="AM348" s="620">
        <f t="shared" si="304"/>
        <v>1.9046666666666667</v>
      </c>
      <c r="AN348" s="620">
        <v>9.6440000000000001</v>
      </c>
      <c r="AO348" s="620">
        <v>4.5170000000000003</v>
      </c>
      <c r="AP348" s="620">
        <f t="shared" si="305"/>
        <v>3.2223333333333333</v>
      </c>
      <c r="AQ348" s="620">
        <f t="shared" si="306"/>
        <v>35.353666666666669</v>
      </c>
      <c r="AR348" s="698">
        <f t="shared" si="307"/>
        <v>7803.8367936526665</v>
      </c>
      <c r="AS348" s="650">
        <v>7000</v>
      </c>
      <c r="AT348" s="620">
        <f t="shared" si="308"/>
        <v>1.1613333333333331</v>
      </c>
      <c r="AU348" s="620">
        <v>9.6440000000000001</v>
      </c>
      <c r="AV348" s="620">
        <v>4.5170000000000003</v>
      </c>
      <c r="AW348" s="620">
        <f t="shared" si="309"/>
        <v>3.9656666666666665</v>
      </c>
      <c r="AX348" s="620">
        <f t="shared" si="310"/>
        <v>34.610333333333337</v>
      </c>
      <c r="AY348" s="698">
        <f t="shared" si="311"/>
        <v>9402.1081038126667</v>
      </c>
      <c r="AZ348" s="75"/>
      <c r="BA348" s="650">
        <v>7000</v>
      </c>
      <c r="BB348" s="620">
        <v>103.50685607036536</v>
      </c>
      <c r="BC348" s="720">
        <f>(BB353-BB354)/BB335</f>
        <v>0.65338666990352989</v>
      </c>
      <c r="BD348" s="714">
        <f>D348-BB351</f>
        <v>15.949999999999989</v>
      </c>
      <c r="BE348" s="693">
        <f>BB353-BB354</f>
        <v>67.63</v>
      </c>
      <c r="BF348" s="693">
        <f t="shared" si="312"/>
        <v>23.584208191630918</v>
      </c>
      <c r="BG348" s="668">
        <f t="shared" si="313"/>
        <v>15.409607252641276</v>
      </c>
      <c r="BH348" s="650">
        <v>7000</v>
      </c>
      <c r="BI348" s="620">
        <v>103.50685607036536</v>
      </c>
      <c r="BJ348" s="720">
        <f>(BI353-BI354)/BI335</f>
        <v>0.79994700972959176</v>
      </c>
      <c r="BK348" s="714">
        <f>I348-BI351</f>
        <v>19.140000000000043</v>
      </c>
      <c r="BL348" s="693">
        <f>BI353-BI354</f>
        <v>82.800000000000011</v>
      </c>
      <c r="BM348" s="693">
        <f t="shared" si="314"/>
        <v>23.115942028985557</v>
      </c>
      <c r="BN348" s="668">
        <f t="shared" si="315"/>
        <v>18.491528703169589</v>
      </c>
      <c r="BO348" s="650">
        <v>7000</v>
      </c>
      <c r="BP348" s="681">
        <v>103.50685607036536</v>
      </c>
      <c r="BQ348" s="720">
        <f>(BP353-BP354)/BP335</f>
        <v>0.70845548579071205</v>
      </c>
      <c r="BR348" s="714">
        <f>N348-BP351</f>
        <v>22.620000000000061</v>
      </c>
      <c r="BS348" s="693">
        <f>BP353-BP354</f>
        <v>73.33</v>
      </c>
      <c r="BT348" s="693">
        <f t="shared" si="316"/>
        <v>30.846856675303506</v>
      </c>
      <c r="BU348" s="668">
        <f t="shared" si="317"/>
        <v>21.853624831018614</v>
      </c>
      <c r="BV348" s="650">
        <v>7000</v>
      </c>
      <c r="BW348" s="620">
        <v>103.50685607036536</v>
      </c>
      <c r="BX348" s="720">
        <f>(BW353-BW354)/BW335</f>
        <v>1.0506550399528152</v>
      </c>
      <c r="BY348" s="714">
        <f t="shared" si="318"/>
        <v>20.930000000000007</v>
      </c>
      <c r="BZ348" s="693">
        <f>BW353-BW354</f>
        <v>108.75</v>
      </c>
      <c r="CA348" s="693">
        <f t="shared" si="319"/>
        <v>19.245977011494258</v>
      </c>
      <c r="CB348" s="668">
        <f t="shared" si="320"/>
        <v>20.220882745942461</v>
      </c>
      <c r="CC348" s="560"/>
    </row>
    <row r="349" spans="1:81" ht="15.75">
      <c r="A349" s="564"/>
      <c r="B349" s="585" t="s">
        <v>116</v>
      </c>
      <c r="C349" s="559">
        <v>9000</v>
      </c>
      <c r="D349" s="559">
        <v>369.94</v>
      </c>
      <c r="E349" s="27">
        <v>23.06</v>
      </c>
      <c r="F349" s="27">
        <v>23.07</v>
      </c>
      <c r="G349" s="94">
        <v>23.42</v>
      </c>
      <c r="H349" s="559">
        <v>9000</v>
      </c>
      <c r="I349" s="559">
        <v>387.7</v>
      </c>
      <c r="J349" s="559">
        <v>20.32</v>
      </c>
      <c r="K349" s="649">
        <v>21.35</v>
      </c>
      <c r="L349" s="588">
        <v>20.52</v>
      </c>
      <c r="M349" s="559">
        <v>9000</v>
      </c>
      <c r="N349" s="649">
        <v>383</v>
      </c>
      <c r="O349" s="559">
        <v>21.83</v>
      </c>
      <c r="P349" s="559">
        <v>21.38</v>
      </c>
      <c r="Q349" s="559">
        <v>20.399999999999999</v>
      </c>
      <c r="R349" s="559">
        <v>9000</v>
      </c>
      <c r="S349" s="649">
        <v>415.5</v>
      </c>
      <c r="T349" s="649">
        <v>15.1</v>
      </c>
      <c r="U349" s="649">
        <v>13.71</v>
      </c>
      <c r="V349" s="649">
        <v>14.8</v>
      </c>
      <c r="W349" s="5"/>
      <c r="X349" s="650">
        <v>9000</v>
      </c>
      <c r="Y349" s="651">
        <f t="shared" si="296"/>
        <v>2.3183333333333334</v>
      </c>
      <c r="Z349" s="620">
        <v>9.6440000000000001</v>
      </c>
      <c r="AA349" s="620">
        <v>4.5170000000000003</v>
      </c>
      <c r="AB349" s="620">
        <f t="shared" si="297"/>
        <v>2.8086666666666664</v>
      </c>
      <c r="AC349" s="620">
        <f t="shared" si="298"/>
        <v>35.76733333333334</v>
      </c>
      <c r="AD349" s="653">
        <f t="shared" si="299"/>
        <v>11375.721535464001</v>
      </c>
      <c r="AE349" s="650">
        <v>9000</v>
      </c>
      <c r="AF349" s="620">
        <f t="shared" si="300"/>
        <v>2.073</v>
      </c>
      <c r="AG349" s="620">
        <v>9.6440000000000001</v>
      </c>
      <c r="AH349" s="620">
        <v>4.5170000000000003</v>
      </c>
      <c r="AI349" s="620">
        <f t="shared" si="301"/>
        <v>3.0540000000000003</v>
      </c>
      <c r="AJ349" s="620">
        <f t="shared" si="302"/>
        <v>35.522000000000006</v>
      </c>
      <c r="AK349" s="653">
        <f t="shared" si="303"/>
        <v>12284.532480744001</v>
      </c>
      <c r="AL349" s="650">
        <v>9000</v>
      </c>
      <c r="AM349" s="620">
        <f t="shared" si="304"/>
        <v>2.120333333333333</v>
      </c>
      <c r="AN349" s="620">
        <v>9.6440000000000001</v>
      </c>
      <c r="AO349" s="620">
        <v>4.5170000000000003</v>
      </c>
      <c r="AP349" s="620">
        <f t="shared" si="305"/>
        <v>3.0066666666666668</v>
      </c>
      <c r="AQ349" s="620">
        <f t="shared" si="306"/>
        <v>35.56933333333334</v>
      </c>
      <c r="AR349" s="698">
        <f t="shared" si="307"/>
        <v>12110.252505120001</v>
      </c>
      <c r="AS349" s="650">
        <v>9000</v>
      </c>
      <c r="AT349" s="620">
        <f t="shared" si="308"/>
        <v>1.4536666666666667</v>
      </c>
      <c r="AU349" s="620">
        <v>9.6440000000000001</v>
      </c>
      <c r="AV349" s="620">
        <v>4.5170000000000003</v>
      </c>
      <c r="AW349" s="620">
        <f t="shared" si="309"/>
        <v>3.6733333333333329</v>
      </c>
      <c r="AX349" s="620">
        <f t="shared" si="310"/>
        <v>34.902666666666669</v>
      </c>
      <c r="AY349" s="698">
        <f t="shared" si="311"/>
        <v>14518.145337119997</v>
      </c>
      <c r="AZ349" s="75"/>
      <c r="BA349" s="650">
        <v>9000</v>
      </c>
      <c r="BB349" s="620">
        <v>103.50685607036536</v>
      </c>
      <c r="BC349" s="720">
        <f>(BB353-BB354)/BB335</f>
        <v>0.65338666990352989</v>
      </c>
      <c r="BD349" s="714">
        <f>D349-BB351</f>
        <v>14.509999999999991</v>
      </c>
      <c r="BE349" s="693">
        <f>BB353-BB354</f>
        <v>67.63</v>
      </c>
      <c r="BF349" s="693">
        <f t="shared" si="312"/>
        <v>21.454975602543239</v>
      </c>
      <c r="BG349" s="668">
        <f t="shared" si="313"/>
        <v>14.018395061807206</v>
      </c>
      <c r="BH349" s="650">
        <v>9000</v>
      </c>
      <c r="BI349" s="620">
        <v>103.50685607036536</v>
      </c>
      <c r="BJ349" s="720">
        <f>(BI353-BI354)/BI335</f>
        <v>0.79994700972959176</v>
      </c>
      <c r="BK349" s="714">
        <f>I349-BI351</f>
        <v>17.180000000000007</v>
      </c>
      <c r="BL349" s="693">
        <f>BI353-BI354</f>
        <v>82.800000000000011</v>
      </c>
      <c r="BM349" s="693">
        <f t="shared" si="314"/>
        <v>20.748792270531407</v>
      </c>
      <c r="BN349" s="668">
        <f t="shared" si="315"/>
        <v>16.597934332312064</v>
      </c>
      <c r="BO349" s="650">
        <v>9000</v>
      </c>
      <c r="BP349" s="681">
        <v>103.50685607036536</v>
      </c>
      <c r="BQ349" s="720">
        <f>(BP353-BP354)/BP335</f>
        <v>0.70845548579071205</v>
      </c>
      <c r="BR349" s="714">
        <f>N349-BP351</f>
        <v>21.460000000000036</v>
      </c>
      <c r="BS349" s="693">
        <f>BP353-BP354</f>
        <v>73.33</v>
      </c>
      <c r="BT349" s="693">
        <f t="shared" si="316"/>
        <v>29.264966589390479</v>
      </c>
      <c r="BU349" s="668">
        <f t="shared" si="317"/>
        <v>20.732926121735588</v>
      </c>
      <c r="BV349" s="650">
        <v>9000</v>
      </c>
      <c r="BW349" s="620">
        <v>103.50685607036536</v>
      </c>
      <c r="BX349" s="720">
        <f>(BW353-BW354)/BW335</f>
        <v>1.0506550399528152</v>
      </c>
      <c r="BY349" s="714">
        <f t="shared" si="318"/>
        <v>18.879999999999995</v>
      </c>
      <c r="BZ349" s="693">
        <f>BW353-BW354</f>
        <v>108.75</v>
      </c>
      <c r="CA349" s="693">
        <f t="shared" si="319"/>
        <v>17.360919540229879</v>
      </c>
      <c r="CB349" s="668">
        <f t="shared" si="320"/>
        <v>18.240337613157834</v>
      </c>
      <c r="CC349" s="560"/>
    </row>
    <row r="350" spans="1:81" ht="15.75">
      <c r="A350" s="564"/>
      <c r="B350" s="599" t="s">
        <v>116</v>
      </c>
      <c r="C350" s="605">
        <v>10000</v>
      </c>
      <c r="D350" s="605">
        <v>369.09</v>
      </c>
      <c r="E350" s="656">
        <v>24.27</v>
      </c>
      <c r="F350" s="656">
        <v>24.22</v>
      </c>
      <c r="G350" s="657">
        <v>24.31</v>
      </c>
      <c r="H350" s="605">
        <v>10000</v>
      </c>
      <c r="I350" s="605">
        <v>386.55</v>
      </c>
      <c r="J350" s="658">
        <v>21.3</v>
      </c>
      <c r="K350" s="658">
        <v>21.33</v>
      </c>
      <c r="L350" s="646">
        <v>21.52</v>
      </c>
      <c r="M350" s="605">
        <v>10000</v>
      </c>
      <c r="N350" s="649">
        <v>382.15</v>
      </c>
      <c r="O350" s="559">
        <v>22.16</v>
      </c>
      <c r="P350" s="559">
        <v>21.85</v>
      </c>
      <c r="Q350" s="559">
        <v>21.27</v>
      </c>
      <c r="R350" s="605">
        <v>10000</v>
      </c>
      <c r="S350" s="649">
        <v>414.06</v>
      </c>
      <c r="T350" s="649">
        <v>15.29</v>
      </c>
      <c r="U350" s="649">
        <v>14.92</v>
      </c>
      <c r="V350" s="649">
        <v>13.89</v>
      </c>
      <c r="W350" s="5"/>
      <c r="X350" s="660">
        <v>10000</v>
      </c>
      <c r="Y350" s="608">
        <f t="shared" si="296"/>
        <v>2.4266666666666667</v>
      </c>
      <c r="Z350" s="609">
        <v>9.6440000000000001</v>
      </c>
      <c r="AA350" s="609">
        <v>4.5170000000000003</v>
      </c>
      <c r="AB350" s="609">
        <f t="shared" si="297"/>
        <v>2.700333333333333</v>
      </c>
      <c r="AC350" s="609">
        <f t="shared" si="298"/>
        <v>35.875666666666675</v>
      </c>
      <c r="AD350" s="702">
        <f t="shared" si="299"/>
        <v>13543.300946066667</v>
      </c>
      <c r="AE350" s="660">
        <v>10000</v>
      </c>
      <c r="AF350" s="620">
        <f t="shared" si="300"/>
        <v>2.1383333333333328</v>
      </c>
      <c r="AG350" s="609">
        <v>9.6440000000000001</v>
      </c>
      <c r="AH350" s="609">
        <v>4.5170000000000003</v>
      </c>
      <c r="AI350" s="609">
        <f t="shared" si="301"/>
        <v>2.988666666666667</v>
      </c>
      <c r="AJ350" s="609">
        <f t="shared" si="302"/>
        <v>35.587333333333341</v>
      </c>
      <c r="AK350" s="702">
        <f t="shared" si="303"/>
        <v>14868.94302906667</v>
      </c>
      <c r="AL350" s="660">
        <v>10000</v>
      </c>
      <c r="AM350" s="609">
        <f t="shared" si="304"/>
        <v>2.1760000000000002</v>
      </c>
      <c r="AN350" s="609">
        <v>9.6440000000000001</v>
      </c>
      <c r="AO350" s="609">
        <v>4.5170000000000003</v>
      </c>
      <c r="AP350" s="609">
        <f t="shared" si="305"/>
        <v>2.9509999999999996</v>
      </c>
      <c r="AQ350" s="609">
        <f t="shared" si="306"/>
        <v>35.625000000000007</v>
      </c>
      <c r="AR350" s="699">
        <f t="shared" si="307"/>
        <v>14697.086625</v>
      </c>
      <c r="AS350" s="660">
        <v>10000</v>
      </c>
      <c r="AT350" s="609">
        <f t="shared" si="308"/>
        <v>1.4700000000000002</v>
      </c>
      <c r="AU350" s="609">
        <v>9.6440000000000001</v>
      </c>
      <c r="AV350" s="609">
        <v>4.5170000000000003</v>
      </c>
      <c r="AW350" s="609">
        <f t="shared" si="309"/>
        <v>3.657</v>
      </c>
      <c r="AX350" s="609">
        <f t="shared" si="310"/>
        <v>34.919000000000004</v>
      </c>
      <c r="AY350" s="699">
        <f t="shared" si="311"/>
        <v>17852.289863400001</v>
      </c>
      <c r="AZ350" s="75"/>
      <c r="BA350" s="660">
        <v>10000</v>
      </c>
      <c r="BB350" s="609">
        <v>103.50685607036536</v>
      </c>
      <c r="BC350" s="720">
        <f>(BB353-BB354)/BB335</f>
        <v>0.65338666990352989</v>
      </c>
      <c r="BD350" s="714">
        <f>D350-BB351</f>
        <v>13.659999999999968</v>
      </c>
      <c r="BE350" s="682">
        <f>BB353-BB354</f>
        <v>67.63</v>
      </c>
      <c r="BF350" s="682">
        <f t="shared" si="312"/>
        <v>20.198136921484501</v>
      </c>
      <c r="BG350" s="683">
        <f t="shared" si="313"/>
        <v>13.197193421384293</v>
      </c>
      <c r="BH350" s="660">
        <v>10000</v>
      </c>
      <c r="BI350" s="609">
        <v>103.50685607036536</v>
      </c>
      <c r="BJ350" s="720">
        <f>(BI353-BI354)/BI335</f>
        <v>0.79994700972959176</v>
      </c>
      <c r="BK350" s="714">
        <f>I350-BI351</f>
        <v>16.03000000000003</v>
      </c>
      <c r="BL350" s="682">
        <f>BI353-BI354</f>
        <v>82.800000000000011</v>
      </c>
      <c r="BM350" s="682">
        <f t="shared" si="314"/>
        <v>19.359903381642546</v>
      </c>
      <c r="BN350" s="683">
        <f t="shared" si="315"/>
        <v>15.486896818798765</v>
      </c>
      <c r="BO350" s="660">
        <v>10000</v>
      </c>
      <c r="BP350" s="684">
        <v>103.50685607036536</v>
      </c>
      <c r="BQ350" s="720">
        <f>(BP353-BP354)/BP335</f>
        <v>0.70845548579071205</v>
      </c>
      <c r="BR350" s="714">
        <f>N350-BP351</f>
        <v>20.610000000000014</v>
      </c>
      <c r="BS350" s="682">
        <f>BP353-BP354</f>
        <v>73.33</v>
      </c>
      <c r="BT350" s="682">
        <f t="shared" si="316"/>
        <v>28.105822991954199</v>
      </c>
      <c r="BU350" s="683">
        <f t="shared" si="317"/>
        <v>19.911724481312675</v>
      </c>
      <c r="BV350" s="660">
        <v>10000</v>
      </c>
      <c r="BW350" s="609">
        <v>103.50685607036536</v>
      </c>
      <c r="BX350" s="720">
        <f>(BW353-BW354)/BW335</f>
        <v>1.0506550399528152</v>
      </c>
      <c r="BY350" s="714">
        <f t="shared" si="318"/>
        <v>17.439999999999998</v>
      </c>
      <c r="BZ350" s="682">
        <f>BW353-BW354</f>
        <v>108.75</v>
      </c>
      <c r="CA350" s="682">
        <f t="shared" si="319"/>
        <v>16.036781609195401</v>
      </c>
      <c r="CB350" s="683">
        <f t="shared" si="320"/>
        <v>16.849125422323766</v>
      </c>
      <c r="CC350" s="560"/>
    </row>
    <row r="351" spans="1:81" ht="45">
      <c r="A351" s="560"/>
      <c r="B351" s="560"/>
      <c r="C351" s="559"/>
      <c r="D351" s="559"/>
      <c r="E351" s="560"/>
      <c r="F351" s="560"/>
      <c r="G351" s="560"/>
      <c r="H351" s="560"/>
      <c r="I351" s="560"/>
      <c r="J351" s="560"/>
      <c r="K351" s="560"/>
      <c r="L351" s="560"/>
      <c r="M351" s="560"/>
      <c r="N351" s="661"/>
      <c r="O351" s="559"/>
      <c r="P351" s="559"/>
      <c r="Q351" s="559"/>
      <c r="R351" s="560"/>
      <c r="S351" s="661"/>
      <c r="T351" s="560"/>
      <c r="U351" s="560"/>
      <c r="V351" s="560"/>
      <c r="X351" s="560"/>
      <c r="Y351" s="560"/>
      <c r="Z351" s="560"/>
      <c r="AA351" s="560"/>
      <c r="AB351" s="560"/>
      <c r="AC351" s="560"/>
      <c r="AD351" s="560"/>
      <c r="AE351" s="559"/>
      <c r="AF351" s="559"/>
      <c r="AG351" s="559"/>
      <c r="AH351" s="559"/>
      <c r="AI351" s="559"/>
      <c r="AJ351" s="559"/>
      <c r="AK351" s="559"/>
      <c r="AL351" s="560"/>
      <c r="AM351" s="560"/>
      <c r="AN351" s="559"/>
      <c r="AO351" s="559"/>
      <c r="AP351" s="560"/>
      <c r="AQ351" s="560"/>
      <c r="AR351" s="560"/>
      <c r="AS351" s="560"/>
      <c r="AT351" s="560"/>
      <c r="AU351" s="560"/>
      <c r="AV351" s="560"/>
      <c r="AW351" s="560"/>
      <c r="AX351" s="560"/>
      <c r="AY351" s="560"/>
      <c r="AZ351" s="791" t="s">
        <v>144</v>
      </c>
      <c r="BA351" s="709" t="s">
        <v>1047</v>
      </c>
      <c r="BB351" s="565">
        <f>BB353+BB352</f>
        <v>355.43</v>
      </c>
      <c r="BC351" s="730" t="s">
        <v>1053</v>
      </c>
      <c r="BD351" s="559"/>
      <c r="BE351" s="559"/>
      <c r="BF351" s="559"/>
      <c r="BG351" s="559"/>
      <c r="BH351" s="709" t="s">
        <v>1047</v>
      </c>
      <c r="BI351" s="565">
        <f>BI352+BI353</f>
        <v>370.52</v>
      </c>
      <c r="BJ351" s="559"/>
      <c r="BK351" s="569"/>
      <c r="BL351" s="569"/>
      <c r="BM351" s="569"/>
      <c r="BN351" s="569"/>
      <c r="BO351" s="709" t="s">
        <v>1047</v>
      </c>
      <c r="BP351" s="697">
        <f>BP352+BP353</f>
        <v>361.53999999999996</v>
      </c>
      <c r="BQ351" s="560"/>
      <c r="BR351" s="559"/>
      <c r="BS351" s="559"/>
      <c r="BT351" s="559"/>
      <c r="BU351" s="559"/>
      <c r="BV351" s="709" t="s">
        <v>1047</v>
      </c>
      <c r="BW351" s="697">
        <f>BW352+BW353</f>
        <v>396.62</v>
      </c>
      <c r="BX351" s="560"/>
      <c r="BY351" s="560"/>
      <c r="BZ351" s="560"/>
      <c r="CA351" s="560"/>
      <c r="CB351" s="560"/>
      <c r="CC351" s="560"/>
    </row>
    <row r="352" spans="1:81">
      <c r="A352" s="560"/>
      <c r="B352" s="560"/>
      <c r="C352" s="559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59"/>
      <c r="P352" s="559"/>
      <c r="Q352" s="559"/>
      <c r="R352" s="560"/>
      <c r="S352" s="560"/>
      <c r="T352" s="560"/>
      <c r="U352" s="560"/>
      <c r="V352" s="560"/>
      <c r="X352" s="560"/>
      <c r="Y352" s="560"/>
      <c r="Z352" s="560"/>
      <c r="AA352" s="560"/>
      <c r="AB352" s="560"/>
      <c r="AC352" s="560"/>
      <c r="AD352" s="560"/>
      <c r="AE352" s="559"/>
      <c r="AF352" s="559"/>
      <c r="AG352" s="559"/>
      <c r="AH352" s="559"/>
      <c r="AI352" s="559"/>
      <c r="AJ352" s="559"/>
      <c r="AK352" s="559"/>
      <c r="AL352" s="560"/>
      <c r="AM352" s="560"/>
      <c r="AN352" s="559"/>
      <c r="AO352" s="559"/>
      <c r="AP352" s="560"/>
      <c r="AQ352" s="560"/>
      <c r="AR352" s="560"/>
      <c r="AS352" s="560"/>
      <c r="AT352" s="560"/>
      <c r="AU352" s="560"/>
      <c r="AV352" s="560"/>
      <c r="AW352" s="560"/>
      <c r="AX352" s="560"/>
      <c r="AY352" s="560"/>
      <c r="AZ352" s="791"/>
      <c r="BA352" s="655" t="s">
        <v>1048</v>
      </c>
      <c r="BB352" s="569">
        <v>214.99</v>
      </c>
      <c r="BC352" s="559"/>
      <c r="BD352" s="559"/>
      <c r="BE352" s="559"/>
      <c r="BF352" s="559"/>
      <c r="BG352" s="559"/>
      <c r="BH352" s="655" t="s">
        <v>1048</v>
      </c>
      <c r="BI352" s="718">
        <v>214.9</v>
      </c>
      <c r="BJ352" s="559"/>
      <c r="BK352" s="569"/>
      <c r="BL352" s="569"/>
      <c r="BM352" s="569"/>
      <c r="BN352" s="569"/>
      <c r="BO352" s="655" t="s">
        <v>1048</v>
      </c>
      <c r="BP352" s="559">
        <v>214.79</v>
      </c>
      <c r="BQ352" s="560"/>
      <c r="BR352" s="559"/>
      <c r="BS352" s="559"/>
      <c r="BT352" s="620"/>
      <c r="BU352" s="620"/>
      <c r="BV352" s="655" t="s">
        <v>1048</v>
      </c>
      <c r="BW352" s="559">
        <v>214.53</v>
      </c>
      <c r="BX352" s="560"/>
      <c r="BY352" s="560"/>
      <c r="BZ352" s="560"/>
      <c r="CA352" s="560"/>
      <c r="CB352" s="560"/>
      <c r="CC352" s="560"/>
    </row>
    <row r="353" spans="1:81">
      <c r="A353" s="560"/>
      <c r="B353" s="560"/>
      <c r="C353" s="559"/>
      <c r="D353" s="560"/>
      <c r="E353" s="560"/>
      <c r="F353" s="560"/>
      <c r="G353" s="560"/>
      <c r="H353" s="560"/>
      <c r="I353" s="560"/>
      <c r="J353" s="560"/>
      <c r="K353" s="560"/>
      <c r="L353" s="560"/>
      <c r="M353" s="560"/>
      <c r="N353" s="560"/>
      <c r="O353" s="559"/>
      <c r="P353" s="559"/>
      <c r="Q353" s="559"/>
      <c r="R353" s="560"/>
      <c r="S353" s="560"/>
      <c r="T353" s="560"/>
      <c r="U353" s="560"/>
      <c r="V353" s="560"/>
      <c r="X353" s="560"/>
      <c r="Y353" s="560"/>
      <c r="Z353" s="560"/>
      <c r="AA353" s="560"/>
      <c r="AB353" s="560"/>
      <c r="AC353" s="560"/>
      <c r="AD353" s="560"/>
      <c r="AE353" s="559"/>
      <c r="AF353" s="559"/>
      <c r="AG353" s="559"/>
      <c r="AH353" s="559"/>
      <c r="AI353" s="559"/>
      <c r="AJ353" s="559"/>
      <c r="AK353" s="559"/>
      <c r="AL353" s="560"/>
      <c r="AM353" s="560"/>
      <c r="AN353" s="559"/>
      <c r="AO353" s="559"/>
      <c r="AP353" s="560"/>
      <c r="AQ353" s="560"/>
      <c r="AR353" s="560"/>
      <c r="AS353" s="560"/>
      <c r="AT353" s="560"/>
      <c r="AU353" s="560"/>
      <c r="AV353" s="560"/>
      <c r="AW353" s="560"/>
      <c r="AX353" s="560"/>
      <c r="AY353" s="560"/>
      <c r="AZ353" s="791"/>
      <c r="BA353" s="655" t="s">
        <v>1049</v>
      </c>
      <c r="BB353" s="565">
        <v>140.44</v>
      </c>
      <c r="BC353" s="559"/>
      <c r="BD353" s="559"/>
      <c r="BE353" s="559"/>
      <c r="BF353" s="559"/>
      <c r="BG353" s="559"/>
      <c r="BH353" s="655" t="s">
        <v>1049</v>
      </c>
      <c r="BI353" s="565">
        <v>155.62</v>
      </c>
      <c r="BJ353" s="559"/>
      <c r="BK353" s="569"/>
      <c r="BL353" s="569"/>
      <c r="BM353" s="569"/>
      <c r="BN353" s="569"/>
      <c r="BO353" s="655" t="s">
        <v>1049</v>
      </c>
      <c r="BP353" s="697">
        <v>146.75</v>
      </c>
      <c r="BQ353" s="560"/>
      <c r="BR353" s="559"/>
      <c r="BS353" s="559"/>
      <c r="BT353" s="620"/>
      <c r="BU353" s="620"/>
      <c r="BV353" s="655" t="s">
        <v>1049</v>
      </c>
      <c r="BW353" s="697">
        <v>182.09</v>
      </c>
      <c r="BX353" s="560"/>
      <c r="BY353" s="560"/>
      <c r="BZ353" s="560"/>
      <c r="CA353" s="560"/>
      <c r="CB353" s="560"/>
      <c r="CC353" s="560"/>
    </row>
    <row r="354" spans="1:81">
      <c r="A354" s="560"/>
      <c r="B354" s="560"/>
      <c r="C354" s="559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59"/>
      <c r="P354" s="559"/>
      <c r="Q354" s="559"/>
      <c r="R354" s="560"/>
      <c r="S354" s="560"/>
      <c r="T354" s="560"/>
      <c r="U354" s="560"/>
      <c r="V354" s="560"/>
      <c r="X354" s="560"/>
      <c r="Y354" s="560"/>
      <c r="Z354" s="560"/>
      <c r="AA354" s="560"/>
      <c r="AB354" s="560"/>
      <c r="AC354" s="560"/>
      <c r="AD354" s="560"/>
      <c r="AE354" s="559"/>
      <c r="AF354" s="559"/>
      <c r="AG354" s="559"/>
      <c r="AH354" s="559"/>
      <c r="AI354" s="559"/>
      <c r="AJ354" s="559"/>
      <c r="AK354" s="559"/>
      <c r="AL354" s="560"/>
      <c r="AM354" s="560"/>
      <c r="AN354" s="559"/>
      <c r="AO354" s="559"/>
      <c r="AP354" s="560"/>
      <c r="AQ354" s="560"/>
      <c r="AR354" s="560"/>
      <c r="AS354" s="560"/>
      <c r="AT354" s="560"/>
      <c r="AU354" s="560"/>
      <c r="AV354" s="560"/>
      <c r="AW354" s="560"/>
      <c r="AX354" s="560"/>
      <c r="AY354" s="560"/>
      <c r="AZ354" s="791"/>
      <c r="BA354" s="655" t="s">
        <v>1050</v>
      </c>
      <c r="BB354" s="569">
        <v>72.81</v>
      </c>
      <c r="BC354" s="559"/>
      <c r="BD354" s="560"/>
      <c r="BE354" s="560"/>
      <c r="BF354" s="560"/>
      <c r="BG354" s="560"/>
      <c r="BH354" s="655" t="s">
        <v>1050</v>
      </c>
      <c r="BI354" s="569">
        <v>72.819999999999993</v>
      </c>
      <c r="BJ354" s="559"/>
      <c r="BK354" s="560"/>
      <c r="BL354" s="560"/>
      <c r="BM354" s="560"/>
      <c r="BN354" s="560"/>
      <c r="BO354" s="655" t="s">
        <v>1050</v>
      </c>
      <c r="BP354" s="559">
        <v>73.42</v>
      </c>
      <c r="BQ354" s="560"/>
      <c r="BR354" s="560"/>
      <c r="BS354" s="560"/>
      <c r="BT354" s="560"/>
      <c r="BU354" s="560"/>
      <c r="BV354" s="655" t="s">
        <v>1050</v>
      </c>
      <c r="BW354" s="559">
        <v>73.34</v>
      </c>
      <c r="BX354" s="560"/>
      <c r="BY354" s="560"/>
      <c r="BZ354" s="560"/>
      <c r="CA354" s="560"/>
      <c r="CB354" s="560"/>
      <c r="CC354" s="560"/>
    </row>
    <row r="355" spans="1:81" ht="18.75">
      <c r="A355" s="557" t="s">
        <v>994</v>
      </c>
      <c r="B355" s="558"/>
      <c r="C355" s="639"/>
      <c r="D355" s="639"/>
      <c r="E355" s="562"/>
      <c r="F355" s="639"/>
      <c r="G355" s="560"/>
      <c r="H355" s="560"/>
      <c r="I355" s="560"/>
      <c r="J355" s="560"/>
      <c r="K355" s="560"/>
      <c r="L355" s="560"/>
      <c r="M355" s="560"/>
      <c r="N355" s="560"/>
      <c r="O355" s="559"/>
      <c r="P355" s="559"/>
      <c r="Q355" s="559"/>
      <c r="R355" s="560"/>
      <c r="S355" s="560"/>
      <c r="T355" s="560"/>
      <c r="U355" s="560"/>
      <c r="V355" s="560"/>
      <c r="X355" s="560"/>
      <c r="Y355" s="560"/>
      <c r="Z355" s="560"/>
      <c r="AA355" s="560"/>
      <c r="AB355" s="560"/>
      <c r="AC355" s="560"/>
      <c r="AD355" s="560"/>
      <c r="AE355" s="559"/>
      <c r="AF355" s="559"/>
      <c r="AG355" s="559"/>
      <c r="AH355" s="559"/>
      <c r="AI355" s="559"/>
      <c r="AJ355" s="559"/>
      <c r="AK355" s="559"/>
      <c r="AL355" s="560"/>
      <c r="AM355" s="560"/>
      <c r="AN355" s="559"/>
      <c r="AO355" s="559"/>
      <c r="AP355" s="560"/>
      <c r="AQ355" s="560"/>
      <c r="AR355" s="560"/>
      <c r="AS355" s="560"/>
      <c r="AT355" s="560"/>
      <c r="AU355" s="560"/>
      <c r="AV355" s="560"/>
      <c r="AW355" s="560"/>
      <c r="AX355" s="560"/>
      <c r="AY355" s="560"/>
      <c r="AZ355" s="526"/>
      <c r="BA355" s="560"/>
      <c r="BB355" s="560"/>
      <c r="BC355" s="559"/>
      <c r="BD355" s="560"/>
      <c r="BE355" s="560"/>
      <c r="BF355" s="560"/>
      <c r="BG355" s="560"/>
      <c r="BH355" s="560"/>
      <c r="BI355" s="560"/>
      <c r="BJ355" s="559"/>
      <c r="BK355" s="560"/>
      <c r="BL355" s="560"/>
      <c r="BM355" s="560"/>
      <c r="BN355" s="560"/>
      <c r="BO355" s="560"/>
      <c r="BP355" s="560"/>
      <c r="BQ355" s="560"/>
      <c r="BR355" s="560"/>
      <c r="BS355" s="560"/>
      <c r="BT355" s="560"/>
      <c r="BU355" s="560"/>
      <c r="BV355" s="560"/>
      <c r="BW355" s="560"/>
      <c r="BX355" s="560"/>
      <c r="BY355" s="560"/>
      <c r="BZ355" s="560"/>
      <c r="CA355" s="560"/>
      <c r="CB355" s="560"/>
      <c r="CC355" s="560"/>
    </row>
    <row r="356" spans="1:81" ht="18.75">
      <c r="A356" s="792" t="s">
        <v>995</v>
      </c>
      <c r="B356" s="792"/>
      <c r="C356" s="792"/>
      <c r="D356" s="792"/>
      <c r="E356" s="613"/>
      <c r="F356" s="613"/>
      <c r="G356" s="613"/>
      <c r="H356" s="613"/>
      <c r="I356" s="613"/>
      <c r="J356" s="613"/>
      <c r="K356" s="613"/>
      <c r="L356" s="613"/>
      <c r="M356" s="613"/>
      <c r="N356" s="613"/>
      <c r="O356" s="614"/>
      <c r="P356" s="614"/>
      <c r="Q356" s="614"/>
      <c r="R356" s="613"/>
      <c r="S356" s="613"/>
      <c r="T356" s="613"/>
      <c r="U356" s="613"/>
      <c r="V356" s="613"/>
      <c r="W356" s="90"/>
      <c r="X356" s="613"/>
      <c r="Y356" s="613"/>
      <c r="Z356" s="613"/>
      <c r="AA356" s="613"/>
      <c r="AB356" s="613"/>
      <c r="AC356" s="613"/>
      <c r="AD356" s="613"/>
      <c r="AE356" s="614"/>
      <c r="AF356" s="614"/>
      <c r="AG356" s="614"/>
      <c r="AH356" s="614"/>
      <c r="AI356" s="614"/>
      <c r="AJ356" s="614"/>
      <c r="AK356" s="614"/>
      <c r="AL356" s="613"/>
      <c r="AM356" s="613"/>
      <c r="AN356" s="614"/>
      <c r="AO356" s="614"/>
      <c r="AP356" s="613"/>
      <c r="AQ356" s="613"/>
      <c r="AR356" s="613"/>
      <c r="AS356" s="613"/>
      <c r="AT356" s="613"/>
      <c r="AU356" s="613"/>
      <c r="AV356" s="613"/>
      <c r="AW356" s="613"/>
      <c r="AX356" s="613"/>
      <c r="AY356" s="613"/>
      <c r="AZ356" s="89"/>
      <c r="BA356" s="613"/>
      <c r="BB356" s="613"/>
      <c r="BC356" s="614"/>
      <c r="BD356" s="613"/>
      <c r="BE356" s="613"/>
      <c r="BF356" s="613"/>
      <c r="BG356" s="613"/>
      <c r="BH356" s="613"/>
      <c r="BI356" s="613"/>
      <c r="BJ356" s="614"/>
      <c r="BK356" s="613"/>
      <c r="BL356" s="613"/>
      <c r="BM356" s="613"/>
      <c r="BN356" s="613"/>
      <c r="BO356" s="613"/>
      <c r="BP356" s="613"/>
      <c r="BQ356" s="613"/>
      <c r="BR356" s="613"/>
      <c r="BS356" s="613"/>
      <c r="BT356" s="613"/>
      <c r="BU356" s="613"/>
      <c r="BV356" s="613"/>
      <c r="BW356" s="613"/>
      <c r="BX356" s="613"/>
      <c r="BY356" s="613"/>
      <c r="BZ356" s="613"/>
      <c r="CA356" s="613"/>
      <c r="CB356" s="613"/>
      <c r="CC356" s="560"/>
    </row>
    <row r="357" spans="1:81">
      <c r="A357" s="560"/>
      <c r="B357" s="560"/>
      <c r="C357" s="559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59"/>
      <c r="P357" s="559"/>
      <c r="Q357" s="559"/>
      <c r="R357" s="560"/>
      <c r="S357" s="560"/>
      <c r="T357" s="560"/>
      <c r="U357" s="560"/>
      <c r="V357" s="560"/>
      <c r="X357" s="560"/>
      <c r="Y357" s="560"/>
      <c r="Z357" s="560"/>
      <c r="AA357" s="560"/>
      <c r="AB357" s="560"/>
      <c r="AC357" s="560"/>
      <c r="AD357" s="560"/>
      <c r="AE357" s="559"/>
      <c r="AF357" s="559"/>
      <c r="AG357" s="559"/>
      <c r="AH357" s="559"/>
      <c r="AI357" s="559"/>
      <c r="AJ357" s="559"/>
      <c r="AK357" s="559"/>
      <c r="AL357" s="560"/>
      <c r="AM357" s="560"/>
      <c r="AN357" s="559"/>
      <c r="AO357" s="559"/>
      <c r="AP357" s="560"/>
      <c r="AQ357" s="560"/>
      <c r="AR357" s="560"/>
      <c r="AS357" s="560"/>
      <c r="AT357" s="560"/>
      <c r="AU357" s="560"/>
      <c r="AV357" s="560"/>
      <c r="AW357" s="560"/>
      <c r="AX357" s="560"/>
      <c r="AY357" s="560"/>
      <c r="AZ357" s="526"/>
      <c r="BA357" s="560"/>
      <c r="BB357" s="560"/>
      <c r="BC357" s="559"/>
      <c r="BD357" s="560"/>
      <c r="BE357" s="560"/>
      <c r="BF357" s="560"/>
      <c r="BG357" s="560"/>
      <c r="BH357" s="560"/>
      <c r="BI357" s="560"/>
      <c r="BJ357" s="559"/>
      <c r="BK357" s="560"/>
      <c r="BL357" s="560"/>
      <c r="BM357" s="560"/>
      <c r="BN357" s="560"/>
      <c r="BO357" s="560"/>
      <c r="BP357" s="560"/>
      <c r="BQ357" s="560"/>
      <c r="BR357" s="560"/>
      <c r="BS357" s="560"/>
      <c r="BT357" s="560"/>
      <c r="BU357" s="560"/>
      <c r="BV357" s="560"/>
      <c r="BW357" s="560"/>
      <c r="BX357" s="560"/>
      <c r="BY357" s="560"/>
      <c r="BZ357" s="560"/>
      <c r="CA357" s="560"/>
      <c r="CB357" s="560"/>
      <c r="CC357" s="560"/>
    </row>
    <row r="358" spans="1:81">
      <c r="A358" s="565" t="s">
        <v>134</v>
      </c>
      <c r="B358" s="640" t="s">
        <v>124</v>
      </c>
      <c r="C358" s="641" t="s">
        <v>119</v>
      </c>
      <c r="D358" s="642" t="s">
        <v>111</v>
      </c>
      <c r="E358" s="569"/>
      <c r="F358" s="569"/>
      <c r="G358" s="570"/>
      <c r="H358" s="640" t="s">
        <v>124</v>
      </c>
      <c r="I358" s="642" t="s">
        <v>119</v>
      </c>
      <c r="J358" s="642" t="s">
        <v>111</v>
      </c>
      <c r="K358" s="569"/>
      <c r="L358" s="569"/>
      <c r="M358" s="571" t="s">
        <v>124</v>
      </c>
      <c r="N358" s="642" t="s">
        <v>119</v>
      </c>
      <c r="O358" s="641" t="s">
        <v>111</v>
      </c>
      <c r="P358" s="559"/>
      <c r="Q358" s="559"/>
      <c r="R358" s="571" t="s">
        <v>124</v>
      </c>
      <c r="S358" s="642" t="s">
        <v>119</v>
      </c>
      <c r="T358" s="642" t="s">
        <v>111</v>
      </c>
      <c r="U358" s="569"/>
      <c r="V358" s="569"/>
      <c r="W358" s="447" t="s">
        <v>133</v>
      </c>
      <c r="X358" s="571" t="s">
        <v>124</v>
      </c>
      <c r="Y358" s="642" t="s">
        <v>119</v>
      </c>
      <c r="Z358" s="642" t="s">
        <v>111</v>
      </c>
      <c r="AA358" s="569"/>
      <c r="AB358" s="569"/>
      <c r="AC358" s="569"/>
      <c r="AD358" s="570"/>
      <c r="AE358" s="640" t="s">
        <v>124</v>
      </c>
      <c r="AF358" s="642" t="s">
        <v>119</v>
      </c>
      <c r="AG358" s="642" t="s">
        <v>111</v>
      </c>
      <c r="AH358" s="569"/>
      <c r="AI358" s="569"/>
      <c r="AJ358" s="569"/>
      <c r="AK358" s="570"/>
      <c r="AL358" s="571" t="s">
        <v>124</v>
      </c>
      <c r="AM358" s="642" t="s">
        <v>119</v>
      </c>
      <c r="AN358" s="642" t="s">
        <v>111</v>
      </c>
      <c r="AO358" s="569"/>
      <c r="AP358" s="569"/>
      <c r="AQ358" s="569"/>
      <c r="AR358" s="700"/>
      <c r="AS358" s="571" t="s">
        <v>124</v>
      </c>
      <c r="AT358" s="642" t="s">
        <v>119</v>
      </c>
      <c r="AU358" s="642" t="s">
        <v>111</v>
      </c>
      <c r="AV358" s="569"/>
      <c r="AW358" s="569"/>
      <c r="AX358" s="569"/>
      <c r="AY358" s="700"/>
      <c r="AZ358" s="447" t="s">
        <v>141</v>
      </c>
      <c r="BA358" s="640" t="s">
        <v>124</v>
      </c>
      <c r="BB358" s="642" t="s">
        <v>119</v>
      </c>
      <c r="BC358" s="642" t="s">
        <v>111</v>
      </c>
      <c r="BD358" s="569"/>
      <c r="BE358" s="569"/>
      <c r="BF358" s="569"/>
      <c r="BG358" s="569"/>
      <c r="BH358" s="640" t="s">
        <v>124</v>
      </c>
      <c r="BI358" s="641" t="s">
        <v>119</v>
      </c>
      <c r="BJ358" s="641" t="s">
        <v>111</v>
      </c>
      <c r="BK358" s="569"/>
      <c r="BL358" s="569"/>
      <c r="BM358" s="569"/>
      <c r="BN358" s="569"/>
      <c r="BO358" s="571" t="s">
        <v>124</v>
      </c>
      <c r="BP358" s="642" t="s">
        <v>119</v>
      </c>
      <c r="BQ358" s="642" t="s">
        <v>111</v>
      </c>
      <c r="BR358" s="560"/>
      <c r="BS358" s="569"/>
      <c r="BT358" s="569"/>
      <c r="BU358" s="569"/>
      <c r="BV358" s="672" t="s">
        <v>124</v>
      </c>
      <c r="BW358" s="641" t="s">
        <v>119</v>
      </c>
      <c r="BX358" s="641" t="s">
        <v>111</v>
      </c>
      <c r="BY358" s="559"/>
      <c r="BZ358" s="559"/>
      <c r="CA358" s="559"/>
      <c r="CB358" s="570"/>
      <c r="CC358" s="560"/>
    </row>
    <row r="359" spans="1:81">
      <c r="A359" s="565"/>
      <c r="B359" s="572"/>
      <c r="C359" s="573" t="s">
        <v>163</v>
      </c>
      <c r="D359" s="574" t="s">
        <v>112</v>
      </c>
      <c r="E359" s="569"/>
      <c r="F359" s="569"/>
      <c r="G359" s="570"/>
      <c r="H359" s="572"/>
      <c r="I359" s="573" t="s">
        <v>163</v>
      </c>
      <c r="J359" s="643" t="s">
        <v>114</v>
      </c>
      <c r="K359" s="569"/>
      <c r="L359" s="569"/>
      <c r="M359" s="572"/>
      <c r="N359" s="573" t="s">
        <v>39</v>
      </c>
      <c r="O359" s="645" t="s">
        <v>4</v>
      </c>
      <c r="P359" s="559"/>
      <c r="Q359" s="559"/>
      <c r="R359" s="572"/>
      <c r="S359" s="573" t="s">
        <v>39</v>
      </c>
      <c r="T359" s="643" t="s">
        <v>114</v>
      </c>
      <c r="U359" s="801"/>
      <c r="V359" s="801"/>
      <c r="W359" s="80"/>
      <c r="X359" s="572"/>
      <c r="Y359" s="573" t="s">
        <v>163</v>
      </c>
      <c r="Z359" s="574" t="s">
        <v>112</v>
      </c>
      <c r="AA359" s="569"/>
      <c r="AB359" s="569"/>
      <c r="AC359" s="569"/>
      <c r="AD359" s="570"/>
      <c r="AE359" s="572"/>
      <c r="AF359" s="573" t="s">
        <v>163</v>
      </c>
      <c r="AG359" s="643" t="s">
        <v>114</v>
      </c>
      <c r="AH359" s="569"/>
      <c r="AI359" s="569"/>
      <c r="AJ359" s="569"/>
      <c r="AK359" s="570"/>
      <c r="AL359" s="572"/>
      <c r="AM359" s="573" t="s">
        <v>39</v>
      </c>
      <c r="AN359" s="645" t="s">
        <v>4</v>
      </c>
      <c r="AO359" s="569"/>
      <c r="AP359" s="569"/>
      <c r="AQ359" s="569"/>
      <c r="AR359" s="700"/>
      <c r="AS359" s="572"/>
      <c r="AT359" s="573" t="s">
        <v>39</v>
      </c>
      <c r="AU359" s="643" t="s">
        <v>114</v>
      </c>
      <c r="AV359" s="795"/>
      <c r="AW359" s="795"/>
      <c r="AX359" s="569"/>
      <c r="AY359" s="700"/>
      <c r="AZ359" s="80"/>
      <c r="BA359" s="572"/>
      <c r="BB359" s="573" t="s">
        <v>163</v>
      </c>
      <c r="BC359" s="574" t="s">
        <v>112</v>
      </c>
      <c r="BD359" s="569"/>
      <c r="BE359" s="569"/>
      <c r="BF359" s="569"/>
      <c r="BG359" s="570"/>
      <c r="BH359" s="572"/>
      <c r="BI359" s="573" t="s">
        <v>163</v>
      </c>
      <c r="BJ359" s="643" t="s">
        <v>114</v>
      </c>
      <c r="BK359" s="569"/>
      <c r="BL359" s="569"/>
      <c r="BM359" s="569"/>
      <c r="BN359" s="570"/>
      <c r="BO359" s="572"/>
      <c r="BP359" s="573" t="s">
        <v>39</v>
      </c>
      <c r="BQ359" s="645" t="s">
        <v>4</v>
      </c>
      <c r="BR359" s="569"/>
      <c r="BS359" s="569"/>
      <c r="BT359" s="569"/>
      <c r="BU359" s="700"/>
      <c r="BV359" s="572"/>
      <c r="BW359" s="573" t="s">
        <v>39</v>
      </c>
      <c r="BX359" s="643" t="s">
        <v>114</v>
      </c>
      <c r="BY359" s="795"/>
      <c r="BZ359" s="795"/>
      <c r="CA359" s="569"/>
      <c r="CB359" s="700"/>
      <c r="CC359" s="560"/>
    </row>
    <row r="360" spans="1:81" ht="63">
      <c r="A360" s="564"/>
      <c r="B360" s="579" t="s">
        <v>122</v>
      </c>
      <c r="C360" s="580" t="s">
        <v>121</v>
      </c>
      <c r="D360" s="581" t="s">
        <v>125</v>
      </c>
      <c r="E360" s="796" t="s">
        <v>1013</v>
      </c>
      <c r="F360" s="796"/>
      <c r="G360" s="797"/>
      <c r="H360" s="582" t="s">
        <v>121</v>
      </c>
      <c r="I360" s="581" t="s">
        <v>125</v>
      </c>
      <c r="J360" s="796" t="s">
        <v>1013</v>
      </c>
      <c r="K360" s="796"/>
      <c r="L360" s="797"/>
      <c r="M360" s="582" t="s">
        <v>121</v>
      </c>
      <c r="N360" s="581" t="s">
        <v>125</v>
      </c>
      <c r="O360" s="796" t="s">
        <v>1013</v>
      </c>
      <c r="P360" s="796"/>
      <c r="Q360" s="797"/>
      <c r="R360" s="582" t="s">
        <v>121</v>
      </c>
      <c r="S360" s="581" t="s">
        <v>125</v>
      </c>
      <c r="T360" s="796" t="s">
        <v>1013</v>
      </c>
      <c r="U360" s="796"/>
      <c r="V360" s="797"/>
      <c r="W360" s="5"/>
      <c r="X360" s="582" t="s">
        <v>121</v>
      </c>
      <c r="Y360" s="584" t="s">
        <v>126</v>
      </c>
      <c r="Z360" s="583" t="s">
        <v>127</v>
      </c>
      <c r="AA360" s="583" t="s">
        <v>128</v>
      </c>
      <c r="AB360" s="583" t="s">
        <v>129</v>
      </c>
      <c r="AC360" s="583" t="s">
        <v>130</v>
      </c>
      <c r="AD360" s="701" t="s">
        <v>131</v>
      </c>
      <c r="AE360" s="582" t="s">
        <v>121</v>
      </c>
      <c r="AF360" s="583" t="s">
        <v>126</v>
      </c>
      <c r="AG360" s="583" t="s">
        <v>127</v>
      </c>
      <c r="AH360" s="583" t="s">
        <v>128</v>
      </c>
      <c r="AI360" s="583" t="s">
        <v>129</v>
      </c>
      <c r="AJ360" s="583" t="s">
        <v>130</v>
      </c>
      <c r="AK360" s="701" t="s">
        <v>131</v>
      </c>
      <c r="AL360" s="582" t="s">
        <v>121</v>
      </c>
      <c r="AM360" s="583" t="s">
        <v>126</v>
      </c>
      <c r="AN360" s="583" t="s">
        <v>127</v>
      </c>
      <c r="AO360" s="583" t="s">
        <v>128</v>
      </c>
      <c r="AP360" s="583" t="s">
        <v>129</v>
      </c>
      <c r="AQ360" s="583" t="s">
        <v>130</v>
      </c>
      <c r="AR360" s="696" t="s">
        <v>131</v>
      </c>
      <c r="AS360" s="582" t="s">
        <v>121</v>
      </c>
      <c r="AT360" s="583" t="s">
        <v>126</v>
      </c>
      <c r="AU360" s="695" t="s">
        <v>127</v>
      </c>
      <c r="AV360" s="695" t="s">
        <v>128</v>
      </c>
      <c r="AW360" s="583" t="s">
        <v>129</v>
      </c>
      <c r="AX360" s="583" t="s">
        <v>130</v>
      </c>
      <c r="AY360" s="696" t="s">
        <v>131</v>
      </c>
      <c r="AZ360" s="75"/>
      <c r="BA360" s="648" t="s">
        <v>121</v>
      </c>
      <c r="BB360" s="583" t="s">
        <v>143</v>
      </c>
      <c r="BC360" s="583" t="s">
        <v>888</v>
      </c>
      <c r="BD360" s="583" t="s">
        <v>1045</v>
      </c>
      <c r="BE360" s="583" t="s">
        <v>1044</v>
      </c>
      <c r="BF360" s="666" t="s">
        <v>1051</v>
      </c>
      <c r="BG360" s="666" t="s">
        <v>1052</v>
      </c>
      <c r="BH360" s="648" t="s">
        <v>121</v>
      </c>
      <c r="BI360" s="583" t="s">
        <v>143</v>
      </c>
      <c r="BJ360" s="583" t="s">
        <v>888</v>
      </c>
      <c r="BK360" s="583" t="s">
        <v>1045</v>
      </c>
      <c r="BL360" s="583" t="s">
        <v>1044</v>
      </c>
      <c r="BM360" s="666" t="s">
        <v>1051</v>
      </c>
      <c r="BN360" s="666" t="s">
        <v>1052</v>
      </c>
      <c r="BO360" s="648" t="s">
        <v>121</v>
      </c>
      <c r="BP360" s="583" t="s">
        <v>143</v>
      </c>
      <c r="BQ360" s="583" t="s">
        <v>888</v>
      </c>
      <c r="BR360" s="583" t="s">
        <v>1045</v>
      </c>
      <c r="BS360" s="583" t="s">
        <v>1044</v>
      </c>
      <c r="BT360" s="666" t="s">
        <v>1051</v>
      </c>
      <c r="BU360" s="666" t="s">
        <v>1052</v>
      </c>
      <c r="BV360" s="648" t="s">
        <v>121</v>
      </c>
      <c r="BW360" s="583" t="s">
        <v>143</v>
      </c>
      <c r="BX360" s="583" t="s">
        <v>888</v>
      </c>
      <c r="BY360" s="583" t="s">
        <v>1045</v>
      </c>
      <c r="BZ360" s="583" t="s">
        <v>1044</v>
      </c>
      <c r="CA360" s="666" t="s">
        <v>1051</v>
      </c>
      <c r="CB360" s="666" t="s">
        <v>1052</v>
      </c>
      <c r="CC360" s="560"/>
    </row>
    <row r="361" spans="1:81" ht="15.75">
      <c r="A361" s="564"/>
      <c r="B361" s="585" t="s">
        <v>120</v>
      </c>
      <c r="C361" s="559">
        <v>0</v>
      </c>
      <c r="D361" s="612">
        <v>420.12</v>
      </c>
      <c r="E361" s="27">
        <v>3.23</v>
      </c>
      <c r="F361" s="27">
        <v>3.7</v>
      </c>
      <c r="G361" s="94">
        <v>2.63</v>
      </c>
      <c r="H361" s="559">
        <v>0</v>
      </c>
      <c r="I361" s="612">
        <v>436</v>
      </c>
      <c r="J361" s="27">
        <v>0</v>
      </c>
      <c r="K361" s="258">
        <v>0</v>
      </c>
      <c r="L361" s="94">
        <v>0</v>
      </c>
      <c r="M361" s="559">
        <v>0</v>
      </c>
      <c r="N361" s="649">
        <v>416.63</v>
      </c>
      <c r="O361" s="27">
        <v>5.66</v>
      </c>
      <c r="P361" s="258">
        <v>6.49</v>
      </c>
      <c r="Q361" s="94">
        <v>7.13</v>
      </c>
      <c r="R361" s="559">
        <v>0</v>
      </c>
      <c r="S361" s="649">
        <v>436.77</v>
      </c>
      <c r="T361" s="27">
        <v>0</v>
      </c>
      <c r="U361" s="258">
        <v>0</v>
      </c>
      <c r="V361" s="94">
        <v>0</v>
      </c>
      <c r="W361" s="5"/>
      <c r="X361" s="650">
        <v>0</v>
      </c>
      <c r="Y361" s="651">
        <f t="shared" ref="Y361:Y376" si="321">AVERAGE(E361:G361)/10</f>
        <v>0.3186666666666666</v>
      </c>
      <c r="Z361" s="620">
        <v>9.6440000000000001</v>
      </c>
      <c r="AA361" s="620">
        <v>4.5170000000000003</v>
      </c>
      <c r="AB361" s="620">
        <f t="shared" ref="AB361:AB376" si="322">Z361-(AA361+Y361)</f>
        <v>4.8083333333333336</v>
      </c>
      <c r="AC361" s="620">
        <f t="shared" ref="AC361:AC376" si="323">3*Z361+AA361+Y361</f>
        <v>33.76766666666667</v>
      </c>
      <c r="AD361" s="653">
        <f t="shared" ref="AD361:AD376" si="324">1.398*(10^-6)*(X361^2)*AB361*AC361</f>
        <v>0</v>
      </c>
      <c r="AE361" s="650">
        <v>0</v>
      </c>
      <c r="AF361" s="620">
        <f t="shared" ref="AF361:AF376" si="325">AVERAGE(J361:L361)/10</f>
        <v>0</v>
      </c>
      <c r="AG361" s="620">
        <v>9.6440000000000001</v>
      </c>
      <c r="AH361" s="620">
        <v>4.5170000000000003</v>
      </c>
      <c r="AI361" s="620">
        <f t="shared" ref="AI361:AI376" si="326">AG361-(AH361+AF361)</f>
        <v>5.1269999999999998</v>
      </c>
      <c r="AJ361" s="620">
        <f t="shared" ref="AJ361:AJ376" si="327">3*AG361+AH361+AF361</f>
        <v>33.449000000000005</v>
      </c>
      <c r="AK361" s="653">
        <f t="shared" ref="AK361:AK376" si="328">1.398*(10^-6)*(AE361^2)*AI361*AJ361</f>
        <v>0</v>
      </c>
      <c r="AL361" s="650">
        <v>0</v>
      </c>
      <c r="AM361" s="620">
        <f t="shared" ref="AM361:AM376" si="329">AVERAGE(O361:Q361)/10</f>
        <v>0.64266666666666672</v>
      </c>
      <c r="AN361" s="620">
        <v>9.6440000000000001</v>
      </c>
      <c r="AO361" s="620">
        <v>4.5170000000000003</v>
      </c>
      <c r="AP361" s="620">
        <f t="shared" ref="AP361:AP376" si="330">AN361-(AO361+AM361)</f>
        <v>4.4843333333333328</v>
      </c>
      <c r="AQ361" s="620">
        <f t="shared" ref="AQ361:AQ376" si="331">3*AN361+AO361+AM361</f>
        <v>34.091666666666669</v>
      </c>
      <c r="AR361" s="698">
        <f t="shared" ref="AR361:AR376" si="332">1.398*(10^-6)*(AL361^2)*AP361*AQ361</f>
        <v>0</v>
      </c>
      <c r="AS361" s="650">
        <v>0</v>
      </c>
      <c r="AT361" s="620">
        <f t="shared" ref="AT361:AT376" si="333">AVERAGE(T361:V361)/10</f>
        <v>0</v>
      </c>
      <c r="AU361" s="620">
        <v>9.6440000000000001</v>
      </c>
      <c r="AV361" s="620">
        <v>4.5170000000000003</v>
      </c>
      <c r="AW361" s="620">
        <f t="shared" ref="AW361:AW376" si="334">AU361-(AV361+AT361)</f>
        <v>5.1269999999999998</v>
      </c>
      <c r="AX361" s="620">
        <f t="shared" ref="AX361:AX376" si="335">3*AU361+AV361+AT361</f>
        <v>33.449000000000005</v>
      </c>
      <c r="AY361" s="698">
        <f t="shared" ref="AY361:AY376" si="336">1.398*(10^-6)*(AS361^2)*AW361*AX361</f>
        <v>0</v>
      </c>
      <c r="AZ361" s="75"/>
      <c r="BA361" s="650">
        <v>0</v>
      </c>
      <c r="BB361" s="620">
        <v>103.50685607036536</v>
      </c>
      <c r="BC361" s="720">
        <f>(BB379-BB380)/BB361</f>
        <v>0.79028581395991038</v>
      </c>
      <c r="BD361" s="714">
        <f>D361-BB377</f>
        <v>50.759999999999991</v>
      </c>
      <c r="BE361" s="693">
        <f>BB379-BB380</f>
        <v>81.799999999999983</v>
      </c>
      <c r="BF361" s="693">
        <f t="shared" ref="BF361:BF376" si="337">BD361/BE361*100</f>
        <v>62.053789731051346</v>
      </c>
      <c r="BG361" s="668">
        <f t="shared" ref="BG361:BG376" si="338">BF361*BC361</f>
        <v>49.040229726901039</v>
      </c>
      <c r="BH361" s="650">
        <v>0</v>
      </c>
      <c r="BI361" s="620">
        <v>103.50685607036536</v>
      </c>
      <c r="BJ361" s="720">
        <f>(BI379-BI380)/BI361</f>
        <v>0.94447849844402043</v>
      </c>
      <c r="BK361" s="714">
        <f>I361-BI377</f>
        <v>50.240000000000009</v>
      </c>
      <c r="BL361" s="693">
        <f>BI379-BI380</f>
        <v>97.760000000000019</v>
      </c>
      <c r="BM361" s="693">
        <f t="shared" ref="BM361:BM376" si="339">BK361/BL361*100</f>
        <v>51.391162029459906</v>
      </c>
      <c r="BN361" s="668">
        <f t="shared" ref="BN361:BN376" si="340">BM361*BJ361</f>
        <v>48.53784754687765</v>
      </c>
      <c r="BO361" s="650">
        <v>0</v>
      </c>
      <c r="BP361" s="681">
        <v>103.50685607036536</v>
      </c>
      <c r="BQ361" s="720">
        <f>(BP379-BP380)/BP361</f>
        <v>0.77212276591291018</v>
      </c>
      <c r="BR361" s="714">
        <f>N361-BP377</f>
        <v>49.06</v>
      </c>
      <c r="BS361" s="693">
        <f>BP379-BP380</f>
        <v>79.92</v>
      </c>
      <c r="BT361" s="693">
        <f t="shared" ref="BT361:BT376" si="341">BR361/BS361*100</f>
        <v>61.386386386386391</v>
      </c>
      <c r="BU361" s="668">
        <f t="shared" ref="BU361:BU376" si="342">BT361*BQ361</f>
        <v>47.397826446055277</v>
      </c>
      <c r="BV361" s="650">
        <v>0</v>
      </c>
      <c r="BW361" s="620">
        <v>103.50685607036536</v>
      </c>
      <c r="BX361" s="720">
        <f>(BW379-BW380)/BW361</f>
        <v>0.97694011623014865</v>
      </c>
      <c r="BY361" s="714">
        <f>S361-BW377</f>
        <v>48.370000000000005</v>
      </c>
      <c r="BZ361" s="693">
        <f>BW379-BW380</f>
        <v>101.12</v>
      </c>
      <c r="CA361" s="693">
        <f t="shared" ref="CA361:CA376" si="343">BY361/BZ361*100</f>
        <v>47.834256329113927</v>
      </c>
      <c r="CB361" s="668">
        <f t="shared" ref="CB361:CB376" si="344">CA361*BX361</f>
        <v>46.731203937947285</v>
      </c>
      <c r="CC361" s="560"/>
    </row>
    <row r="362" spans="1:81" ht="15.75">
      <c r="A362" s="564"/>
      <c r="B362" s="585" t="s">
        <v>116</v>
      </c>
      <c r="C362" s="559">
        <v>300</v>
      </c>
      <c r="D362" s="612">
        <v>410.34</v>
      </c>
      <c r="E362" s="27">
        <v>5.16</v>
      </c>
      <c r="F362" s="27">
        <v>5.41</v>
      </c>
      <c r="G362" s="94">
        <v>4.71</v>
      </c>
      <c r="H362" s="559">
        <v>300</v>
      </c>
      <c r="I362" s="559">
        <v>432.4</v>
      </c>
      <c r="J362" s="27">
        <v>1.27</v>
      </c>
      <c r="K362" s="258">
        <v>1.57</v>
      </c>
      <c r="L362" s="94">
        <v>1.19</v>
      </c>
      <c r="M362" s="559">
        <v>300</v>
      </c>
      <c r="N362" s="649">
        <v>405.35</v>
      </c>
      <c r="O362" s="27">
        <v>8.89</v>
      </c>
      <c r="P362" s="27">
        <v>8.4499999999999993</v>
      </c>
      <c r="Q362" s="559">
        <v>7.81</v>
      </c>
      <c r="R362" s="559">
        <v>300</v>
      </c>
      <c r="S362" s="649">
        <v>436.77</v>
      </c>
      <c r="T362" s="27">
        <v>0</v>
      </c>
      <c r="U362" s="258">
        <v>0</v>
      </c>
      <c r="V362" s="94">
        <v>0</v>
      </c>
      <c r="W362" s="5"/>
      <c r="X362" s="650">
        <v>300</v>
      </c>
      <c r="Y362" s="651">
        <f t="shared" si="321"/>
        <v>0.50933333333333342</v>
      </c>
      <c r="Z362" s="620">
        <v>9.6440000000000001</v>
      </c>
      <c r="AA362" s="620">
        <v>4.5170000000000003</v>
      </c>
      <c r="AB362" s="620">
        <f t="shared" si="322"/>
        <v>4.6176666666666666</v>
      </c>
      <c r="AC362" s="620">
        <f t="shared" si="323"/>
        <v>33.958333333333336</v>
      </c>
      <c r="AD362" s="653">
        <f t="shared" si="324"/>
        <v>19.7296157625</v>
      </c>
      <c r="AE362" s="650">
        <v>300</v>
      </c>
      <c r="AF362" s="620">
        <f t="shared" si="325"/>
        <v>0.1343333333333333</v>
      </c>
      <c r="AG362" s="620">
        <v>9.6440000000000001</v>
      </c>
      <c r="AH362" s="620">
        <v>4.5170000000000003</v>
      </c>
      <c r="AI362" s="620">
        <f t="shared" si="326"/>
        <v>4.9926666666666666</v>
      </c>
      <c r="AJ362" s="620">
        <f t="shared" si="327"/>
        <v>33.583333333333336</v>
      </c>
      <c r="AK362" s="653">
        <f t="shared" si="328"/>
        <v>21.09628833</v>
      </c>
      <c r="AL362" s="650">
        <v>300</v>
      </c>
      <c r="AM362" s="620">
        <f t="shared" si="329"/>
        <v>0.83833333333333326</v>
      </c>
      <c r="AN362" s="620">
        <v>9.6440000000000001</v>
      </c>
      <c r="AO362" s="620">
        <v>4.5170000000000003</v>
      </c>
      <c r="AP362" s="620">
        <f t="shared" si="330"/>
        <v>4.2886666666666668</v>
      </c>
      <c r="AQ362" s="620">
        <f t="shared" si="331"/>
        <v>34.287333333333336</v>
      </c>
      <c r="AR362" s="698">
        <f t="shared" si="332"/>
        <v>18.501446438159999</v>
      </c>
      <c r="AS362" s="650">
        <v>300</v>
      </c>
      <c r="AT362" s="620">
        <f t="shared" si="333"/>
        <v>0</v>
      </c>
      <c r="AU362" s="620">
        <v>9.6440000000000001</v>
      </c>
      <c r="AV362" s="620">
        <v>4.5170000000000003</v>
      </c>
      <c r="AW362" s="620">
        <f t="shared" si="334"/>
        <v>5.1269999999999998</v>
      </c>
      <c r="AX362" s="620">
        <f t="shared" si="335"/>
        <v>33.449000000000005</v>
      </c>
      <c r="AY362" s="698">
        <f t="shared" si="336"/>
        <v>21.577252153859998</v>
      </c>
      <c r="AZ362" s="75"/>
      <c r="BA362" s="650">
        <v>300</v>
      </c>
      <c r="BB362" s="620">
        <v>103.50685607036536</v>
      </c>
      <c r="BC362" s="720">
        <f>(BB379-BB380)/BB361</f>
        <v>0.79028581395991038</v>
      </c>
      <c r="BD362" s="714">
        <f>D362-BB377</f>
        <v>40.979999999999961</v>
      </c>
      <c r="BE362" s="693">
        <f>BB379-BB380</f>
        <v>81.799999999999983</v>
      </c>
      <c r="BF362" s="693">
        <f t="shared" si="337"/>
        <v>50.097799511002407</v>
      </c>
      <c r="BG362" s="668">
        <f t="shared" si="338"/>
        <v>39.591580264152938</v>
      </c>
      <c r="BH362" s="650">
        <v>300</v>
      </c>
      <c r="BI362" s="620">
        <v>103.50685607036536</v>
      </c>
      <c r="BJ362" s="720">
        <f>(BI379-BI380)/BI361</f>
        <v>0.94447849844402043</v>
      </c>
      <c r="BK362" s="714">
        <f>I362-BI377</f>
        <v>46.639999999999986</v>
      </c>
      <c r="BL362" s="693">
        <f>BI379-BI380</f>
        <v>97.760000000000019</v>
      </c>
      <c r="BM362" s="693">
        <f t="shared" si="339"/>
        <v>47.708674304418963</v>
      </c>
      <c r="BN362" s="668">
        <f t="shared" si="340"/>
        <v>45.059817069792444</v>
      </c>
      <c r="BO362" s="650">
        <v>300</v>
      </c>
      <c r="BP362" s="681">
        <v>103.50685607036536</v>
      </c>
      <c r="BQ362" s="720">
        <f>(BP379-BP380)/BP361</f>
        <v>0.77212276591291018</v>
      </c>
      <c r="BR362" s="714">
        <f>N362-BP377</f>
        <v>37.78000000000003</v>
      </c>
      <c r="BS362" s="693">
        <f>BP379-BP380</f>
        <v>79.92</v>
      </c>
      <c r="BT362" s="693">
        <f t="shared" si="341"/>
        <v>47.272272272272311</v>
      </c>
      <c r="BU362" s="668">
        <f t="shared" si="342"/>
        <v>36.499997617855065</v>
      </c>
      <c r="BV362" s="650">
        <v>300</v>
      </c>
      <c r="BW362" s="620">
        <v>103.50685607036536</v>
      </c>
      <c r="BX362" s="720">
        <f>(BW379-BW380)/BW361</f>
        <v>0.97694011623014865</v>
      </c>
      <c r="BY362" s="714">
        <f>S362-BW377</f>
        <v>48.370000000000005</v>
      </c>
      <c r="BZ362" s="693">
        <f>BW379-BW380</f>
        <v>101.12</v>
      </c>
      <c r="CA362" s="693">
        <f t="shared" si="343"/>
        <v>47.834256329113927</v>
      </c>
      <c r="CB362" s="668">
        <f t="shared" si="344"/>
        <v>46.731203937947285</v>
      </c>
      <c r="CC362" s="560"/>
    </row>
    <row r="363" spans="1:81" ht="15.75">
      <c r="A363" s="564"/>
      <c r="B363" s="585" t="s">
        <v>116</v>
      </c>
      <c r="C363" s="559">
        <v>350</v>
      </c>
      <c r="D363" s="559">
        <v>408.18</v>
      </c>
      <c r="E363" s="652">
        <v>4.96</v>
      </c>
      <c r="F363" s="652">
        <v>4.6100000000000003</v>
      </c>
      <c r="G363" s="653">
        <v>4.91</v>
      </c>
      <c r="H363" s="559">
        <v>350</v>
      </c>
      <c r="I363" s="559">
        <v>430.59</v>
      </c>
      <c r="J363" s="27">
        <v>1.75</v>
      </c>
      <c r="K363" s="260">
        <v>1.44</v>
      </c>
      <c r="L363" s="548">
        <v>2.19</v>
      </c>
      <c r="M363" s="559">
        <v>350</v>
      </c>
      <c r="N363" s="649">
        <v>403.54</v>
      </c>
      <c r="O363" s="27">
        <v>8.09</v>
      </c>
      <c r="P363" s="27">
        <v>8.6300000000000008</v>
      </c>
      <c r="Q363" s="559">
        <v>9.2899999999999991</v>
      </c>
      <c r="R363" s="559">
        <v>350</v>
      </c>
      <c r="S363" s="649">
        <v>436.76</v>
      </c>
      <c r="T363" s="260">
        <v>0</v>
      </c>
      <c r="U363" s="260">
        <v>0</v>
      </c>
      <c r="V363" s="649">
        <v>0</v>
      </c>
      <c r="W363" s="5"/>
      <c r="X363" s="650">
        <v>350</v>
      </c>
      <c r="Y363" s="651">
        <f t="shared" si="321"/>
        <v>0.48266666666666669</v>
      </c>
      <c r="Z363" s="620">
        <v>9.6440000000000001</v>
      </c>
      <c r="AA363" s="620">
        <v>4.5170000000000003</v>
      </c>
      <c r="AB363" s="620">
        <f t="shared" si="322"/>
        <v>4.644333333333333</v>
      </c>
      <c r="AC363" s="620">
        <f t="shared" si="323"/>
        <v>33.931666666666672</v>
      </c>
      <c r="AD363" s="653">
        <f t="shared" si="324"/>
        <v>26.988070407491666</v>
      </c>
      <c r="AE363" s="650">
        <v>350</v>
      </c>
      <c r="AF363" s="620">
        <f t="shared" si="325"/>
        <v>0.17933333333333332</v>
      </c>
      <c r="AG363" s="620">
        <v>9.6440000000000001</v>
      </c>
      <c r="AH363" s="620">
        <v>4.5170000000000003</v>
      </c>
      <c r="AI363" s="620">
        <f t="shared" si="326"/>
        <v>4.9476666666666667</v>
      </c>
      <c r="AJ363" s="620">
        <f t="shared" si="327"/>
        <v>33.628333333333337</v>
      </c>
      <c r="AK363" s="653">
        <f t="shared" si="328"/>
        <v>28.493712399891667</v>
      </c>
      <c r="AL363" s="650">
        <v>350</v>
      </c>
      <c r="AM363" s="620">
        <f t="shared" si="329"/>
        <v>0.86699999999999999</v>
      </c>
      <c r="AN363" s="620">
        <v>9.6440000000000001</v>
      </c>
      <c r="AO363" s="620">
        <v>4.5170000000000003</v>
      </c>
      <c r="AP363" s="620">
        <f t="shared" si="330"/>
        <v>4.26</v>
      </c>
      <c r="AQ363" s="620">
        <f t="shared" si="331"/>
        <v>34.316000000000003</v>
      </c>
      <c r="AR363" s="698">
        <f t="shared" si="332"/>
        <v>25.035110830799994</v>
      </c>
      <c r="AS363" s="650">
        <v>350</v>
      </c>
      <c r="AT363" s="620">
        <f t="shared" si="333"/>
        <v>0</v>
      </c>
      <c r="AU363" s="620">
        <v>9.6440000000000001</v>
      </c>
      <c r="AV363" s="620">
        <v>4.5170000000000003</v>
      </c>
      <c r="AW363" s="620">
        <f t="shared" si="334"/>
        <v>5.1269999999999998</v>
      </c>
      <c r="AX363" s="620">
        <f t="shared" si="335"/>
        <v>33.449000000000005</v>
      </c>
      <c r="AY363" s="698">
        <f t="shared" si="336"/>
        <v>29.369037653864996</v>
      </c>
      <c r="AZ363" s="75"/>
      <c r="BA363" s="650">
        <v>350</v>
      </c>
      <c r="BB363" s="620">
        <v>103.50685607036536</v>
      </c>
      <c r="BC363" s="720">
        <f>(BB379-BB380)/BB361</f>
        <v>0.79028581395991038</v>
      </c>
      <c r="BD363" s="714">
        <f>D363-BB377</f>
        <v>38.819999999999993</v>
      </c>
      <c r="BE363" s="693">
        <f>BB379-BB380</f>
        <v>81.799999999999983</v>
      </c>
      <c r="BF363" s="693">
        <f t="shared" si="337"/>
        <v>47.457212713936428</v>
      </c>
      <c r="BG363" s="668">
        <f t="shared" si="338"/>
        <v>37.504761977901858</v>
      </c>
      <c r="BH363" s="650">
        <v>350</v>
      </c>
      <c r="BI363" s="620">
        <v>103.50685607036536</v>
      </c>
      <c r="BJ363" s="720">
        <f>(BI379-BI380)/BI361</f>
        <v>0.94447849844402043</v>
      </c>
      <c r="BK363" s="714">
        <f>I363-BI377</f>
        <v>44.829999999999984</v>
      </c>
      <c r="BL363" s="693">
        <f>BI379-BI380</f>
        <v>97.760000000000019</v>
      </c>
      <c r="BM363" s="693">
        <f t="shared" si="339"/>
        <v>45.857201309328943</v>
      </c>
      <c r="BN363" s="668">
        <f t="shared" si="340"/>
        <v>43.311140635480164</v>
      </c>
      <c r="BO363" s="650">
        <v>350</v>
      </c>
      <c r="BP363" s="681">
        <v>103.50685607036536</v>
      </c>
      <c r="BQ363" s="720">
        <f>(BP379-BP380)/BP361</f>
        <v>0.77212276591291018</v>
      </c>
      <c r="BR363" s="714">
        <f>N363-BP377</f>
        <v>35.970000000000027</v>
      </c>
      <c r="BS363" s="693">
        <f>BP379-BP380</f>
        <v>79.92</v>
      </c>
      <c r="BT363" s="693">
        <f t="shared" si="341"/>
        <v>45.00750750750754</v>
      </c>
      <c r="BU363" s="668">
        <f t="shared" si="342"/>
        <v>34.751321183542792</v>
      </c>
      <c r="BV363" s="650">
        <v>350</v>
      </c>
      <c r="BW363" s="620">
        <v>103.50685607036536</v>
      </c>
      <c r="BX363" s="720">
        <f>(BW379-BW380)/BW361</f>
        <v>0.97694011623014865</v>
      </c>
      <c r="BY363" s="714">
        <f>S363-BW377</f>
        <v>48.360000000000014</v>
      </c>
      <c r="BZ363" s="693">
        <f>BW379-BW380</f>
        <v>101.12</v>
      </c>
      <c r="CA363" s="693">
        <f t="shared" si="343"/>
        <v>47.824367088607609</v>
      </c>
      <c r="CB363" s="668">
        <f t="shared" si="344"/>
        <v>46.721542742177611</v>
      </c>
      <c r="CC363" s="560"/>
    </row>
    <row r="364" spans="1:81" ht="15.75">
      <c r="A364" s="564"/>
      <c r="B364" s="585" t="s">
        <v>116</v>
      </c>
      <c r="C364" s="559">
        <v>450</v>
      </c>
      <c r="D364" s="559">
        <v>405.15</v>
      </c>
      <c r="E364" s="652">
        <v>5.65</v>
      </c>
      <c r="F364" s="652">
        <v>5.31</v>
      </c>
      <c r="G364" s="653">
        <v>6.47</v>
      </c>
      <c r="H364" s="559">
        <v>450</v>
      </c>
      <c r="I364" s="612">
        <v>426.12</v>
      </c>
      <c r="J364" s="260">
        <v>2.29</v>
      </c>
      <c r="K364" s="260">
        <v>2.37</v>
      </c>
      <c r="L364" s="94">
        <v>2.12</v>
      </c>
      <c r="M364" s="559">
        <v>450</v>
      </c>
      <c r="N364" s="649">
        <v>401.18</v>
      </c>
      <c r="O364" s="559">
        <v>8.9</v>
      </c>
      <c r="P364" s="559">
        <v>9.6300000000000008</v>
      </c>
      <c r="Q364" s="559">
        <v>7.68</v>
      </c>
      <c r="R364" s="559">
        <v>450</v>
      </c>
      <c r="S364" s="649">
        <v>433.76</v>
      </c>
      <c r="T364" s="649">
        <v>0</v>
      </c>
      <c r="U364" s="649">
        <v>0</v>
      </c>
      <c r="V364" s="649">
        <v>0</v>
      </c>
      <c r="W364" s="5"/>
      <c r="X364" s="650">
        <v>450</v>
      </c>
      <c r="Y364" s="651">
        <f t="shared" si="321"/>
        <v>0.58099999999999996</v>
      </c>
      <c r="Z364" s="620">
        <v>9.6440000000000001</v>
      </c>
      <c r="AA364" s="620">
        <v>4.5170000000000003</v>
      </c>
      <c r="AB364" s="620">
        <f t="shared" si="322"/>
        <v>4.5459999999999994</v>
      </c>
      <c r="AC364" s="620">
        <f t="shared" si="323"/>
        <v>34.030000000000008</v>
      </c>
      <c r="AD364" s="653">
        <f t="shared" si="324"/>
        <v>43.794904076099996</v>
      </c>
      <c r="AE364" s="650">
        <v>450</v>
      </c>
      <c r="AF364" s="620">
        <f t="shared" si="325"/>
        <v>0.22600000000000003</v>
      </c>
      <c r="AG364" s="620">
        <v>9.6440000000000001</v>
      </c>
      <c r="AH364" s="620">
        <v>4.5170000000000003</v>
      </c>
      <c r="AI364" s="620">
        <f t="shared" si="326"/>
        <v>4.9009999999999998</v>
      </c>
      <c r="AJ364" s="620">
        <f t="shared" si="327"/>
        <v>33.675000000000004</v>
      </c>
      <c r="AK364" s="653">
        <f t="shared" si="328"/>
        <v>46.722331436624991</v>
      </c>
      <c r="AL364" s="650">
        <v>450</v>
      </c>
      <c r="AM364" s="620">
        <f t="shared" si="329"/>
        <v>0.87366666666666659</v>
      </c>
      <c r="AN364" s="620">
        <v>9.6440000000000001</v>
      </c>
      <c r="AO364" s="620">
        <v>4.5170000000000003</v>
      </c>
      <c r="AP364" s="620">
        <f t="shared" si="330"/>
        <v>4.253333333333333</v>
      </c>
      <c r="AQ364" s="620">
        <f t="shared" si="331"/>
        <v>34.32266666666667</v>
      </c>
      <c r="AR364" s="698">
        <f t="shared" si="332"/>
        <v>41.327833694399992</v>
      </c>
      <c r="AS364" s="650">
        <v>450</v>
      </c>
      <c r="AT364" s="620">
        <f t="shared" si="333"/>
        <v>0</v>
      </c>
      <c r="AU364" s="620">
        <v>9.6440000000000001</v>
      </c>
      <c r="AV364" s="620">
        <v>4.5170000000000003</v>
      </c>
      <c r="AW364" s="620">
        <f t="shared" si="334"/>
        <v>5.1269999999999998</v>
      </c>
      <c r="AX364" s="620">
        <f t="shared" si="335"/>
        <v>33.449000000000005</v>
      </c>
      <c r="AY364" s="698">
        <f t="shared" si="336"/>
        <v>48.54881734618499</v>
      </c>
      <c r="AZ364" s="75"/>
      <c r="BA364" s="650">
        <v>450</v>
      </c>
      <c r="BB364" s="620">
        <v>103.50685607036536</v>
      </c>
      <c r="BC364" s="720">
        <f>(BB379-BB380)/BB361</f>
        <v>0.79028581395991038</v>
      </c>
      <c r="BD364" s="714">
        <f>D364-BB377</f>
        <v>35.789999999999964</v>
      </c>
      <c r="BE364" s="693">
        <f>BB379-BB380</f>
        <v>81.799999999999983</v>
      </c>
      <c r="BF364" s="693">
        <f t="shared" si="337"/>
        <v>43.753056234718791</v>
      </c>
      <c r="BG364" s="668">
        <f t="shared" si="338"/>
        <v>34.577419659688474</v>
      </c>
      <c r="BH364" s="650">
        <v>450</v>
      </c>
      <c r="BI364" s="620">
        <v>103.50685607036536</v>
      </c>
      <c r="BJ364" s="720">
        <f>(BI379-BI380)/BI361</f>
        <v>0.94447849844402043</v>
      </c>
      <c r="BK364" s="714">
        <f>I364-BI377</f>
        <v>40.360000000000014</v>
      </c>
      <c r="BL364" s="693">
        <f>BI379-BI380</f>
        <v>97.760000000000019</v>
      </c>
      <c r="BM364" s="693">
        <f t="shared" si="339"/>
        <v>41.284779050736503</v>
      </c>
      <c r="BN364" s="668">
        <f t="shared" si="340"/>
        <v>38.992586126432762</v>
      </c>
      <c r="BO364" s="650">
        <v>450</v>
      </c>
      <c r="BP364" s="681">
        <v>103.50685607036536</v>
      </c>
      <c r="BQ364" s="720">
        <f>(BP379-BP380)/BP361</f>
        <v>0.77212276591291018</v>
      </c>
      <c r="BR364" s="714">
        <f>N364-BP377</f>
        <v>33.610000000000014</v>
      </c>
      <c r="BS364" s="693">
        <f>BP379-BP380</f>
        <v>79.92</v>
      </c>
      <c r="BT364" s="693">
        <f t="shared" si="341"/>
        <v>42.054554554554571</v>
      </c>
      <c r="BU364" s="668">
        <f t="shared" si="342"/>
        <v>32.471278981898053</v>
      </c>
      <c r="BV364" s="650">
        <v>450</v>
      </c>
      <c r="BW364" s="620">
        <v>103.50685607036536</v>
      </c>
      <c r="BX364" s="720">
        <f>(BW379-BW380)/BW361</f>
        <v>0.97694011623014865</v>
      </c>
      <c r="BY364" s="714">
        <f>S364-BW377</f>
        <v>45.360000000000014</v>
      </c>
      <c r="BZ364" s="693">
        <f>BW379-BW380</f>
        <v>101.12</v>
      </c>
      <c r="CA364" s="693">
        <f t="shared" si="343"/>
        <v>44.857594936708871</v>
      </c>
      <c r="CB364" s="668">
        <f t="shared" si="344"/>
        <v>43.823184011273291</v>
      </c>
      <c r="CC364" s="560"/>
    </row>
    <row r="365" spans="1:81" ht="15.75">
      <c r="A365" s="564"/>
      <c r="B365" s="585" t="s">
        <v>116</v>
      </c>
      <c r="C365" s="559">
        <v>550</v>
      </c>
      <c r="D365" s="559">
        <v>402.46</v>
      </c>
      <c r="E365" s="652">
        <v>5.97</v>
      </c>
      <c r="F365" s="652">
        <v>5.42</v>
      </c>
      <c r="G365" s="653">
        <v>6.84</v>
      </c>
      <c r="H365" s="559">
        <v>550</v>
      </c>
      <c r="I365" s="559">
        <v>422.68</v>
      </c>
      <c r="J365" s="620">
        <v>2.59</v>
      </c>
      <c r="K365" s="649">
        <v>2.85</v>
      </c>
      <c r="L365" s="588">
        <v>3.01</v>
      </c>
      <c r="M365" s="559">
        <v>550</v>
      </c>
      <c r="N365" s="649">
        <v>399.1</v>
      </c>
      <c r="O365" s="559">
        <v>9.65</v>
      </c>
      <c r="P365" s="559">
        <v>10.1</v>
      </c>
      <c r="Q365" s="559">
        <v>8.42</v>
      </c>
      <c r="R365" s="559">
        <v>550</v>
      </c>
      <c r="S365" s="649">
        <v>432</v>
      </c>
      <c r="T365" s="649">
        <v>1.42</v>
      </c>
      <c r="U365" s="649">
        <v>1.56</v>
      </c>
      <c r="V365" s="649">
        <v>1.45</v>
      </c>
      <c r="W365" s="5"/>
      <c r="X365" s="650">
        <v>550</v>
      </c>
      <c r="Y365" s="651">
        <f t="shared" si="321"/>
        <v>0.60766666666666669</v>
      </c>
      <c r="Z365" s="620">
        <v>9.6440000000000001</v>
      </c>
      <c r="AA365" s="620">
        <v>4.5170000000000003</v>
      </c>
      <c r="AB365" s="620">
        <f t="shared" si="322"/>
        <v>4.519333333333333</v>
      </c>
      <c r="AC365" s="620">
        <f t="shared" si="323"/>
        <v>34.056666666666672</v>
      </c>
      <c r="AD365" s="653">
        <f t="shared" si="324"/>
        <v>65.089219509966654</v>
      </c>
      <c r="AE365" s="650">
        <v>550</v>
      </c>
      <c r="AF365" s="620">
        <f t="shared" si="325"/>
        <v>0.28166666666666662</v>
      </c>
      <c r="AG365" s="620">
        <v>9.6440000000000001</v>
      </c>
      <c r="AH365" s="620">
        <v>4.5170000000000003</v>
      </c>
      <c r="AI365" s="620">
        <f t="shared" si="326"/>
        <v>4.8453333333333335</v>
      </c>
      <c r="AJ365" s="620">
        <f t="shared" si="327"/>
        <v>33.730666666666671</v>
      </c>
      <c r="AK365" s="653">
        <f t="shared" si="328"/>
        <v>69.116404050026674</v>
      </c>
      <c r="AL365" s="650">
        <v>550</v>
      </c>
      <c r="AM365" s="620">
        <f t="shared" si="329"/>
        <v>0.93900000000000006</v>
      </c>
      <c r="AN365" s="620">
        <v>9.6440000000000001</v>
      </c>
      <c r="AO365" s="620">
        <v>4.5170000000000003</v>
      </c>
      <c r="AP365" s="620">
        <f t="shared" si="330"/>
        <v>4.1879999999999997</v>
      </c>
      <c r="AQ365" s="620">
        <f t="shared" si="331"/>
        <v>34.388000000000005</v>
      </c>
      <c r="AR365" s="698">
        <f t="shared" si="332"/>
        <v>60.904045532879991</v>
      </c>
      <c r="AS365" s="650">
        <v>550</v>
      </c>
      <c r="AT365" s="620">
        <f t="shared" si="333"/>
        <v>0.14766666666666667</v>
      </c>
      <c r="AU365" s="620">
        <v>9.6440000000000001</v>
      </c>
      <c r="AV365" s="620">
        <v>4.5170000000000003</v>
      </c>
      <c r="AW365" s="620">
        <f t="shared" si="334"/>
        <v>4.9793333333333329</v>
      </c>
      <c r="AX365" s="620">
        <f t="shared" si="335"/>
        <v>33.596666666666671</v>
      </c>
      <c r="AY365" s="698">
        <f t="shared" si="336"/>
        <v>70.745682594766663</v>
      </c>
      <c r="AZ365" s="75"/>
      <c r="BA365" s="650">
        <v>550</v>
      </c>
      <c r="BB365" s="620">
        <v>103.50685607036536</v>
      </c>
      <c r="BC365" s="720">
        <f>(BB379-BB380)/BB361</f>
        <v>0.79028581395991038</v>
      </c>
      <c r="BD365" s="714">
        <f>D365-BB377</f>
        <v>33.099999999999966</v>
      </c>
      <c r="BE365" s="693">
        <f>BB379-BB380</f>
        <v>81.799999999999983</v>
      </c>
      <c r="BF365" s="693">
        <f t="shared" si="337"/>
        <v>40.464547677261578</v>
      </c>
      <c r="BG365" s="668">
        <f t="shared" si="338"/>
        <v>31.978557997644266</v>
      </c>
      <c r="BH365" s="650">
        <v>550</v>
      </c>
      <c r="BI365" s="620">
        <v>103.50685607036536</v>
      </c>
      <c r="BJ365" s="720">
        <f>(BI379-BI380)/BI361</f>
        <v>0.94447849844402043</v>
      </c>
      <c r="BK365" s="714">
        <f>I365-BI377</f>
        <v>36.920000000000016</v>
      </c>
      <c r="BL365" s="693">
        <f>BI379-BI380</f>
        <v>97.760000000000019</v>
      </c>
      <c r="BM365" s="693">
        <f t="shared" si="339"/>
        <v>37.765957446808521</v>
      </c>
      <c r="BN365" s="668">
        <f t="shared" si="340"/>
        <v>35.669134781662486</v>
      </c>
      <c r="BO365" s="650">
        <v>550</v>
      </c>
      <c r="BP365" s="681">
        <v>103.50685607036536</v>
      </c>
      <c r="BQ365" s="720">
        <f>(BP379-BP380)/BP361</f>
        <v>0.77212276591291018</v>
      </c>
      <c r="BR365" s="714">
        <f>N365-BP377</f>
        <v>31.53000000000003</v>
      </c>
      <c r="BS365" s="693">
        <f>BP379-BP380</f>
        <v>79.92</v>
      </c>
      <c r="BT365" s="693">
        <f t="shared" si="341"/>
        <v>39.451951951951983</v>
      </c>
      <c r="BU365" s="668">
        <f t="shared" si="342"/>
        <v>30.461750261804401</v>
      </c>
      <c r="BV365" s="650">
        <v>550</v>
      </c>
      <c r="BW365" s="620">
        <v>103.50685607036536</v>
      </c>
      <c r="BX365" s="720">
        <f>(BW379-BW380)/BW361</f>
        <v>0.97694011623014865</v>
      </c>
      <c r="BY365" s="714">
        <f>S365-BW377</f>
        <v>43.600000000000023</v>
      </c>
      <c r="BZ365" s="693">
        <f>BW379-BW380</f>
        <v>101.12</v>
      </c>
      <c r="CA365" s="693">
        <f t="shared" si="343"/>
        <v>43.117088607594958</v>
      </c>
      <c r="CB365" s="668">
        <f t="shared" si="344"/>
        <v>42.122813555809437</v>
      </c>
      <c r="CC365" s="560"/>
    </row>
    <row r="366" spans="1:81" ht="15.75">
      <c r="A366" s="564"/>
      <c r="B366" s="585" t="s">
        <v>116</v>
      </c>
      <c r="C366" s="559">
        <v>650</v>
      </c>
      <c r="D366" s="559">
        <v>400.45</v>
      </c>
      <c r="E366" s="652">
        <v>6.61</v>
      </c>
      <c r="F366" s="652">
        <v>7.58</v>
      </c>
      <c r="G366" s="653">
        <v>5.76</v>
      </c>
      <c r="H366" s="559">
        <v>650</v>
      </c>
      <c r="I366" s="559">
        <v>420.1</v>
      </c>
      <c r="J366" s="620">
        <v>3.21</v>
      </c>
      <c r="K366" s="649">
        <v>3.6</v>
      </c>
      <c r="L366" s="588">
        <v>3.18</v>
      </c>
      <c r="M366" s="559">
        <v>650</v>
      </c>
      <c r="N366" s="649">
        <v>397.41</v>
      </c>
      <c r="O366" s="559">
        <v>10.43</v>
      </c>
      <c r="P366" s="559">
        <v>9.23</v>
      </c>
      <c r="Q366" s="559">
        <v>10.25</v>
      </c>
      <c r="R366" s="559">
        <v>650</v>
      </c>
      <c r="S366" s="649">
        <v>430.06</v>
      </c>
      <c r="T366" s="649">
        <v>1.51</v>
      </c>
      <c r="U366" s="649">
        <v>2.02</v>
      </c>
      <c r="V366" s="649">
        <v>1.82</v>
      </c>
      <c r="W366" s="5"/>
      <c r="X366" s="650">
        <v>650</v>
      </c>
      <c r="Y366" s="651">
        <f t="shared" si="321"/>
        <v>0.66500000000000015</v>
      </c>
      <c r="Z366" s="620">
        <v>9.6440000000000001</v>
      </c>
      <c r="AA366" s="620">
        <v>4.5170000000000003</v>
      </c>
      <c r="AB366" s="620">
        <f t="shared" si="322"/>
        <v>4.4619999999999997</v>
      </c>
      <c r="AC366" s="620">
        <f t="shared" si="323"/>
        <v>34.114000000000004</v>
      </c>
      <c r="AD366" s="653">
        <f t="shared" si="324"/>
        <v>89.907536037539998</v>
      </c>
      <c r="AE366" s="650">
        <v>650</v>
      </c>
      <c r="AF366" s="620">
        <f t="shared" si="325"/>
        <v>0.33300000000000002</v>
      </c>
      <c r="AG366" s="620">
        <v>9.6440000000000001</v>
      </c>
      <c r="AH366" s="620">
        <v>4.5170000000000003</v>
      </c>
      <c r="AI366" s="620">
        <f t="shared" si="326"/>
        <v>4.7939999999999996</v>
      </c>
      <c r="AJ366" s="620">
        <f t="shared" si="327"/>
        <v>33.782000000000004</v>
      </c>
      <c r="AK366" s="653">
        <f t="shared" si="328"/>
        <v>95.657113564739987</v>
      </c>
      <c r="AL366" s="650">
        <v>650</v>
      </c>
      <c r="AM366" s="620">
        <f t="shared" si="329"/>
        <v>0.99700000000000011</v>
      </c>
      <c r="AN366" s="620">
        <v>9.6440000000000001</v>
      </c>
      <c r="AO366" s="620">
        <v>4.5170000000000003</v>
      </c>
      <c r="AP366" s="620">
        <f t="shared" si="330"/>
        <v>4.13</v>
      </c>
      <c r="AQ366" s="620">
        <f t="shared" si="331"/>
        <v>34.446000000000005</v>
      </c>
      <c r="AR366" s="698">
        <f t="shared" si="332"/>
        <v>84.027749796900011</v>
      </c>
      <c r="AS366" s="650">
        <v>650</v>
      </c>
      <c r="AT366" s="620">
        <f t="shared" si="333"/>
        <v>0.17833333333333334</v>
      </c>
      <c r="AU366" s="620">
        <v>9.6440000000000001</v>
      </c>
      <c r="AV366" s="620">
        <v>4.5170000000000003</v>
      </c>
      <c r="AW366" s="620">
        <f t="shared" si="334"/>
        <v>4.9486666666666661</v>
      </c>
      <c r="AX366" s="620">
        <f t="shared" si="335"/>
        <v>33.62733333333334</v>
      </c>
      <c r="AY366" s="698">
        <f t="shared" si="336"/>
        <v>98.291172351406672</v>
      </c>
      <c r="AZ366" s="75"/>
      <c r="BA366" s="650">
        <v>650</v>
      </c>
      <c r="BB366" s="620">
        <v>103.50685607036536</v>
      </c>
      <c r="BC366" s="720">
        <f>(BB379-BB380)/BB361</f>
        <v>0.79028581395991038</v>
      </c>
      <c r="BD366" s="714">
        <f>D366-BB377</f>
        <v>31.089999999999975</v>
      </c>
      <c r="BE366" s="693">
        <f>BB379-BB380</f>
        <v>81.799999999999983</v>
      </c>
      <c r="BF366" s="693">
        <f t="shared" si="337"/>
        <v>38.007334963325164</v>
      </c>
      <c r="BG366" s="668">
        <f t="shared" si="338"/>
        <v>30.036657647938387</v>
      </c>
      <c r="BH366" s="650">
        <v>650</v>
      </c>
      <c r="BI366" s="620">
        <v>103.50685607036536</v>
      </c>
      <c r="BJ366" s="720">
        <f>(BI379-BI380)/BI361</f>
        <v>0.94447849844402043</v>
      </c>
      <c r="BK366" s="714">
        <f>I366-BI377</f>
        <v>34.340000000000032</v>
      </c>
      <c r="BL366" s="693">
        <f>BI379-BI380</f>
        <v>97.760000000000019</v>
      </c>
      <c r="BM366" s="693">
        <f t="shared" si="339"/>
        <v>35.126841243862543</v>
      </c>
      <c r="BN366" s="668">
        <f t="shared" si="340"/>
        <v>33.176546273084782</v>
      </c>
      <c r="BO366" s="650">
        <v>650</v>
      </c>
      <c r="BP366" s="681">
        <v>103.50685607036536</v>
      </c>
      <c r="BQ366" s="720">
        <f>(BP379-BP380)/BP361</f>
        <v>0.77212276591291018</v>
      </c>
      <c r="BR366" s="714">
        <f>N366-BP377</f>
        <v>29.840000000000032</v>
      </c>
      <c r="BS366" s="693">
        <f>BP379-BP380</f>
        <v>79.92</v>
      </c>
      <c r="BT366" s="693">
        <f t="shared" si="341"/>
        <v>37.337337337337381</v>
      </c>
      <c r="BU366" s="668">
        <f t="shared" si="342"/>
        <v>28.829008176728312</v>
      </c>
      <c r="BV366" s="650">
        <v>650</v>
      </c>
      <c r="BW366" s="620">
        <v>103.50685607036536</v>
      </c>
      <c r="BX366" s="720">
        <f>(BW379-BW380)/BW361</f>
        <v>0.97694011623014865</v>
      </c>
      <c r="BY366" s="714">
        <f>S366-BW377</f>
        <v>41.660000000000025</v>
      </c>
      <c r="BZ366" s="693">
        <f>BW379-BW380</f>
        <v>101.12</v>
      </c>
      <c r="CA366" s="693">
        <f t="shared" si="343"/>
        <v>41.198575949367111</v>
      </c>
      <c r="CB366" s="668">
        <f t="shared" si="344"/>
        <v>40.248541576491313</v>
      </c>
      <c r="CC366" s="560"/>
    </row>
    <row r="367" spans="1:81" ht="15.75">
      <c r="A367" s="564"/>
      <c r="B367" s="585" t="s">
        <v>116</v>
      </c>
      <c r="C367" s="559">
        <v>750</v>
      </c>
      <c r="D367" s="559">
        <v>398.72</v>
      </c>
      <c r="E367" s="652">
        <v>6.93</v>
      </c>
      <c r="F367" s="652">
        <v>7.64</v>
      </c>
      <c r="G367" s="653">
        <v>6.15</v>
      </c>
      <c r="H367" s="559">
        <v>750</v>
      </c>
      <c r="I367" s="559">
        <v>418.08</v>
      </c>
      <c r="J367" s="620">
        <v>3.73</v>
      </c>
      <c r="K367" s="649">
        <v>4.87</v>
      </c>
      <c r="L367" s="588">
        <v>3.32</v>
      </c>
      <c r="M367" s="559">
        <v>750</v>
      </c>
      <c r="N367" s="649">
        <v>395.9</v>
      </c>
      <c r="O367" s="559">
        <v>11.21</v>
      </c>
      <c r="P367" s="559">
        <v>9.77</v>
      </c>
      <c r="Q367" s="559">
        <v>10.48</v>
      </c>
      <c r="R367" s="559">
        <v>750</v>
      </c>
      <c r="S367" s="649">
        <v>428.54</v>
      </c>
      <c r="T367" s="649">
        <v>2.4700000000000002</v>
      </c>
      <c r="U367" s="649">
        <v>2.4</v>
      </c>
      <c r="V367" s="649">
        <v>2.39</v>
      </c>
      <c r="W367" s="5"/>
      <c r="X367" s="650">
        <v>750</v>
      </c>
      <c r="Y367" s="651">
        <f t="shared" si="321"/>
        <v>0.69066666666666665</v>
      </c>
      <c r="Z367" s="620">
        <v>9.6440000000000001</v>
      </c>
      <c r="AA367" s="620">
        <v>4.5170000000000003</v>
      </c>
      <c r="AB367" s="620">
        <f t="shared" si="322"/>
        <v>4.4363333333333328</v>
      </c>
      <c r="AC367" s="620">
        <f t="shared" si="323"/>
        <v>34.13966666666667</v>
      </c>
      <c r="AD367" s="653">
        <f t="shared" si="324"/>
        <v>119.100379403625</v>
      </c>
      <c r="AE367" s="650">
        <v>750</v>
      </c>
      <c r="AF367" s="620">
        <f t="shared" si="325"/>
        <v>0.39733333333333332</v>
      </c>
      <c r="AG367" s="620">
        <v>9.6440000000000001</v>
      </c>
      <c r="AH367" s="620">
        <v>4.5170000000000003</v>
      </c>
      <c r="AI367" s="620">
        <f t="shared" si="326"/>
        <v>4.7296666666666667</v>
      </c>
      <c r="AJ367" s="620">
        <f t="shared" si="327"/>
        <v>33.846333333333341</v>
      </c>
      <c r="AK367" s="653">
        <f t="shared" si="328"/>
        <v>125.88438410362502</v>
      </c>
      <c r="AL367" s="650">
        <v>750</v>
      </c>
      <c r="AM367" s="620">
        <f t="shared" si="329"/>
        <v>1.0486666666666666</v>
      </c>
      <c r="AN367" s="620">
        <v>9.6440000000000001</v>
      </c>
      <c r="AO367" s="620">
        <v>4.5170000000000003</v>
      </c>
      <c r="AP367" s="620">
        <f t="shared" si="330"/>
        <v>4.0783333333333331</v>
      </c>
      <c r="AQ367" s="620">
        <f t="shared" si="331"/>
        <v>34.497666666666674</v>
      </c>
      <c r="AR367" s="698">
        <f t="shared" si="332"/>
        <v>110.637445205625</v>
      </c>
      <c r="AS367" s="650">
        <v>750</v>
      </c>
      <c r="AT367" s="620">
        <f t="shared" si="333"/>
        <v>0.24199999999999999</v>
      </c>
      <c r="AU367" s="620">
        <v>9.6440000000000001</v>
      </c>
      <c r="AV367" s="620">
        <v>4.5170000000000003</v>
      </c>
      <c r="AW367" s="620">
        <f t="shared" si="334"/>
        <v>4.8849999999999998</v>
      </c>
      <c r="AX367" s="620">
        <f t="shared" si="335"/>
        <v>33.691000000000003</v>
      </c>
      <c r="AY367" s="698">
        <f t="shared" si="336"/>
        <v>129.422018210625</v>
      </c>
      <c r="AZ367" s="75"/>
      <c r="BA367" s="650">
        <v>750</v>
      </c>
      <c r="BB367" s="620">
        <v>103.50685607036536</v>
      </c>
      <c r="BC367" s="720">
        <f>(BB379-BB380)/BB361</f>
        <v>0.79028581395991038</v>
      </c>
      <c r="BD367" s="714">
        <f>D367-BB377</f>
        <v>29.360000000000014</v>
      </c>
      <c r="BE367" s="693">
        <f>BB379-BB380</f>
        <v>81.799999999999983</v>
      </c>
      <c r="BF367" s="693">
        <f t="shared" si="337"/>
        <v>35.892420537897337</v>
      </c>
      <c r="BG367" s="668">
        <f t="shared" si="338"/>
        <v>28.3652707797836</v>
      </c>
      <c r="BH367" s="650">
        <v>750</v>
      </c>
      <c r="BI367" s="620">
        <v>103.50685607036536</v>
      </c>
      <c r="BJ367" s="720">
        <f>(BI379-BI380)/BI361</f>
        <v>0.94447849844402043</v>
      </c>
      <c r="BK367" s="714">
        <f>I367-BI377</f>
        <v>32.319999999999993</v>
      </c>
      <c r="BL367" s="693">
        <f>BI379-BI380</f>
        <v>97.760000000000019</v>
      </c>
      <c r="BM367" s="693">
        <f t="shared" si="339"/>
        <v>33.060556464811768</v>
      </c>
      <c r="BN367" s="668">
        <f t="shared" si="340"/>
        <v>31.224984727609172</v>
      </c>
      <c r="BO367" s="650">
        <v>750</v>
      </c>
      <c r="BP367" s="681">
        <v>103.50685607036536</v>
      </c>
      <c r="BQ367" s="720">
        <f>(BP379-BP380)/BP361</f>
        <v>0.77212276591291018</v>
      </c>
      <c r="BR367" s="714">
        <f>N367-BP377</f>
        <v>28.329999999999984</v>
      </c>
      <c r="BS367" s="693">
        <f>BP379-BP380</f>
        <v>79.92</v>
      </c>
      <c r="BT367" s="693">
        <f t="shared" si="341"/>
        <v>35.447947947947931</v>
      </c>
      <c r="BU367" s="668">
        <f t="shared" si="342"/>
        <v>27.370167615506425</v>
      </c>
      <c r="BV367" s="650">
        <v>750</v>
      </c>
      <c r="BW367" s="620">
        <v>103.50685607036536</v>
      </c>
      <c r="BX367" s="720">
        <f>(BW379-BW380)/BW361</f>
        <v>0.97694011623014865</v>
      </c>
      <c r="BY367" s="714">
        <f>S367-BW377</f>
        <v>40.140000000000043</v>
      </c>
      <c r="BZ367" s="693">
        <f>BW379-BW380</f>
        <v>101.12</v>
      </c>
      <c r="CA367" s="693">
        <f t="shared" si="343"/>
        <v>39.695411392405106</v>
      </c>
      <c r="CB367" s="668">
        <f t="shared" si="344"/>
        <v>38.780039819499812</v>
      </c>
      <c r="CC367" s="560"/>
    </row>
    <row r="368" spans="1:81" ht="15.75">
      <c r="A368" s="564"/>
      <c r="B368" s="585" t="s">
        <v>116</v>
      </c>
      <c r="C368" s="559">
        <v>850</v>
      </c>
      <c r="D368" s="559">
        <v>397.64</v>
      </c>
      <c r="E368" s="652">
        <v>6.79</v>
      </c>
      <c r="F368" s="652">
        <v>6.77</v>
      </c>
      <c r="G368" s="653">
        <v>6.46</v>
      </c>
      <c r="H368" s="559">
        <v>850</v>
      </c>
      <c r="I368" s="559">
        <v>416.81</v>
      </c>
      <c r="J368" s="620">
        <v>3.7</v>
      </c>
      <c r="K368" s="649">
        <v>3.31</v>
      </c>
      <c r="L368" s="588">
        <v>3.69</v>
      </c>
      <c r="M368" s="559">
        <v>850</v>
      </c>
      <c r="N368" s="649">
        <v>384.85</v>
      </c>
      <c r="O368" s="559">
        <v>10.47</v>
      </c>
      <c r="P368" s="559">
        <v>11.47</v>
      </c>
      <c r="Q368" s="559">
        <v>9.68</v>
      </c>
      <c r="R368" s="559">
        <v>850</v>
      </c>
      <c r="S368" s="649">
        <v>427.22</v>
      </c>
      <c r="T368" s="649">
        <v>2.81</v>
      </c>
      <c r="U368" s="649">
        <v>2.37</v>
      </c>
      <c r="V368" s="649">
        <v>2.56</v>
      </c>
      <c r="W368" s="5"/>
      <c r="X368" s="650">
        <v>850</v>
      </c>
      <c r="Y368" s="651">
        <f t="shared" si="321"/>
        <v>0.66733333333333333</v>
      </c>
      <c r="Z368" s="620">
        <v>9.6440000000000001</v>
      </c>
      <c r="AA368" s="620">
        <v>4.5170000000000003</v>
      </c>
      <c r="AB368" s="620">
        <f t="shared" si="322"/>
        <v>4.4596666666666662</v>
      </c>
      <c r="AC368" s="620">
        <f t="shared" si="323"/>
        <v>34.116333333333337</v>
      </c>
      <c r="AD368" s="653">
        <f t="shared" si="324"/>
        <v>153.67731741221164</v>
      </c>
      <c r="AE368" s="650">
        <v>850</v>
      </c>
      <c r="AF368" s="620">
        <f t="shared" si="325"/>
        <v>0.35666666666666663</v>
      </c>
      <c r="AG368" s="620">
        <v>9.6440000000000001</v>
      </c>
      <c r="AH368" s="620">
        <v>4.5170000000000003</v>
      </c>
      <c r="AI368" s="620">
        <f t="shared" si="326"/>
        <v>4.7703333333333333</v>
      </c>
      <c r="AJ368" s="620">
        <f t="shared" si="327"/>
        <v>33.805666666666674</v>
      </c>
      <c r="AK368" s="653">
        <f t="shared" si="328"/>
        <v>162.88581107753171</v>
      </c>
      <c r="AL368" s="650">
        <v>850</v>
      </c>
      <c r="AM368" s="620">
        <f t="shared" si="329"/>
        <v>1.054</v>
      </c>
      <c r="AN368" s="620">
        <v>9.6440000000000001</v>
      </c>
      <c r="AO368" s="620">
        <v>4.5170000000000003</v>
      </c>
      <c r="AP368" s="620">
        <f t="shared" si="330"/>
        <v>4.0729999999999995</v>
      </c>
      <c r="AQ368" s="620">
        <f t="shared" si="331"/>
        <v>34.503000000000007</v>
      </c>
      <c r="AR368" s="698">
        <f t="shared" si="332"/>
        <v>141.943755379545</v>
      </c>
      <c r="AS368" s="650">
        <v>850</v>
      </c>
      <c r="AT368" s="620">
        <f t="shared" si="333"/>
        <v>0.25800000000000001</v>
      </c>
      <c r="AU368" s="620">
        <v>9.6440000000000001</v>
      </c>
      <c r="AV368" s="620">
        <v>4.5170000000000003</v>
      </c>
      <c r="AW368" s="620">
        <f t="shared" si="334"/>
        <v>4.8689999999999998</v>
      </c>
      <c r="AX368" s="620">
        <f t="shared" si="335"/>
        <v>33.707000000000008</v>
      </c>
      <c r="AY368" s="698">
        <f t="shared" si="336"/>
        <v>165.76960339606501</v>
      </c>
      <c r="AZ368" s="75"/>
      <c r="BA368" s="650">
        <v>850</v>
      </c>
      <c r="BB368" s="620">
        <v>103.50685607036536</v>
      </c>
      <c r="BC368" s="720">
        <f>(BB379-BB380)/BB361</f>
        <v>0.79028581395991038</v>
      </c>
      <c r="BD368" s="714">
        <f>D368-BB377</f>
        <v>28.279999999999973</v>
      </c>
      <c r="BE368" s="693">
        <f>BB379-BB380</f>
        <v>81.799999999999983</v>
      </c>
      <c r="BF368" s="693">
        <f t="shared" si="337"/>
        <v>34.572127139364277</v>
      </c>
      <c r="BG368" s="668">
        <f t="shared" si="338"/>
        <v>27.321861636658006</v>
      </c>
      <c r="BH368" s="650">
        <v>850</v>
      </c>
      <c r="BI368" s="620">
        <v>103.50685607036536</v>
      </c>
      <c r="BJ368" s="720">
        <f>(BI379-BI380)/BI361</f>
        <v>0.94447849844402043</v>
      </c>
      <c r="BK368" s="714">
        <f>I368-BI377</f>
        <v>31.050000000000011</v>
      </c>
      <c r="BL368" s="693">
        <f>BI379-BI380</f>
        <v>97.760000000000019</v>
      </c>
      <c r="BM368" s="693">
        <f t="shared" si="339"/>
        <v>31.761456628477912</v>
      </c>
      <c r="BN368" s="668">
        <f t="shared" si="340"/>
        <v>29.9980128648597</v>
      </c>
      <c r="BO368" s="650">
        <v>850</v>
      </c>
      <c r="BP368" s="681">
        <v>103.50685607036536</v>
      </c>
      <c r="BQ368" s="720">
        <f>(BP379-BP380)/BP361</f>
        <v>0.77212276591291018</v>
      </c>
      <c r="BR368" s="714">
        <f>N368-BP377</f>
        <v>17.28000000000003</v>
      </c>
      <c r="BS368" s="693">
        <f>BP379-BP380</f>
        <v>79.92</v>
      </c>
      <c r="BT368" s="693">
        <f t="shared" si="341"/>
        <v>21.62162162162166</v>
      </c>
      <c r="BU368" s="668">
        <f t="shared" si="342"/>
        <v>16.694546290008898</v>
      </c>
      <c r="BV368" s="650">
        <v>850</v>
      </c>
      <c r="BW368" s="620">
        <v>103.50685607036536</v>
      </c>
      <c r="BX368" s="720">
        <f>(BW379-BW380)/BW361</f>
        <v>0.97694011623014865</v>
      </c>
      <c r="BY368" s="714">
        <f>S368-BW377</f>
        <v>38.82000000000005</v>
      </c>
      <c r="BZ368" s="693">
        <f>BW379-BW380</f>
        <v>101.12</v>
      </c>
      <c r="CA368" s="693">
        <f t="shared" si="343"/>
        <v>38.390031645569664</v>
      </c>
      <c r="CB368" s="668">
        <f t="shared" si="344"/>
        <v>37.504761977901914</v>
      </c>
      <c r="CC368" s="560"/>
    </row>
    <row r="369" spans="1:81" ht="15.75">
      <c r="A369" s="564"/>
      <c r="B369" s="585" t="s">
        <v>116</v>
      </c>
      <c r="C369" s="559">
        <v>950</v>
      </c>
      <c r="D369" s="559">
        <v>396.66</v>
      </c>
      <c r="E369" s="652">
        <v>7.33</v>
      </c>
      <c r="F369" s="652">
        <v>7.23</v>
      </c>
      <c r="G369" s="653">
        <v>7.08</v>
      </c>
      <c r="H369" s="559">
        <v>950</v>
      </c>
      <c r="I369" s="559">
        <v>415.75</v>
      </c>
      <c r="J369" s="620">
        <v>3.12</v>
      </c>
      <c r="K369" s="649">
        <v>4.1100000000000003</v>
      </c>
      <c r="L369" s="588">
        <v>3.36</v>
      </c>
      <c r="M369" s="559">
        <v>950</v>
      </c>
      <c r="N369" s="649">
        <v>393.94</v>
      </c>
      <c r="O369" s="559">
        <v>10.86</v>
      </c>
      <c r="P369" s="559">
        <v>11.59</v>
      </c>
      <c r="Q369" s="559">
        <v>9.77</v>
      </c>
      <c r="R369" s="559">
        <v>950</v>
      </c>
      <c r="S369" s="649">
        <v>425.99</v>
      </c>
      <c r="T369" s="649">
        <v>2.77</v>
      </c>
      <c r="U369" s="649">
        <v>2.77</v>
      </c>
      <c r="V369" s="649">
        <v>2.6</v>
      </c>
      <c r="W369" s="5"/>
      <c r="X369" s="650">
        <v>950</v>
      </c>
      <c r="Y369" s="651">
        <f t="shared" si="321"/>
        <v>0.72133333333333338</v>
      </c>
      <c r="Z369" s="620">
        <v>9.6440000000000001</v>
      </c>
      <c r="AA369" s="620">
        <v>4.5170000000000003</v>
      </c>
      <c r="AB369" s="620">
        <f t="shared" si="322"/>
        <v>4.4056666666666668</v>
      </c>
      <c r="AC369" s="620">
        <f t="shared" si="323"/>
        <v>34.170333333333339</v>
      </c>
      <c r="AD369" s="653">
        <f t="shared" si="324"/>
        <v>189.93947473205168</v>
      </c>
      <c r="AE369" s="650">
        <v>950</v>
      </c>
      <c r="AF369" s="620">
        <f t="shared" si="325"/>
        <v>0.35299999999999998</v>
      </c>
      <c r="AG369" s="620">
        <v>9.6440000000000001</v>
      </c>
      <c r="AH369" s="620">
        <v>4.5170000000000003</v>
      </c>
      <c r="AI369" s="620">
        <f t="shared" si="326"/>
        <v>4.774</v>
      </c>
      <c r="AJ369" s="620">
        <f t="shared" si="327"/>
        <v>33.802000000000007</v>
      </c>
      <c r="AK369" s="653">
        <f t="shared" si="328"/>
        <v>203.60066589786001</v>
      </c>
      <c r="AL369" s="650">
        <v>950</v>
      </c>
      <c r="AM369" s="620">
        <f t="shared" si="329"/>
        <v>1.0740000000000001</v>
      </c>
      <c r="AN369" s="620">
        <v>9.6440000000000001</v>
      </c>
      <c r="AO369" s="620">
        <v>4.5170000000000003</v>
      </c>
      <c r="AP369" s="620">
        <f t="shared" si="330"/>
        <v>4.0529999999999999</v>
      </c>
      <c r="AQ369" s="620">
        <f t="shared" si="331"/>
        <v>34.523000000000003</v>
      </c>
      <c r="AR369" s="698">
        <f t="shared" si="332"/>
        <v>176.538533253705</v>
      </c>
      <c r="AS369" s="650">
        <v>950</v>
      </c>
      <c r="AT369" s="620">
        <f t="shared" si="333"/>
        <v>0.27133333333333332</v>
      </c>
      <c r="AU369" s="620">
        <v>9.6440000000000001</v>
      </c>
      <c r="AV369" s="620">
        <v>4.5170000000000003</v>
      </c>
      <c r="AW369" s="620">
        <f t="shared" si="334"/>
        <v>4.8556666666666661</v>
      </c>
      <c r="AX369" s="620">
        <f t="shared" si="335"/>
        <v>33.720333333333336</v>
      </c>
      <c r="AY369" s="698">
        <f t="shared" si="336"/>
        <v>206.58325049405161</v>
      </c>
      <c r="AZ369" s="75"/>
      <c r="BA369" s="650">
        <v>950</v>
      </c>
      <c r="BB369" s="620">
        <v>103.50685607036536</v>
      </c>
      <c r="BC369" s="720">
        <f>(BB379-BB380)/BB361</f>
        <v>0.79028581395991038</v>
      </c>
      <c r="BD369" s="714">
        <f>D369-BB377</f>
        <v>27.300000000000011</v>
      </c>
      <c r="BE369" s="693">
        <f>BB379-BB380</f>
        <v>81.799999999999983</v>
      </c>
      <c r="BF369" s="693">
        <f t="shared" si="337"/>
        <v>33.374083129584378</v>
      </c>
      <c r="BG369" s="668">
        <f t="shared" si="338"/>
        <v>26.375064451229303</v>
      </c>
      <c r="BH369" s="650">
        <v>950</v>
      </c>
      <c r="BI369" s="620">
        <v>103.50685607036536</v>
      </c>
      <c r="BJ369" s="720">
        <f>(BI379-BI380)/BI361</f>
        <v>0.94447849844402043</v>
      </c>
      <c r="BK369" s="714">
        <f>I369-BI377</f>
        <v>29.990000000000009</v>
      </c>
      <c r="BL369" s="693">
        <f>BI379-BI380</f>
        <v>97.760000000000019</v>
      </c>
      <c r="BM369" s="693">
        <f t="shared" si="339"/>
        <v>30.677168576104751</v>
      </c>
      <c r="BN369" s="668">
        <f t="shared" si="340"/>
        <v>28.973926113273503</v>
      </c>
      <c r="BO369" s="650">
        <v>950</v>
      </c>
      <c r="BP369" s="681">
        <v>103.50685607036536</v>
      </c>
      <c r="BQ369" s="720">
        <f>(BP379-BP380)/BP361</f>
        <v>0.77212276591291018</v>
      </c>
      <c r="BR369" s="714">
        <f>N369-BP377</f>
        <v>26.370000000000005</v>
      </c>
      <c r="BS369" s="693">
        <f>BP379-BP380</f>
        <v>79.92</v>
      </c>
      <c r="BT369" s="693">
        <f t="shared" si="341"/>
        <v>32.995495495495504</v>
      </c>
      <c r="BU369" s="668">
        <f t="shared" si="342"/>
        <v>25.476573244648957</v>
      </c>
      <c r="BV369" s="650">
        <v>950</v>
      </c>
      <c r="BW369" s="620">
        <v>103.50685607036536</v>
      </c>
      <c r="BX369" s="720">
        <f>(BW379-BW380)/BW361</f>
        <v>0.97694011623014865</v>
      </c>
      <c r="BY369" s="714">
        <f>S369-BW377</f>
        <v>37.590000000000032</v>
      </c>
      <c r="BZ369" s="693">
        <f>BW379-BW380</f>
        <v>101.12</v>
      </c>
      <c r="CA369" s="693">
        <f t="shared" si="343"/>
        <v>37.173655063291164</v>
      </c>
      <c r="CB369" s="668">
        <f t="shared" si="344"/>
        <v>36.316434898231122</v>
      </c>
      <c r="CC369" s="560"/>
    </row>
    <row r="370" spans="1:81" ht="15.75">
      <c r="A370" s="564"/>
      <c r="B370" s="585" t="s">
        <v>116</v>
      </c>
      <c r="C370" s="559">
        <v>1000</v>
      </c>
      <c r="D370" s="559">
        <v>396.07</v>
      </c>
      <c r="E370" s="652">
        <v>7.45</v>
      </c>
      <c r="F370" s="652">
        <v>6.79</v>
      </c>
      <c r="G370" s="653">
        <v>7.45</v>
      </c>
      <c r="H370" s="559">
        <v>1000</v>
      </c>
      <c r="I370" s="559">
        <v>415.11</v>
      </c>
      <c r="J370" s="559">
        <v>3.61</v>
      </c>
      <c r="K370" s="649">
        <v>3.62</v>
      </c>
      <c r="L370" s="588">
        <v>3.44</v>
      </c>
      <c r="M370" s="559">
        <v>1000</v>
      </c>
      <c r="N370" s="649">
        <v>393.38</v>
      </c>
      <c r="O370" s="559">
        <v>11.06</v>
      </c>
      <c r="P370" s="559">
        <v>11.43</v>
      </c>
      <c r="Q370" s="559">
        <v>9.84</v>
      </c>
      <c r="R370" s="559">
        <v>1000</v>
      </c>
      <c r="S370" s="649">
        <v>425.22</v>
      </c>
      <c r="T370" s="649">
        <v>2.73</v>
      </c>
      <c r="U370" s="649">
        <v>2.86</v>
      </c>
      <c r="V370" s="649">
        <v>2.89</v>
      </c>
      <c r="W370" s="5"/>
      <c r="X370" s="650">
        <v>1000</v>
      </c>
      <c r="Y370" s="651">
        <f t="shared" si="321"/>
        <v>0.72300000000000009</v>
      </c>
      <c r="Z370" s="620">
        <v>9.6440000000000001</v>
      </c>
      <c r="AA370" s="620">
        <v>4.5170000000000003</v>
      </c>
      <c r="AB370" s="620">
        <f t="shared" si="322"/>
        <v>4.4039999999999999</v>
      </c>
      <c r="AC370" s="620">
        <f t="shared" si="323"/>
        <v>34.172000000000004</v>
      </c>
      <c r="AD370" s="653">
        <f t="shared" si="324"/>
        <v>210.38989622399998</v>
      </c>
      <c r="AE370" s="650">
        <v>1000</v>
      </c>
      <c r="AF370" s="620">
        <f t="shared" si="325"/>
        <v>0.35566666666666669</v>
      </c>
      <c r="AG370" s="620">
        <v>9.6440000000000001</v>
      </c>
      <c r="AH370" s="620">
        <v>4.5170000000000003</v>
      </c>
      <c r="AI370" s="620">
        <f t="shared" si="326"/>
        <v>4.7713333333333328</v>
      </c>
      <c r="AJ370" s="620">
        <f t="shared" si="327"/>
        <v>33.80466666666667</v>
      </c>
      <c r="AK370" s="653">
        <f t="shared" si="328"/>
        <v>225.48807937866661</v>
      </c>
      <c r="AL370" s="650">
        <v>1000</v>
      </c>
      <c r="AM370" s="620">
        <f t="shared" si="329"/>
        <v>1.0776666666666666</v>
      </c>
      <c r="AN370" s="620">
        <v>9.6440000000000001</v>
      </c>
      <c r="AO370" s="620">
        <v>4.5170000000000003</v>
      </c>
      <c r="AP370" s="620">
        <f t="shared" si="330"/>
        <v>4.0493333333333332</v>
      </c>
      <c r="AQ370" s="620">
        <f t="shared" si="331"/>
        <v>34.526666666666671</v>
      </c>
      <c r="AR370" s="698">
        <f t="shared" si="332"/>
        <v>195.45435514666664</v>
      </c>
      <c r="AS370" s="650">
        <v>1000</v>
      </c>
      <c r="AT370" s="620">
        <f t="shared" si="333"/>
        <v>0.28266666666666668</v>
      </c>
      <c r="AU370" s="620">
        <v>9.6440000000000001</v>
      </c>
      <c r="AV370" s="620">
        <v>4.5170000000000003</v>
      </c>
      <c r="AW370" s="620">
        <f t="shared" si="334"/>
        <v>4.8443333333333332</v>
      </c>
      <c r="AX370" s="620">
        <f t="shared" si="335"/>
        <v>33.731666666666669</v>
      </c>
      <c r="AY370" s="698">
        <f t="shared" si="336"/>
        <v>228.44359723666662</v>
      </c>
      <c r="AZ370" s="75"/>
      <c r="BA370" s="650">
        <v>1000</v>
      </c>
      <c r="BB370" s="620">
        <v>103.50685607036536</v>
      </c>
      <c r="BC370" s="720">
        <f>(BB379-BB380)/BB361</f>
        <v>0.79028581395991038</v>
      </c>
      <c r="BD370" s="714">
        <f>D370-BB377</f>
        <v>26.70999999999998</v>
      </c>
      <c r="BE370" s="693">
        <f>BB379-BB380</f>
        <v>81.799999999999983</v>
      </c>
      <c r="BF370" s="693">
        <f t="shared" si="337"/>
        <v>32.652811735941299</v>
      </c>
      <c r="BG370" s="668">
        <f t="shared" si="338"/>
        <v>25.805053900818084</v>
      </c>
      <c r="BH370" s="650">
        <v>1000</v>
      </c>
      <c r="BI370" s="620">
        <v>103.50685607036536</v>
      </c>
      <c r="BJ370" s="720">
        <f>(BI379-BI380)/BI361</f>
        <v>0.94447849844402043</v>
      </c>
      <c r="BK370" s="714">
        <f>I370-BI377</f>
        <v>29.350000000000023</v>
      </c>
      <c r="BL370" s="693">
        <f>BI379-BI380</f>
        <v>97.760000000000019</v>
      </c>
      <c r="BM370" s="693">
        <f t="shared" si="339"/>
        <v>30.022504091653047</v>
      </c>
      <c r="BN370" s="668">
        <f t="shared" si="340"/>
        <v>28.35560958401393</v>
      </c>
      <c r="BO370" s="650">
        <v>1000</v>
      </c>
      <c r="BP370" s="681">
        <v>103.50685607036536</v>
      </c>
      <c r="BQ370" s="720">
        <f>(BP379-BP380)/BP361</f>
        <v>0.77212276591291018</v>
      </c>
      <c r="BR370" s="714">
        <f>N370-BP377</f>
        <v>25.810000000000002</v>
      </c>
      <c r="BS370" s="693">
        <f>BP379-BP380</f>
        <v>79.92</v>
      </c>
      <c r="BT370" s="693">
        <f t="shared" si="341"/>
        <v>32.294794794794797</v>
      </c>
      <c r="BU370" s="668">
        <f t="shared" si="342"/>
        <v>24.935546281546813</v>
      </c>
      <c r="BV370" s="650">
        <v>1000</v>
      </c>
      <c r="BW370" s="620">
        <v>103.50685607036536</v>
      </c>
      <c r="BX370" s="720">
        <f>(BW379-BW380)/BW361</f>
        <v>0.97694011623014865</v>
      </c>
      <c r="BY370" s="714">
        <f>S370-BW377</f>
        <v>36.82000000000005</v>
      </c>
      <c r="BZ370" s="693">
        <f>BW379-BW380</f>
        <v>101.12</v>
      </c>
      <c r="CA370" s="693">
        <f t="shared" si="343"/>
        <v>36.412183544303844</v>
      </c>
      <c r="CB370" s="668">
        <f t="shared" si="344"/>
        <v>35.572522823965706</v>
      </c>
      <c r="CC370" s="560"/>
    </row>
    <row r="371" spans="1:81" ht="15.75">
      <c r="A371" s="564"/>
      <c r="B371" s="585" t="s">
        <v>116</v>
      </c>
      <c r="C371" s="559">
        <v>1350</v>
      </c>
      <c r="D371" s="559">
        <v>394.47</v>
      </c>
      <c r="E371" s="652">
        <v>8.89</v>
      </c>
      <c r="F371" s="652">
        <v>9.01</v>
      </c>
      <c r="G371" s="653">
        <v>7.66</v>
      </c>
      <c r="H371" s="559">
        <v>1350</v>
      </c>
      <c r="I371" s="559">
        <v>413.39</v>
      </c>
      <c r="J371" s="620">
        <v>5.18</v>
      </c>
      <c r="K371" s="649">
        <v>5.78</v>
      </c>
      <c r="L371" s="619">
        <v>4.83</v>
      </c>
      <c r="M371" s="559">
        <v>1350</v>
      </c>
      <c r="N371" s="649">
        <v>391.73</v>
      </c>
      <c r="O371" s="559">
        <v>12.25</v>
      </c>
      <c r="P371" s="559">
        <v>10.96</v>
      </c>
      <c r="Q371" s="559">
        <v>12.42</v>
      </c>
      <c r="R371" s="559">
        <v>1350</v>
      </c>
      <c r="S371" s="649">
        <v>422.8</v>
      </c>
      <c r="T371" s="649">
        <v>4.0999999999999996</v>
      </c>
      <c r="U371" s="649">
        <v>3.63</v>
      </c>
      <c r="V371" s="649">
        <v>3.53</v>
      </c>
      <c r="W371" s="5"/>
      <c r="X371" s="650">
        <v>1350</v>
      </c>
      <c r="Y371" s="651">
        <f t="shared" si="321"/>
        <v>0.85199999999999998</v>
      </c>
      <c r="Z371" s="620">
        <v>9.6440000000000001</v>
      </c>
      <c r="AA371" s="620">
        <v>4.5170000000000003</v>
      </c>
      <c r="AB371" s="620">
        <f t="shared" si="322"/>
        <v>4.2749999999999995</v>
      </c>
      <c r="AC371" s="620">
        <f t="shared" si="323"/>
        <v>34.301000000000002</v>
      </c>
      <c r="AD371" s="653">
        <f t="shared" si="324"/>
        <v>373.60924036762492</v>
      </c>
      <c r="AE371" s="650">
        <v>1350</v>
      </c>
      <c r="AF371" s="620">
        <f t="shared" si="325"/>
        <v>0.52633333333333332</v>
      </c>
      <c r="AG371" s="620">
        <v>9.6440000000000001</v>
      </c>
      <c r="AH371" s="620">
        <v>4.5170000000000003</v>
      </c>
      <c r="AI371" s="620">
        <f t="shared" si="326"/>
        <v>4.6006666666666662</v>
      </c>
      <c r="AJ371" s="620">
        <f t="shared" si="327"/>
        <v>33.975333333333339</v>
      </c>
      <c r="AK371" s="653">
        <f t="shared" si="328"/>
        <v>398.25313486793999</v>
      </c>
      <c r="AL371" s="650">
        <v>1350</v>
      </c>
      <c r="AM371" s="620">
        <f t="shared" si="329"/>
        <v>1.1876666666666666</v>
      </c>
      <c r="AN371" s="620">
        <v>9.6440000000000001</v>
      </c>
      <c r="AO371" s="620">
        <v>4.5170000000000003</v>
      </c>
      <c r="AP371" s="620">
        <f t="shared" si="330"/>
        <v>3.9393333333333329</v>
      </c>
      <c r="AQ371" s="620">
        <f t="shared" si="331"/>
        <v>34.63666666666667</v>
      </c>
      <c r="AR371" s="698">
        <f t="shared" si="332"/>
        <v>347.64303233609996</v>
      </c>
      <c r="AS371" s="650">
        <v>1350</v>
      </c>
      <c r="AT371" s="620">
        <f t="shared" si="333"/>
        <v>0.37533333333333335</v>
      </c>
      <c r="AU371" s="620">
        <v>9.6440000000000001</v>
      </c>
      <c r="AV371" s="620">
        <v>4.5170000000000003</v>
      </c>
      <c r="AW371" s="620">
        <f t="shared" si="334"/>
        <v>4.751666666666666</v>
      </c>
      <c r="AX371" s="620">
        <f t="shared" si="335"/>
        <v>33.824333333333335</v>
      </c>
      <c r="AY371" s="698">
        <f t="shared" si="336"/>
        <v>409.49624231842495</v>
      </c>
      <c r="AZ371" s="75"/>
      <c r="BA371" s="650">
        <v>1350</v>
      </c>
      <c r="BB371" s="620">
        <v>103.50685607036536</v>
      </c>
      <c r="BC371" s="720">
        <f>(BB379-BB380)/BB361</f>
        <v>0.79028581395991038</v>
      </c>
      <c r="BD371" s="714">
        <f>D371-BB377</f>
        <v>25.110000000000014</v>
      </c>
      <c r="BE371" s="693">
        <f>BB379-BB380</f>
        <v>81.799999999999983</v>
      </c>
      <c r="BF371" s="693">
        <f t="shared" si="337"/>
        <v>30.696821515892442</v>
      </c>
      <c r="BG371" s="668">
        <f t="shared" si="338"/>
        <v>24.259262577669148</v>
      </c>
      <c r="BH371" s="650">
        <v>1350</v>
      </c>
      <c r="BI371" s="620">
        <v>103.50685607036536</v>
      </c>
      <c r="BJ371" s="720">
        <f>(BI379-BI380)/BI361</f>
        <v>0.94447849844402043</v>
      </c>
      <c r="BK371" s="714">
        <f>I371-BI377</f>
        <v>27.629999999999995</v>
      </c>
      <c r="BL371" s="693">
        <f>BI379-BI380</f>
        <v>97.760000000000019</v>
      </c>
      <c r="BM371" s="693">
        <f t="shared" si="339"/>
        <v>28.263093289689024</v>
      </c>
      <c r="BN371" s="668">
        <f t="shared" si="340"/>
        <v>26.69388391162876</v>
      </c>
      <c r="BO371" s="650">
        <v>1350</v>
      </c>
      <c r="BP371" s="681">
        <v>103.50685607036536</v>
      </c>
      <c r="BQ371" s="720">
        <f>(BP379-BP380)/BP361</f>
        <v>0.77212276591291018</v>
      </c>
      <c r="BR371" s="714">
        <f>N371-BP377</f>
        <v>24.160000000000025</v>
      </c>
      <c r="BS371" s="693">
        <f>BP379-BP380</f>
        <v>79.92</v>
      </c>
      <c r="BT371" s="693">
        <f t="shared" si="341"/>
        <v>30.230230230230259</v>
      </c>
      <c r="BU371" s="668">
        <f t="shared" si="342"/>
        <v>23.341448979549458</v>
      </c>
      <c r="BV371" s="650">
        <v>1350</v>
      </c>
      <c r="BW371" s="620">
        <v>103.50685607036536</v>
      </c>
      <c r="BX371" s="720">
        <f>(BW379-BW380)/BW361</f>
        <v>0.97694011623014865</v>
      </c>
      <c r="BY371" s="714">
        <f>S371-BW377</f>
        <v>34.400000000000034</v>
      </c>
      <c r="BZ371" s="693">
        <f>BW379-BW380</f>
        <v>101.12</v>
      </c>
      <c r="CA371" s="693">
        <f t="shared" si="343"/>
        <v>34.018987341772181</v>
      </c>
      <c r="CB371" s="668">
        <f t="shared" si="344"/>
        <v>33.234513447702874</v>
      </c>
      <c r="CC371" s="560"/>
    </row>
    <row r="372" spans="1:81" ht="15.75">
      <c r="A372" s="564"/>
      <c r="B372" s="585" t="s">
        <v>116</v>
      </c>
      <c r="C372" s="559">
        <v>2500</v>
      </c>
      <c r="D372" s="559">
        <v>391.4</v>
      </c>
      <c r="E372" s="652">
        <v>12.89</v>
      </c>
      <c r="F372" s="652">
        <v>13.55</v>
      </c>
      <c r="G372" s="653">
        <v>12.62</v>
      </c>
      <c r="H372" s="559">
        <v>2500</v>
      </c>
      <c r="I372" s="559">
        <v>410.53</v>
      </c>
      <c r="J372" s="559">
        <v>9.1</v>
      </c>
      <c r="K372" s="649">
        <v>7.96</v>
      </c>
      <c r="L372" s="588">
        <v>8.8800000000000008</v>
      </c>
      <c r="M372" s="559">
        <v>2500</v>
      </c>
      <c r="N372" s="649">
        <v>388.3</v>
      </c>
      <c r="O372" s="559">
        <v>15.87</v>
      </c>
      <c r="P372" s="559">
        <v>14.32</v>
      </c>
      <c r="Q372" s="559">
        <v>16.25</v>
      </c>
      <c r="R372" s="559">
        <v>2500</v>
      </c>
      <c r="S372" s="649">
        <v>417.93</v>
      </c>
      <c r="T372" s="649">
        <v>6.51</v>
      </c>
      <c r="U372" s="649">
        <v>6.13</v>
      </c>
      <c r="V372" s="649">
        <v>6.02</v>
      </c>
      <c r="W372" s="5"/>
      <c r="X372" s="650">
        <v>2500</v>
      </c>
      <c r="Y372" s="651">
        <f t="shared" si="321"/>
        <v>1.302</v>
      </c>
      <c r="Z372" s="620">
        <v>9.6440000000000001</v>
      </c>
      <c r="AA372" s="620">
        <v>4.5170000000000003</v>
      </c>
      <c r="AB372" s="620">
        <f t="shared" si="322"/>
        <v>3.8249999999999993</v>
      </c>
      <c r="AC372" s="620">
        <f t="shared" si="323"/>
        <v>34.751000000000005</v>
      </c>
      <c r="AD372" s="653">
        <f t="shared" si="324"/>
        <v>1161.4109990624997</v>
      </c>
      <c r="AE372" s="650">
        <v>2500</v>
      </c>
      <c r="AF372" s="620">
        <f t="shared" si="325"/>
        <v>0.86466666666666669</v>
      </c>
      <c r="AG372" s="620">
        <v>9.6440000000000001</v>
      </c>
      <c r="AH372" s="620">
        <v>4.5170000000000003</v>
      </c>
      <c r="AI372" s="620">
        <f t="shared" si="326"/>
        <v>4.2623333333333333</v>
      </c>
      <c r="AJ372" s="620">
        <f t="shared" si="327"/>
        <v>34.31366666666667</v>
      </c>
      <c r="AK372" s="653">
        <f t="shared" si="328"/>
        <v>1277.9142921291668</v>
      </c>
      <c r="AL372" s="650">
        <v>2500</v>
      </c>
      <c r="AM372" s="620">
        <f t="shared" si="329"/>
        <v>1.5479999999999998</v>
      </c>
      <c r="AN372" s="620">
        <v>9.6440000000000001</v>
      </c>
      <c r="AO372" s="620">
        <v>4.5170000000000003</v>
      </c>
      <c r="AP372" s="620">
        <f t="shared" si="330"/>
        <v>3.5789999999999997</v>
      </c>
      <c r="AQ372" s="620">
        <f t="shared" si="331"/>
        <v>34.997000000000007</v>
      </c>
      <c r="AR372" s="698">
        <f t="shared" si="332"/>
        <v>1094.4091229625001</v>
      </c>
      <c r="AS372" s="650">
        <v>2500</v>
      </c>
      <c r="AT372" s="620">
        <f t="shared" si="333"/>
        <v>0.622</v>
      </c>
      <c r="AU372" s="620">
        <v>9.6440000000000001</v>
      </c>
      <c r="AV372" s="620">
        <v>4.5170000000000003</v>
      </c>
      <c r="AW372" s="620">
        <f t="shared" si="334"/>
        <v>4.5049999999999999</v>
      </c>
      <c r="AX372" s="620">
        <f t="shared" si="335"/>
        <v>34.071000000000005</v>
      </c>
      <c r="AY372" s="698">
        <f t="shared" si="336"/>
        <v>1341.1176080624998</v>
      </c>
      <c r="AZ372" s="75"/>
      <c r="BA372" s="650">
        <v>2500</v>
      </c>
      <c r="BB372" s="620">
        <v>103.50685607036536</v>
      </c>
      <c r="BC372" s="720">
        <f>(BB379-BB380)/BB361</f>
        <v>0.79028581395991038</v>
      </c>
      <c r="BD372" s="714">
        <f>D372-BB377</f>
        <v>22.039999999999964</v>
      </c>
      <c r="BE372" s="693">
        <f>BB379-BB380</f>
        <v>81.799999999999983</v>
      </c>
      <c r="BF372" s="693">
        <f t="shared" si="337"/>
        <v>26.943765281173555</v>
      </c>
      <c r="BG372" s="668">
        <f t="shared" si="338"/>
        <v>21.293275476377016</v>
      </c>
      <c r="BH372" s="650">
        <v>2500</v>
      </c>
      <c r="BI372" s="620">
        <v>103.50685607036536</v>
      </c>
      <c r="BJ372" s="720">
        <f>(BI379-BI380)/BI361</f>
        <v>0.94447849844402043</v>
      </c>
      <c r="BK372" s="714">
        <f>I372-BI377</f>
        <v>24.769999999999982</v>
      </c>
      <c r="BL372" s="693">
        <f>BI379-BI380</f>
        <v>97.760000000000019</v>
      </c>
      <c r="BM372" s="693">
        <f t="shared" si="339"/>
        <v>25.337561374795392</v>
      </c>
      <c r="BN372" s="668">
        <f t="shared" si="340"/>
        <v>23.93078192149996</v>
      </c>
      <c r="BO372" s="650">
        <v>2500</v>
      </c>
      <c r="BP372" s="681">
        <v>103.50685607036536</v>
      </c>
      <c r="BQ372" s="720">
        <f>(BP379-BP380)/BP361</f>
        <v>0.77212276591291018</v>
      </c>
      <c r="BR372" s="714">
        <f>N372-BP377</f>
        <v>20.730000000000018</v>
      </c>
      <c r="BS372" s="693">
        <f>BP379-BP380</f>
        <v>79.92</v>
      </c>
      <c r="BT372" s="693">
        <f t="shared" si="341"/>
        <v>25.93843843843846</v>
      </c>
      <c r="BU372" s="668">
        <f t="shared" si="342"/>
        <v>20.027658830548852</v>
      </c>
      <c r="BV372" s="650">
        <v>2500</v>
      </c>
      <c r="BW372" s="620">
        <v>103.50685607036536</v>
      </c>
      <c r="BX372" s="720">
        <f>(BW379-BW380)/BW361</f>
        <v>0.97694011623014865</v>
      </c>
      <c r="BY372" s="714">
        <f>S372-BW377</f>
        <v>29.53000000000003</v>
      </c>
      <c r="BZ372" s="693">
        <f>BW379-BW380</f>
        <v>101.12</v>
      </c>
      <c r="CA372" s="693">
        <f t="shared" si="343"/>
        <v>29.202927215189899</v>
      </c>
      <c r="CB372" s="668">
        <f t="shared" si="344"/>
        <v>28.529511107868192</v>
      </c>
      <c r="CC372" s="560"/>
    </row>
    <row r="373" spans="1:81" ht="15.75">
      <c r="A373" s="564"/>
      <c r="B373" s="585" t="s">
        <v>116</v>
      </c>
      <c r="C373" s="559">
        <v>5000</v>
      </c>
      <c r="D373" s="559">
        <v>388.17</v>
      </c>
      <c r="E373" s="652">
        <v>17.670000000000002</v>
      </c>
      <c r="F373" s="652">
        <v>18.61</v>
      </c>
      <c r="G373" s="653">
        <v>16.68</v>
      </c>
      <c r="H373" s="559">
        <v>5000</v>
      </c>
      <c r="I373" s="559">
        <v>407.6</v>
      </c>
      <c r="J373" s="559">
        <v>14.01</v>
      </c>
      <c r="K373" s="649">
        <v>11.79</v>
      </c>
      <c r="L373" s="588">
        <v>13.68</v>
      </c>
      <c r="M373" s="559">
        <v>5000</v>
      </c>
      <c r="N373" s="649">
        <v>384.81</v>
      </c>
      <c r="O373" s="559">
        <v>20.100000000000001</v>
      </c>
      <c r="P373" s="559">
        <v>21.25</v>
      </c>
      <c r="Q373" s="559">
        <v>17.350000000000001</v>
      </c>
      <c r="R373" s="559">
        <v>5000</v>
      </c>
      <c r="S373" s="649">
        <v>413.3</v>
      </c>
      <c r="T373" s="649">
        <v>10.45</v>
      </c>
      <c r="U373" s="649">
        <v>10.220000000000001</v>
      </c>
      <c r="V373" s="649">
        <v>9.84</v>
      </c>
      <c r="W373" s="5"/>
      <c r="X373" s="650">
        <v>5000</v>
      </c>
      <c r="Y373" s="651">
        <f t="shared" si="321"/>
        <v>1.7653333333333332</v>
      </c>
      <c r="Z373" s="620">
        <v>9.6440000000000001</v>
      </c>
      <c r="AA373" s="620">
        <v>4.5170000000000003</v>
      </c>
      <c r="AB373" s="620">
        <f t="shared" si="322"/>
        <v>3.3616666666666664</v>
      </c>
      <c r="AC373" s="620">
        <f t="shared" si="323"/>
        <v>35.214333333333336</v>
      </c>
      <c r="AD373" s="653">
        <f t="shared" si="324"/>
        <v>4137.3408269166657</v>
      </c>
      <c r="AE373" s="650">
        <v>5000</v>
      </c>
      <c r="AF373" s="620">
        <f t="shared" si="325"/>
        <v>1.3159999999999998</v>
      </c>
      <c r="AG373" s="620">
        <v>9.6440000000000001</v>
      </c>
      <c r="AH373" s="620">
        <v>4.5170000000000003</v>
      </c>
      <c r="AI373" s="620">
        <f t="shared" si="326"/>
        <v>3.8109999999999999</v>
      </c>
      <c r="AJ373" s="620">
        <f t="shared" si="327"/>
        <v>34.765000000000008</v>
      </c>
      <c r="AK373" s="653">
        <f t="shared" si="328"/>
        <v>4630.5050542500003</v>
      </c>
      <c r="AL373" s="650">
        <v>5000</v>
      </c>
      <c r="AM373" s="620">
        <f t="shared" si="329"/>
        <v>1.9566666666666666</v>
      </c>
      <c r="AN373" s="620">
        <v>9.6440000000000001</v>
      </c>
      <c r="AO373" s="620">
        <v>4.5170000000000003</v>
      </c>
      <c r="AP373" s="620">
        <f t="shared" si="330"/>
        <v>3.1703333333333337</v>
      </c>
      <c r="AQ373" s="620">
        <f t="shared" si="331"/>
        <v>35.405666666666669</v>
      </c>
      <c r="AR373" s="698">
        <f t="shared" si="332"/>
        <v>3923.059394516667</v>
      </c>
      <c r="AS373" s="650">
        <v>5000</v>
      </c>
      <c r="AT373" s="620">
        <f t="shared" si="333"/>
        <v>1.0169999999999999</v>
      </c>
      <c r="AU373" s="620">
        <v>9.6440000000000001</v>
      </c>
      <c r="AV373" s="620">
        <v>4.5170000000000003</v>
      </c>
      <c r="AW373" s="620">
        <f t="shared" si="334"/>
        <v>4.1099999999999994</v>
      </c>
      <c r="AX373" s="620">
        <f t="shared" si="335"/>
        <v>34.466000000000008</v>
      </c>
      <c r="AY373" s="698">
        <f t="shared" si="336"/>
        <v>4950.8513370000001</v>
      </c>
      <c r="AZ373" s="75"/>
      <c r="BA373" s="650">
        <v>5000</v>
      </c>
      <c r="BB373" s="620">
        <v>103.50685607036536</v>
      </c>
      <c r="BC373" s="720">
        <f>(BB379-BB380)/BB361</f>
        <v>0.79028581395991038</v>
      </c>
      <c r="BD373" s="714">
        <f>D373-BB377</f>
        <v>18.810000000000002</v>
      </c>
      <c r="BE373" s="693">
        <f>BB379-BB380</f>
        <v>81.799999999999983</v>
      </c>
      <c r="BF373" s="693">
        <f t="shared" si="337"/>
        <v>22.995110024449886</v>
      </c>
      <c r="BG373" s="668">
        <f t="shared" si="338"/>
        <v>18.172709242770072</v>
      </c>
      <c r="BH373" s="650">
        <v>5000</v>
      </c>
      <c r="BI373" s="620">
        <v>103.50685607036536</v>
      </c>
      <c r="BJ373" s="720">
        <f>(BI379-BI380)/BI361</f>
        <v>0.94447849844402043</v>
      </c>
      <c r="BK373" s="714">
        <f>I373-BI377</f>
        <v>21.840000000000032</v>
      </c>
      <c r="BL373" s="693">
        <f>BI379-BI380</f>
        <v>97.760000000000019</v>
      </c>
      <c r="BM373" s="693">
        <f t="shared" si="339"/>
        <v>22.340425531914924</v>
      </c>
      <c r="BN373" s="668">
        <f t="shared" si="340"/>
        <v>21.100051560983463</v>
      </c>
      <c r="BO373" s="650">
        <v>5000</v>
      </c>
      <c r="BP373" s="681">
        <v>103.50685607036536</v>
      </c>
      <c r="BQ373" s="720">
        <f>(BP379-BP380)/BP361</f>
        <v>0.77212276591291018</v>
      </c>
      <c r="BR373" s="714">
        <f>N373-BP377</f>
        <v>17.240000000000009</v>
      </c>
      <c r="BS373" s="693">
        <f>BP379-BP380</f>
        <v>79.92</v>
      </c>
      <c r="BT373" s="693">
        <f t="shared" si="341"/>
        <v>21.571571571571582</v>
      </c>
      <c r="BU373" s="668">
        <f t="shared" si="342"/>
        <v>16.655901506930153</v>
      </c>
      <c r="BV373" s="650">
        <v>5000</v>
      </c>
      <c r="BW373" s="620">
        <v>103.50685607036536</v>
      </c>
      <c r="BX373" s="720">
        <f>(BW379-BW380)/BW361</f>
        <v>0.97694011623014865</v>
      </c>
      <c r="BY373" s="714">
        <f>S373-BW377</f>
        <v>24.900000000000034</v>
      </c>
      <c r="BZ373" s="693">
        <f>BW379-BW380</f>
        <v>101.12</v>
      </c>
      <c r="CA373" s="693">
        <f t="shared" si="343"/>
        <v>24.624208860759524</v>
      </c>
      <c r="CB373" s="668">
        <f t="shared" si="344"/>
        <v>24.056377466505865</v>
      </c>
      <c r="CC373" s="560"/>
    </row>
    <row r="374" spans="1:81" ht="15.75">
      <c r="A374" s="564"/>
      <c r="B374" s="585" t="s">
        <v>116</v>
      </c>
      <c r="C374" s="559">
        <v>7000</v>
      </c>
      <c r="D374" s="559">
        <v>386.51</v>
      </c>
      <c r="E374" s="652">
        <v>18.88</v>
      </c>
      <c r="F374" s="652">
        <v>21.31</v>
      </c>
      <c r="G374" s="653">
        <v>18.93</v>
      </c>
      <c r="H374" s="559">
        <v>7000</v>
      </c>
      <c r="I374" s="655">
        <v>405.82</v>
      </c>
      <c r="J374" s="559">
        <v>16.170000000000002</v>
      </c>
      <c r="K374" s="649">
        <v>16.14</v>
      </c>
      <c r="L374" s="588">
        <v>14</v>
      </c>
      <c r="M374" s="559">
        <v>7000</v>
      </c>
      <c r="N374" s="649">
        <v>383.08</v>
      </c>
      <c r="O374" s="559">
        <v>21.27</v>
      </c>
      <c r="P374" s="559">
        <v>22.76</v>
      </c>
      <c r="Q374" s="559">
        <v>19.190000000000001</v>
      </c>
      <c r="R374" s="559">
        <v>7000</v>
      </c>
      <c r="S374" s="649">
        <v>410.82</v>
      </c>
      <c r="T374" s="649">
        <v>12.3</v>
      </c>
      <c r="U374" s="649">
        <v>12</v>
      </c>
      <c r="V374" s="649">
        <v>11.92</v>
      </c>
      <c r="W374" s="5"/>
      <c r="X374" s="650">
        <v>7000</v>
      </c>
      <c r="Y374" s="651">
        <f t="shared" si="321"/>
        <v>1.9706666666666668</v>
      </c>
      <c r="Z374" s="620">
        <v>9.6440000000000001</v>
      </c>
      <c r="AA374" s="620">
        <v>4.5170000000000003</v>
      </c>
      <c r="AB374" s="620">
        <f t="shared" si="322"/>
        <v>3.1563333333333325</v>
      </c>
      <c r="AC374" s="620">
        <f t="shared" si="323"/>
        <v>35.419666666666672</v>
      </c>
      <c r="AD374" s="653">
        <f t="shared" si="324"/>
        <v>7658.2683996046644</v>
      </c>
      <c r="AE374" s="650">
        <v>7000</v>
      </c>
      <c r="AF374" s="620">
        <f t="shared" si="325"/>
        <v>1.5436666666666667</v>
      </c>
      <c r="AG374" s="620">
        <v>9.6440000000000001</v>
      </c>
      <c r="AH374" s="620">
        <v>4.5170000000000003</v>
      </c>
      <c r="AI374" s="620">
        <f t="shared" si="326"/>
        <v>3.583333333333333</v>
      </c>
      <c r="AJ374" s="620">
        <f t="shared" si="327"/>
        <v>34.992666666666672</v>
      </c>
      <c r="AK374" s="653">
        <f t="shared" si="328"/>
        <v>8589.492419666667</v>
      </c>
      <c r="AL374" s="650">
        <v>7000</v>
      </c>
      <c r="AM374" s="620">
        <f t="shared" si="329"/>
        <v>2.1073333333333335</v>
      </c>
      <c r="AN374" s="620">
        <v>9.6440000000000001</v>
      </c>
      <c r="AO374" s="620">
        <v>4.5170000000000003</v>
      </c>
      <c r="AP374" s="620">
        <f t="shared" si="330"/>
        <v>3.0196666666666658</v>
      </c>
      <c r="AQ374" s="620">
        <f t="shared" si="331"/>
        <v>35.556333333333342</v>
      </c>
      <c r="AR374" s="698">
        <f t="shared" si="332"/>
        <v>7354.9415436046656</v>
      </c>
      <c r="AS374" s="650">
        <v>7000</v>
      </c>
      <c r="AT374" s="620">
        <f t="shared" si="333"/>
        <v>1.2073333333333331</v>
      </c>
      <c r="AU374" s="620">
        <v>9.6440000000000001</v>
      </c>
      <c r="AV374" s="620">
        <v>4.5170000000000003</v>
      </c>
      <c r="AW374" s="620">
        <f t="shared" si="334"/>
        <v>3.9196666666666662</v>
      </c>
      <c r="AX374" s="620">
        <f t="shared" si="335"/>
        <v>34.656333333333336</v>
      </c>
      <c r="AY374" s="698">
        <f t="shared" si="336"/>
        <v>9305.3989896046642</v>
      </c>
      <c r="AZ374" s="75"/>
      <c r="BA374" s="650">
        <v>7000</v>
      </c>
      <c r="BB374" s="620">
        <v>103.50685607036536</v>
      </c>
      <c r="BC374" s="720">
        <f>(BB379-BB380)/BB361</f>
        <v>0.79028581395991038</v>
      </c>
      <c r="BD374" s="714">
        <f>D374-BB377</f>
        <v>17.149999999999977</v>
      </c>
      <c r="BE374" s="693">
        <f>BB379-BB380</f>
        <v>81.799999999999983</v>
      </c>
      <c r="BF374" s="693">
        <f t="shared" si="337"/>
        <v>20.965770171149121</v>
      </c>
      <c r="BG374" s="668">
        <f t="shared" si="338"/>
        <v>16.568950745002994</v>
      </c>
      <c r="BH374" s="650">
        <v>7000</v>
      </c>
      <c r="BI374" s="620">
        <v>103.50685607036536</v>
      </c>
      <c r="BJ374" s="720">
        <f>(BI379-BI380)/BI361</f>
        <v>0.94447849844402043</v>
      </c>
      <c r="BK374" s="714">
        <f>I374-BI377</f>
        <v>20.060000000000002</v>
      </c>
      <c r="BL374" s="693">
        <f>BI379-BI380</f>
        <v>97.760000000000019</v>
      </c>
      <c r="BM374" s="693">
        <f t="shared" si="339"/>
        <v>20.519639934533551</v>
      </c>
      <c r="BN374" s="668">
        <f t="shared" si="340"/>
        <v>19.380358713980204</v>
      </c>
      <c r="BO374" s="650">
        <v>7000</v>
      </c>
      <c r="BP374" s="681">
        <v>103.50685607036536</v>
      </c>
      <c r="BQ374" s="720">
        <f>(BP379-BP380)/BP361</f>
        <v>0.77212276591291018</v>
      </c>
      <c r="BR374" s="714">
        <f>N374-BP377</f>
        <v>15.509999999999991</v>
      </c>
      <c r="BS374" s="693">
        <f>BP379-BP380</f>
        <v>79.92</v>
      </c>
      <c r="BT374" s="693">
        <f t="shared" si="341"/>
        <v>19.406906906906897</v>
      </c>
      <c r="BU374" s="668">
        <f t="shared" si="342"/>
        <v>14.984514638775314</v>
      </c>
      <c r="BV374" s="650">
        <v>7000</v>
      </c>
      <c r="BW374" s="620">
        <v>103.50685607036536</v>
      </c>
      <c r="BX374" s="720">
        <f>(BW379-BW380)/BW361</f>
        <v>0.97694011623014865</v>
      </c>
      <c r="BY374" s="714">
        <f>S374-BW377</f>
        <v>22.420000000000016</v>
      </c>
      <c r="BZ374" s="693">
        <f>BW379-BW380</f>
        <v>101.12</v>
      </c>
      <c r="CA374" s="693">
        <f t="shared" si="343"/>
        <v>22.171677215189888</v>
      </c>
      <c r="CB374" s="668">
        <f t="shared" si="344"/>
        <v>21.660400915624948</v>
      </c>
      <c r="CC374" s="560"/>
    </row>
    <row r="375" spans="1:81" ht="15.75">
      <c r="A375" s="564"/>
      <c r="B375" s="585" t="s">
        <v>116</v>
      </c>
      <c r="C375" s="559">
        <v>9000</v>
      </c>
      <c r="D375" s="559">
        <v>385.25</v>
      </c>
      <c r="E375" s="27">
        <v>20.86</v>
      </c>
      <c r="F375" s="27">
        <v>22.81</v>
      </c>
      <c r="G375" s="94">
        <v>21.31</v>
      </c>
      <c r="H375" s="559">
        <v>9000</v>
      </c>
      <c r="I375" s="559">
        <v>404.35</v>
      </c>
      <c r="J375" s="559">
        <v>17.77</v>
      </c>
      <c r="K375" s="649">
        <v>16.829999999999998</v>
      </c>
      <c r="L375" s="588">
        <v>14.52</v>
      </c>
      <c r="M375" s="559">
        <v>9000</v>
      </c>
      <c r="N375" s="649">
        <v>381.75</v>
      </c>
      <c r="O375" s="559">
        <v>21.72</v>
      </c>
      <c r="P375" s="559">
        <v>24.09</v>
      </c>
      <c r="Q375" s="559">
        <v>20.48</v>
      </c>
      <c r="R375" s="559">
        <v>9000</v>
      </c>
      <c r="S375" s="649">
        <v>408.99</v>
      </c>
      <c r="T375" s="649">
        <v>13.71</v>
      </c>
      <c r="U375" s="649">
        <v>13.35</v>
      </c>
      <c r="V375" s="649">
        <v>13.48</v>
      </c>
      <c r="W375" s="5"/>
      <c r="X375" s="650">
        <v>9000</v>
      </c>
      <c r="Y375" s="651">
        <f t="shared" si="321"/>
        <v>2.1659999999999999</v>
      </c>
      <c r="Z375" s="620">
        <v>9.6440000000000001</v>
      </c>
      <c r="AA375" s="620">
        <v>4.5170000000000003</v>
      </c>
      <c r="AB375" s="620">
        <f t="shared" si="322"/>
        <v>2.9610000000000003</v>
      </c>
      <c r="AC375" s="620">
        <f t="shared" si="323"/>
        <v>35.615000000000002</v>
      </c>
      <c r="AD375" s="653">
        <f t="shared" si="324"/>
        <v>11941.628226569999</v>
      </c>
      <c r="AE375" s="650">
        <v>9000</v>
      </c>
      <c r="AF375" s="620">
        <f t="shared" si="325"/>
        <v>1.6373333333333331</v>
      </c>
      <c r="AG375" s="620">
        <v>9.6440000000000001</v>
      </c>
      <c r="AH375" s="620">
        <v>4.5170000000000003</v>
      </c>
      <c r="AI375" s="620">
        <f t="shared" si="326"/>
        <v>3.4896666666666665</v>
      </c>
      <c r="AJ375" s="620">
        <f t="shared" si="327"/>
        <v>35.086333333333336</v>
      </c>
      <c r="AK375" s="653">
        <f t="shared" si="328"/>
        <v>13864.816318121999</v>
      </c>
      <c r="AL375" s="650">
        <v>9000</v>
      </c>
      <c r="AM375" s="620">
        <f t="shared" si="329"/>
        <v>2.2096666666666667</v>
      </c>
      <c r="AN375" s="620">
        <v>9.6440000000000001</v>
      </c>
      <c r="AO375" s="620">
        <v>4.5170000000000003</v>
      </c>
      <c r="AP375" s="620">
        <f t="shared" si="330"/>
        <v>2.9173333333333336</v>
      </c>
      <c r="AQ375" s="620">
        <f t="shared" si="331"/>
        <v>35.658666666666669</v>
      </c>
      <c r="AR375" s="698">
        <f t="shared" si="332"/>
        <v>11779.947224063999</v>
      </c>
      <c r="AS375" s="650">
        <v>9000</v>
      </c>
      <c r="AT375" s="620">
        <f t="shared" si="333"/>
        <v>1.3513333333333335</v>
      </c>
      <c r="AU375" s="620">
        <v>9.6440000000000001</v>
      </c>
      <c r="AV375" s="620">
        <v>4.5170000000000003</v>
      </c>
      <c r="AW375" s="620">
        <f t="shared" si="334"/>
        <v>3.7756666666666661</v>
      </c>
      <c r="AX375" s="620">
        <f t="shared" si="335"/>
        <v>34.800333333333342</v>
      </c>
      <c r="AY375" s="698">
        <f t="shared" si="336"/>
        <v>14878.845697913999</v>
      </c>
      <c r="AZ375" s="75"/>
      <c r="BA375" s="650">
        <v>9000</v>
      </c>
      <c r="BB375" s="620">
        <v>103.50685607036536</v>
      </c>
      <c r="BC375" s="720">
        <f>(BB379-BB380)/BB361</f>
        <v>0.79028581395991038</v>
      </c>
      <c r="BD375" s="714">
        <f>D375-BB377</f>
        <v>15.889999999999986</v>
      </c>
      <c r="BE375" s="693">
        <f>BB379-BB380</f>
        <v>81.799999999999983</v>
      </c>
      <c r="BF375" s="693">
        <f t="shared" si="337"/>
        <v>19.425427872860624</v>
      </c>
      <c r="BG375" s="668">
        <f t="shared" si="338"/>
        <v>15.351640078023188</v>
      </c>
      <c r="BH375" s="650">
        <v>9000</v>
      </c>
      <c r="BI375" s="620">
        <v>103.50685607036536</v>
      </c>
      <c r="BJ375" s="720">
        <f>(BI379-BI380)/BI361</f>
        <v>0.94447849844402043</v>
      </c>
      <c r="BK375" s="714">
        <f>I375-BI377</f>
        <v>18.590000000000032</v>
      </c>
      <c r="BL375" s="693">
        <f>BI379-BI380</f>
        <v>97.760000000000019</v>
      </c>
      <c r="BM375" s="693">
        <f t="shared" si="339"/>
        <v>19.015957446808539</v>
      </c>
      <c r="BN375" s="668">
        <f t="shared" si="340"/>
        <v>17.960162935837118</v>
      </c>
      <c r="BO375" s="650">
        <v>9000</v>
      </c>
      <c r="BP375" s="681">
        <v>103.50685607036536</v>
      </c>
      <c r="BQ375" s="720">
        <f>(BP379-BP380)/BP361</f>
        <v>0.77212276591291018</v>
      </c>
      <c r="BR375" s="714">
        <f>N375-BP377</f>
        <v>14.180000000000007</v>
      </c>
      <c r="BS375" s="693">
        <f>BP379-BP380</f>
        <v>79.92</v>
      </c>
      <c r="BT375" s="693">
        <f t="shared" si="341"/>
        <v>17.742742742742752</v>
      </c>
      <c r="BU375" s="668">
        <f t="shared" si="342"/>
        <v>13.699575601407748</v>
      </c>
      <c r="BV375" s="650">
        <v>9000</v>
      </c>
      <c r="BW375" s="620">
        <v>103.50685607036536</v>
      </c>
      <c r="BX375" s="720">
        <f>(BW379-BW380)/BW361</f>
        <v>0.97694011623014865</v>
      </c>
      <c r="BY375" s="714">
        <f>S375-BW377</f>
        <v>20.590000000000032</v>
      </c>
      <c r="BZ375" s="693">
        <f>BW379-BW380</f>
        <v>101.12</v>
      </c>
      <c r="CA375" s="693">
        <f t="shared" si="343"/>
        <v>20.361946202531676</v>
      </c>
      <c r="CB375" s="668">
        <f t="shared" si="344"/>
        <v>19.892402089773331</v>
      </c>
      <c r="CC375" s="560"/>
    </row>
    <row r="376" spans="1:81" ht="15.75">
      <c r="A376" s="564"/>
      <c r="B376" s="599" t="s">
        <v>116</v>
      </c>
      <c r="C376" s="605">
        <v>10000</v>
      </c>
      <c r="D376" s="605">
        <v>384.43</v>
      </c>
      <c r="E376" s="656">
        <v>21.19</v>
      </c>
      <c r="F376" s="656">
        <v>23.41</v>
      </c>
      <c r="G376" s="657">
        <v>20.98</v>
      </c>
      <c r="H376" s="605">
        <v>10000</v>
      </c>
      <c r="I376" s="605">
        <v>403.37</v>
      </c>
      <c r="J376" s="605">
        <v>17.350000000000001</v>
      </c>
      <c r="K376" s="658">
        <v>18.05</v>
      </c>
      <c r="L376" s="646">
        <v>16.04</v>
      </c>
      <c r="M376" s="605">
        <v>10000</v>
      </c>
      <c r="N376" s="649">
        <v>380.95</v>
      </c>
      <c r="O376" s="559">
        <v>20.86</v>
      </c>
      <c r="P376" s="559">
        <v>22.5</v>
      </c>
      <c r="Q376" s="559">
        <v>24.77</v>
      </c>
      <c r="R376" s="605">
        <v>10000</v>
      </c>
      <c r="S376" s="649">
        <v>407.78</v>
      </c>
      <c r="T376" s="649">
        <v>14.91</v>
      </c>
      <c r="U376" s="649">
        <v>14.49</v>
      </c>
      <c r="V376" s="649">
        <v>14.46</v>
      </c>
      <c r="W376" s="5"/>
      <c r="X376" s="660">
        <v>10000</v>
      </c>
      <c r="Y376" s="608">
        <f t="shared" si="321"/>
        <v>2.1859999999999999</v>
      </c>
      <c r="Z376" s="609">
        <v>9.6440000000000001</v>
      </c>
      <c r="AA376" s="609">
        <v>4.5170000000000003</v>
      </c>
      <c r="AB376" s="609">
        <f t="shared" si="322"/>
        <v>2.9409999999999998</v>
      </c>
      <c r="AC376" s="609">
        <f t="shared" si="323"/>
        <v>35.635000000000005</v>
      </c>
      <c r="AD376" s="702">
        <f t="shared" si="324"/>
        <v>14651.394392999999</v>
      </c>
      <c r="AE376" s="660">
        <v>10000</v>
      </c>
      <c r="AF376" s="609">
        <f t="shared" si="325"/>
        <v>1.7146666666666668</v>
      </c>
      <c r="AG376" s="609">
        <v>9.6440000000000001</v>
      </c>
      <c r="AH376" s="609">
        <v>4.5170000000000003</v>
      </c>
      <c r="AI376" s="609">
        <f t="shared" si="326"/>
        <v>3.4123333333333328</v>
      </c>
      <c r="AJ376" s="609">
        <f t="shared" si="327"/>
        <v>35.163666666666671</v>
      </c>
      <c r="AK376" s="702">
        <f t="shared" si="328"/>
        <v>16774.623234066665</v>
      </c>
      <c r="AL376" s="660">
        <v>10000</v>
      </c>
      <c r="AM376" s="609">
        <f t="shared" si="329"/>
        <v>2.2709999999999999</v>
      </c>
      <c r="AN376" s="609">
        <v>9.6440000000000001</v>
      </c>
      <c r="AO376" s="609">
        <v>4.5170000000000003</v>
      </c>
      <c r="AP376" s="609">
        <f t="shared" si="330"/>
        <v>2.8559999999999999</v>
      </c>
      <c r="AQ376" s="609">
        <f t="shared" si="331"/>
        <v>35.720000000000006</v>
      </c>
      <c r="AR376" s="699">
        <f t="shared" si="332"/>
        <v>14261.881536000001</v>
      </c>
      <c r="AS376" s="660">
        <v>10000</v>
      </c>
      <c r="AT376" s="609">
        <f t="shared" si="333"/>
        <v>1.462</v>
      </c>
      <c r="AU376" s="609">
        <v>9.6440000000000001</v>
      </c>
      <c r="AV376" s="609">
        <v>4.5170000000000003</v>
      </c>
      <c r="AW376" s="609">
        <f t="shared" si="334"/>
        <v>3.665</v>
      </c>
      <c r="AX376" s="609">
        <f t="shared" si="335"/>
        <v>34.911000000000008</v>
      </c>
      <c r="AY376" s="699">
        <f t="shared" si="336"/>
        <v>17887.244337000004</v>
      </c>
      <c r="AZ376" s="75"/>
      <c r="BA376" s="660">
        <v>10000</v>
      </c>
      <c r="BB376" s="609">
        <v>103.50685607036536</v>
      </c>
      <c r="BC376" s="720">
        <f>(BB379-BB380)/BB361</f>
        <v>0.79028581395991038</v>
      </c>
      <c r="BD376" s="714">
        <f>D376-BB377</f>
        <v>15.069999999999993</v>
      </c>
      <c r="BE376" s="682">
        <f>BB379-BB380</f>
        <v>81.799999999999983</v>
      </c>
      <c r="BF376" s="682">
        <f t="shared" si="337"/>
        <v>18.42298288508557</v>
      </c>
      <c r="BG376" s="683">
        <f t="shared" si="338"/>
        <v>14.559422024909347</v>
      </c>
      <c r="BH376" s="660">
        <v>10000</v>
      </c>
      <c r="BI376" s="609">
        <v>103.50685607036536</v>
      </c>
      <c r="BJ376" s="720">
        <f>(BI379-BI380)/BI361</f>
        <v>0.94447849844402043</v>
      </c>
      <c r="BK376" s="714">
        <f>I376-BI377</f>
        <v>17.610000000000014</v>
      </c>
      <c r="BL376" s="682">
        <f>BI379-BI380</f>
        <v>97.760000000000019</v>
      </c>
      <c r="BM376" s="682">
        <f t="shared" si="339"/>
        <v>18.01350245499183</v>
      </c>
      <c r="BN376" s="683">
        <f t="shared" si="340"/>
        <v>17.013365750408358</v>
      </c>
      <c r="BO376" s="660">
        <v>10000</v>
      </c>
      <c r="BP376" s="684">
        <v>103.50685607036536</v>
      </c>
      <c r="BQ376" s="720">
        <f>(BP379-BP380)/BP361</f>
        <v>0.77212276591291018</v>
      </c>
      <c r="BR376" s="714">
        <f>N376-BP377</f>
        <v>13.379999999999995</v>
      </c>
      <c r="BS376" s="682">
        <f>BP379-BP380</f>
        <v>79.92</v>
      </c>
      <c r="BT376" s="682">
        <f t="shared" si="341"/>
        <v>16.741741741741738</v>
      </c>
      <c r="BU376" s="683">
        <f t="shared" si="342"/>
        <v>12.926679939833253</v>
      </c>
      <c r="BV376" s="660">
        <v>10000</v>
      </c>
      <c r="BW376" s="609">
        <v>103.50685607036536</v>
      </c>
      <c r="BX376" s="720">
        <f>(BW379-BW380)/BW361</f>
        <v>0.97694011623014865</v>
      </c>
      <c r="BY376" s="714">
        <f>S376-BW377</f>
        <v>19.379999999999995</v>
      </c>
      <c r="BZ376" s="682">
        <f>BW379-BW380</f>
        <v>101.12</v>
      </c>
      <c r="CA376" s="682">
        <f t="shared" si="343"/>
        <v>19.165348101265817</v>
      </c>
      <c r="CB376" s="683">
        <f t="shared" si="344"/>
        <v>18.723397401641886</v>
      </c>
      <c r="CC376" s="560"/>
    </row>
    <row r="377" spans="1:81" ht="45">
      <c r="A377" s="560"/>
      <c r="B377" s="560"/>
      <c r="C377" s="559"/>
      <c r="D377" s="559"/>
      <c r="E377" s="560"/>
      <c r="F377" s="560"/>
      <c r="G377" s="560"/>
      <c r="H377" s="560"/>
      <c r="I377" s="560"/>
      <c r="J377" s="560"/>
      <c r="K377" s="560"/>
      <c r="L377" s="560"/>
      <c r="M377" s="560"/>
      <c r="N377" s="661"/>
      <c r="O377" s="559"/>
      <c r="P377" s="559"/>
      <c r="Q377" s="559"/>
      <c r="R377" s="560"/>
      <c r="S377" s="661"/>
      <c r="T377" s="560"/>
      <c r="U377" s="560"/>
      <c r="V377" s="560"/>
      <c r="X377" s="560"/>
      <c r="Y377" s="560"/>
      <c r="Z377" s="560"/>
      <c r="AA377" s="560"/>
      <c r="AB377" s="560"/>
      <c r="AC377" s="560"/>
      <c r="AD377" s="560"/>
      <c r="AE377" s="559"/>
      <c r="AF377" s="559"/>
      <c r="AG377" s="559"/>
      <c r="AH377" s="559"/>
      <c r="AI377" s="559"/>
      <c r="AJ377" s="559"/>
      <c r="AK377" s="559"/>
      <c r="AL377" s="560"/>
      <c r="AM377" s="560"/>
      <c r="AN377" s="559"/>
      <c r="AO377" s="559"/>
      <c r="AP377" s="560"/>
      <c r="AQ377" s="560"/>
      <c r="AR377" s="560"/>
      <c r="AS377" s="560"/>
      <c r="AT377" s="560"/>
      <c r="AU377" s="560"/>
      <c r="AV377" s="560"/>
      <c r="AW377" s="560"/>
      <c r="AX377" s="560"/>
      <c r="AY377" s="560"/>
      <c r="AZ377" s="791" t="s">
        <v>144</v>
      </c>
      <c r="BA377" s="709" t="s">
        <v>1047</v>
      </c>
      <c r="BB377" s="565">
        <f>BB379+BB378</f>
        <v>369.36</v>
      </c>
      <c r="BC377" s="559" t="s">
        <v>1053</v>
      </c>
      <c r="BD377" s="559"/>
      <c r="BE377" s="559"/>
      <c r="BF377" s="559"/>
      <c r="BG377" s="559"/>
      <c r="BH377" s="709" t="s">
        <v>1047</v>
      </c>
      <c r="BI377" s="565">
        <f>BI379+BI378</f>
        <v>385.76</v>
      </c>
      <c r="BJ377" s="730" t="s">
        <v>1053</v>
      </c>
      <c r="BK377" s="569"/>
      <c r="BL377" s="569"/>
      <c r="BM377" s="569"/>
      <c r="BN377" s="569"/>
      <c r="BO377" s="709" t="s">
        <v>1047</v>
      </c>
      <c r="BP377" s="565">
        <f>BP379+BP378</f>
        <v>367.57</v>
      </c>
      <c r="BQ377" s="730" t="s">
        <v>1053</v>
      </c>
      <c r="BR377" s="559"/>
      <c r="BS377" s="559"/>
      <c r="BT377" s="559"/>
      <c r="BU377" s="559"/>
      <c r="BV377" s="709" t="s">
        <v>1047</v>
      </c>
      <c r="BW377" s="565">
        <f>BW379+BW378</f>
        <v>388.4</v>
      </c>
      <c r="BX377" s="560"/>
      <c r="BY377" s="560"/>
      <c r="BZ377" s="560"/>
      <c r="CA377" s="560"/>
      <c r="CB377" s="560"/>
      <c r="CC377" s="560"/>
    </row>
    <row r="378" spans="1:81">
      <c r="A378" s="560"/>
      <c r="B378" s="560"/>
      <c r="C378" s="559"/>
      <c r="D378" s="560"/>
      <c r="E378" s="560"/>
      <c r="F378" s="560"/>
      <c r="G378" s="560"/>
      <c r="H378" s="560"/>
      <c r="I378" s="560"/>
      <c r="J378" s="560"/>
      <c r="K378" s="560"/>
      <c r="L378" s="560"/>
      <c r="M378" s="560"/>
      <c r="N378" s="560"/>
      <c r="O378" s="559"/>
      <c r="P378" s="559"/>
      <c r="Q378" s="559"/>
      <c r="R378" s="560"/>
      <c r="S378" s="560"/>
      <c r="T378" s="560"/>
      <c r="U378" s="560"/>
      <c r="V378" s="560"/>
      <c r="X378" s="560"/>
      <c r="Y378" s="560"/>
      <c r="Z378" s="560"/>
      <c r="AA378" s="560"/>
      <c r="AB378" s="560"/>
      <c r="AC378" s="560"/>
      <c r="AD378" s="560"/>
      <c r="AE378" s="559"/>
      <c r="AF378" s="559"/>
      <c r="AG378" s="559"/>
      <c r="AH378" s="559"/>
      <c r="AI378" s="559"/>
      <c r="AJ378" s="559"/>
      <c r="AK378" s="559"/>
      <c r="AL378" s="560"/>
      <c r="AM378" s="560"/>
      <c r="AN378" s="559"/>
      <c r="AO378" s="559"/>
      <c r="AP378" s="560"/>
      <c r="AQ378" s="560"/>
      <c r="AR378" s="560"/>
      <c r="AS378" s="560"/>
      <c r="AT378" s="560"/>
      <c r="AU378" s="560"/>
      <c r="AV378" s="560"/>
      <c r="AW378" s="560"/>
      <c r="AX378" s="560"/>
      <c r="AY378" s="560"/>
      <c r="AZ378" s="791"/>
      <c r="BA378" s="655" t="s">
        <v>1048</v>
      </c>
      <c r="BB378" s="569">
        <v>214.97</v>
      </c>
      <c r="BC378" s="559"/>
      <c r="BD378" s="559"/>
      <c r="BE378" s="559"/>
      <c r="BF378" s="559"/>
      <c r="BG378" s="559"/>
      <c r="BH378" s="655" t="s">
        <v>1048</v>
      </c>
      <c r="BI378" s="718">
        <v>214.9</v>
      </c>
      <c r="BJ378" s="559"/>
      <c r="BK378" s="569"/>
      <c r="BL378" s="569"/>
      <c r="BM378" s="569"/>
      <c r="BN378" s="569"/>
      <c r="BO378" s="655" t="s">
        <v>1048</v>
      </c>
      <c r="BP378" s="559">
        <v>214.79</v>
      </c>
      <c r="BQ378" s="560"/>
      <c r="BR378" s="559"/>
      <c r="BS378" s="559"/>
      <c r="BT378" s="620"/>
      <c r="BU378" s="620"/>
      <c r="BV378" s="655" t="s">
        <v>1048</v>
      </c>
      <c r="BW378" s="730">
        <v>214.53</v>
      </c>
      <c r="BX378" s="560"/>
      <c r="BY378" s="560"/>
      <c r="BZ378" s="560"/>
      <c r="CA378" s="560"/>
      <c r="CB378" s="560"/>
      <c r="CC378" s="560"/>
    </row>
    <row r="379" spans="1:81">
      <c r="A379" s="560"/>
      <c r="B379" s="560"/>
      <c r="C379" s="559"/>
      <c r="D379" s="560"/>
      <c r="E379" s="560"/>
      <c r="F379" s="560"/>
      <c r="G379" s="560"/>
      <c r="H379" s="560"/>
      <c r="I379" s="560"/>
      <c r="J379" s="560"/>
      <c r="K379" s="560"/>
      <c r="L379" s="560"/>
      <c r="M379" s="560"/>
      <c r="N379" s="560"/>
      <c r="O379" s="559"/>
      <c r="P379" s="559"/>
      <c r="Q379" s="559"/>
      <c r="R379" s="560"/>
      <c r="S379" s="560"/>
      <c r="T379" s="560"/>
      <c r="U379" s="560"/>
      <c r="V379" s="560"/>
      <c r="X379" s="560"/>
      <c r="Y379" s="560"/>
      <c r="Z379" s="560"/>
      <c r="AA379" s="560"/>
      <c r="AB379" s="560"/>
      <c r="AC379" s="560"/>
      <c r="AD379" s="560"/>
      <c r="AE379" s="559"/>
      <c r="AF379" s="559"/>
      <c r="AG379" s="559"/>
      <c r="AH379" s="559"/>
      <c r="AI379" s="559"/>
      <c r="AJ379" s="559"/>
      <c r="AK379" s="559"/>
      <c r="AL379" s="560"/>
      <c r="AM379" s="560"/>
      <c r="AN379" s="559"/>
      <c r="AO379" s="559"/>
      <c r="AP379" s="560"/>
      <c r="AQ379" s="560"/>
      <c r="AR379" s="560"/>
      <c r="AS379" s="560"/>
      <c r="AT379" s="560"/>
      <c r="AU379" s="560"/>
      <c r="AV379" s="560"/>
      <c r="AW379" s="560"/>
      <c r="AX379" s="560"/>
      <c r="AY379" s="560"/>
      <c r="AZ379" s="791"/>
      <c r="BA379" s="655" t="s">
        <v>1049</v>
      </c>
      <c r="BB379" s="565">
        <v>154.38999999999999</v>
      </c>
      <c r="BC379" s="559"/>
      <c r="BD379" s="559"/>
      <c r="BE379" s="559"/>
      <c r="BF379" s="559"/>
      <c r="BG379" s="559"/>
      <c r="BH379" s="655" t="s">
        <v>1049</v>
      </c>
      <c r="BI379" s="565">
        <v>170.86</v>
      </c>
      <c r="BJ379" s="559"/>
      <c r="BK379" s="569"/>
      <c r="BL379" s="569"/>
      <c r="BM379" s="569"/>
      <c r="BN379" s="569"/>
      <c r="BO379" s="655" t="s">
        <v>1049</v>
      </c>
      <c r="BP379" s="697">
        <v>152.78</v>
      </c>
      <c r="BQ379" s="560"/>
      <c r="BR379" s="559"/>
      <c r="BS379" s="559"/>
      <c r="BT379" s="620"/>
      <c r="BU379" s="620"/>
      <c r="BV379" s="655" t="s">
        <v>1049</v>
      </c>
      <c r="BW379" s="697">
        <v>173.87</v>
      </c>
      <c r="BX379" s="560"/>
      <c r="BY379" s="560"/>
      <c r="BZ379" s="560"/>
      <c r="CA379" s="560"/>
      <c r="CB379" s="560"/>
      <c r="CC379" s="560"/>
    </row>
    <row r="380" spans="1:81">
      <c r="A380" s="560"/>
      <c r="B380" s="560"/>
      <c r="C380" s="559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59"/>
      <c r="P380" s="559"/>
      <c r="Q380" s="559"/>
      <c r="R380" s="560"/>
      <c r="S380" s="560"/>
      <c r="T380" s="560"/>
      <c r="U380" s="560"/>
      <c r="V380" s="560"/>
      <c r="X380" s="560"/>
      <c r="Y380" s="560"/>
      <c r="Z380" s="560"/>
      <c r="AA380" s="560"/>
      <c r="AB380" s="560"/>
      <c r="AC380" s="560"/>
      <c r="AD380" s="560"/>
      <c r="AE380" s="559"/>
      <c r="AF380" s="559"/>
      <c r="AG380" s="559"/>
      <c r="AH380" s="559"/>
      <c r="AI380" s="559"/>
      <c r="AJ380" s="559"/>
      <c r="AK380" s="559"/>
      <c r="AL380" s="560"/>
      <c r="AM380" s="560"/>
      <c r="AN380" s="559"/>
      <c r="AO380" s="559"/>
      <c r="AP380" s="560"/>
      <c r="AQ380" s="560"/>
      <c r="AR380" s="560"/>
      <c r="AS380" s="560"/>
      <c r="AT380" s="560"/>
      <c r="AU380" s="560"/>
      <c r="AV380" s="560"/>
      <c r="AW380" s="560"/>
      <c r="AX380" s="560"/>
      <c r="AY380" s="560"/>
      <c r="AZ380" s="791"/>
      <c r="BA380" s="655" t="s">
        <v>1050</v>
      </c>
      <c r="BB380" s="569">
        <v>72.59</v>
      </c>
      <c r="BC380" s="559"/>
      <c r="BD380" s="560"/>
      <c r="BE380" s="560"/>
      <c r="BF380" s="560"/>
      <c r="BG380" s="560"/>
      <c r="BH380" s="655" t="s">
        <v>1050</v>
      </c>
      <c r="BI380" s="569">
        <v>73.099999999999994</v>
      </c>
      <c r="BJ380" s="559"/>
      <c r="BK380" s="560"/>
      <c r="BL380" s="560"/>
      <c r="BM380" s="560"/>
      <c r="BN380" s="560"/>
      <c r="BO380" s="655" t="s">
        <v>1050</v>
      </c>
      <c r="BP380" s="559">
        <v>72.86</v>
      </c>
      <c r="BQ380" s="560"/>
      <c r="BR380" s="560"/>
      <c r="BS380" s="560"/>
      <c r="BT380" s="560"/>
      <c r="BU380" s="560"/>
      <c r="BV380" s="655" t="s">
        <v>1050</v>
      </c>
      <c r="BW380" s="559">
        <v>72.75</v>
      </c>
      <c r="BX380" s="560"/>
      <c r="BY380" s="560"/>
      <c r="BZ380" s="560"/>
      <c r="CA380" s="560"/>
      <c r="CB380" s="560"/>
      <c r="CC380" s="560"/>
    </row>
    <row r="381" spans="1:81" ht="18.75">
      <c r="A381" s="557" t="s">
        <v>996</v>
      </c>
      <c r="B381" s="558"/>
      <c r="C381" s="639"/>
      <c r="D381" s="639"/>
      <c r="E381" s="562"/>
      <c r="F381" s="639"/>
      <c r="G381" s="560"/>
      <c r="H381" s="560"/>
      <c r="I381" s="560"/>
      <c r="J381" s="560"/>
      <c r="K381" s="560"/>
      <c r="L381" s="560"/>
      <c r="M381" s="560"/>
      <c r="N381" s="560"/>
      <c r="O381" s="559"/>
      <c r="P381" s="559"/>
      <c r="Q381" s="559"/>
      <c r="R381" s="560"/>
      <c r="S381" s="560"/>
      <c r="T381" s="560"/>
      <c r="U381" s="560"/>
      <c r="V381" s="560"/>
      <c r="X381" s="560"/>
      <c r="Y381" s="560"/>
      <c r="Z381" s="560"/>
      <c r="AA381" s="560"/>
      <c r="AB381" s="560"/>
      <c r="AC381" s="560"/>
      <c r="AD381" s="560"/>
      <c r="AE381" s="559"/>
      <c r="AF381" s="559"/>
      <c r="AG381" s="559"/>
      <c r="AH381" s="559"/>
      <c r="AI381" s="559"/>
      <c r="AJ381" s="559"/>
      <c r="AK381" s="559"/>
      <c r="AL381" s="560"/>
      <c r="AM381" s="560"/>
      <c r="AN381" s="559"/>
      <c r="AO381" s="559"/>
      <c r="AP381" s="560"/>
      <c r="AQ381" s="560"/>
      <c r="AR381" s="560"/>
      <c r="AS381" s="560"/>
      <c r="AT381" s="560"/>
      <c r="AU381" s="560"/>
      <c r="AV381" s="560"/>
      <c r="AW381" s="560"/>
      <c r="AX381" s="560"/>
      <c r="AY381" s="560"/>
      <c r="AZ381" s="526"/>
      <c r="BA381" s="560"/>
      <c r="BB381" s="560"/>
      <c r="BC381" s="559"/>
      <c r="BD381" s="560"/>
      <c r="BE381" s="560"/>
      <c r="BF381" s="560"/>
      <c r="BG381" s="560"/>
      <c r="BH381" s="560"/>
      <c r="BI381" s="560"/>
      <c r="BJ381" s="559"/>
      <c r="BK381" s="560"/>
      <c r="BL381" s="560"/>
      <c r="BM381" s="560"/>
      <c r="BN381" s="560"/>
      <c r="BO381" s="560"/>
      <c r="BP381" s="560"/>
      <c r="BQ381" s="560"/>
      <c r="BR381" s="560"/>
      <c r="BS381" s="560"/>
      <c r="BT381" s="560"/>
      <c r="BU381" s="560"/>
      <c r="BV381" s="560"/>
      <c r="BW381" s="560"/>
      <c r="BX381" s="560"/>
      <c r="BY381" s="560"/>
      <c r="BZ381" s="560"/>
      <c r="CA381" s="560"/>
      <c r="CB381" s="560"/>
      <c r="CC381" s="560"/>
    </row>
    <row r="382" spans="1:81" ht="18.75">
      <c r="A382" s="792" t="s">
        <v>995</v>
      </c>
      <c r="B382" s="792"/>
      <c r="C382" s="792"/>
      <c r="D382" s="792"/>
      <c r="E382" s="613"/>
      <c r="F382" s="613"/>
      <c r="G382" s="613"/>
      <c r="H382" s="613"/>
      <c r="I382" s="613"/>
      <c r="J382" s="613"/>
      <c r="K382" s="613"/>
      <c r="L382" s="613"/>
      <c r="M382" s="613"/>
      <c r="N382" s="613"/>
      <c r="O382" s="614"/>
      <c r="P382" s="614"/>
      <c r="Q382" s="614"/>
      <c r="R382" s="613"/>
      <c r="S382" s="613"/>
      <c r="T382" s="613"/>
      <c r="U382" s="613"/>
      <c r="V382" s="613"/>
      <c r="W382" s="90"/>
      <c r="X382" s="613"/>
      <c r="Y382" s="613"/>
      <c r="Z382" s="613"/>
      <c r="AA382" s="613"/>
      <c r="AB382" s="613"/>
      <c r="AC382" s="613"/>
      <c r="AD382" s="613"/>
      <c r="AE382" s="614"/>
      <c r="AF382" s="614"/>
      <c r="AG382" s="614"/>
      <c r="AH382" s="614"/>
      <c r="AI382" s="614"/>
      <c r="AJ382" s="614"/>
      <c r="AK382" s="614"/>
      <c r="AL382" s="613"/>
      <c r="AM382" s="613"/>
      <c r="AN382" s="614"/>
      <c r="AO382" s="614"/>
      <c r="AP382" s="613"/>
      <c r="AQ382" s="613"/>
      <c r="AR382" s="613"/>
      <c r="AS382" s="613"/>
      <c r="AT382" s="613"/>
      <c r="AU382" s="613"/>
      <c r="AV382" s="613"/>
      <c r="AW382" s="613"/>
      <c r="AX382" s="613"/>
      <c r="AY382" s="613"/>
      <c r="AZ382" s="89"/>
      <c r="BA382" s="613"/>
      <c r="BB382" s="613"/>
      <c r="BC382" s="614"/>
      <c r="BD382" s="613"/>
      <c r="BE382" s="613"/>
      <c r="BF382" s="613"/>
      <c r="BG382" s="613"/>
      <c r="BH382" s="613"/>
      <c r="BI382" s="613"/>
      <c r="BJ382" s="614"/>
      <c r="BK382" s="613"/>
      <c r="BL382" s="613"/>
      <c r="BM382" s="613"/>
      <c r="BN382" s="613"/>
      <c r="BO382" s="613"/>
      <c r="BP382" s="613"/>
      <c r="BQ382" s="613"/>
      <c r="BR382" s="613"/>
      <c r="BS382" s="613"/>
      <c r="BT382" s="613"/>
      <c r="BU382" s="613"/>
      <c r="BV382" s="613"/>
      <c r="BW382" s="613"/>
      <c r="BX382" s="613"/>
      <c r="BY382" s="613"/>
      <c r="BZ382" s="613"/>
      <c r="CA382" s="613"/>
      <c r="CB382" s="613"/>
      <c r="CC382" s="560"/>
    </row>
    <row r="383" spans="1:81">
      <c r="A383" s="560"/>
      <c r="B383" s="560"/>
      <c r="C383" s="559"/>
      <c r="D383" s="560"/>
      <c r="E383" s="560"/>
      <c r="F383" s="560"/>
      <c r="G383" s="560"/>
      <c r="H383" s="560"/>
      <c r="I383" s="560"/>
      <c r="J383" s="560"/>
      <c r="K383" s="560"/>
      <c r="L383" s="560"/>
      <c r="M383" s="560"/>
      <c r="N383" s="560"/>
      <c r="O383" s="559"/>
      <c r="P383" s="559"/>
      <c r="Q383" s="559"/>
      <c r="R383" s="560"/>
      <c r="S383" s="560"/>
      <c r="T383" s="560"/>
      <c r="U383" s="560"/>
      <c r="V383" s="560"/>
      <c r="X383" s="560"/>
      <c r="Y383" s="560"/>
      <c r="Z383" s="560"/>
      <c r="AA383" s="560"/>
      <c r="AB383" s="560"/>
      <c r="AC383" s="560"/>
      <c r="AD383" s="560"/>
      <c r="AE383" s="559"/>
      <c r="AF383" s="559"/>
      <c r="AG383" s="559"/>
      <c r="AH383" s="559"/>
      <c r="AI383" s="559"/>
      <c r="AJ383" s="559"/>
      <c r="AK383" s="559"/>
      <c r="AL383" s="560"/>
      <c r="AM383" s="560"/>
      <c r="AN383" s="559"/>
      <c r="AO383" s="559"/>
      <c r="AP383" s="560"/>
      <c r="AQ383" s="560"/>
      <c r="AR383" s="560"/>
      <c r="AS383" s="560"/>
      <c r="AT383" s="560"/>
      <c r="AU383" s="560"/>
      <c r="AV383" s="560"/>
      <c r="AW383" s="560"/>
      <c r="AX383" s="560"/>
      <c r="AY383" s="560"/>
      <c r="AZ383" s="526"/>
      <c r="BA383" s="560"/>
      <c r="BB383" s="560"/>
      <c r="BC383" s="559"/>
      <c r="BD383" s="560"/>
      <c r="BE383" s="560"/>
      <c r="BF383" s="560"/>
      <c r="BG383" s="560"/>
      <c r="BH383" s="560"/>
      <c r="BI383" s="560"/>
      <c r="BJ383" s="559"/>
      <c r="BK383" s="560"/>
      <c r="BL383" s="560"/>
      <c r="BM383" s="560"/>
      <c r="BN383" s="560"/>
      <c r="BO383" s="560"/>
      <c r="BP383" s="560"/>
      <c r="BQ383" s="560"/>
      <c r="BR383" s="560"/>
      <c r="BS383" s="560"/>
      <c r="BT383" s="560"/>
      <c r="BU383" s="560"/>
      <c r="BV383" s="560"/>
      <c r="BW383" s="560"/>
      <c r="BX383" s="560"/>
      <c r="BY383" s="560"/>
      <c r="BZ383" s="560"/>
      <c r="CA383" s="560"/>
      <c r="CB383" s="560"/>
      <c r="CC383" s="560"/>
    </row>
    <row r="384" spans="1:81">
      <c r="A384" s="565" t="s">
        <v>134</v>
      </c>
      <c r="B384" s="640" t="s">
        <v>124</v>
      </c>
      <c r="C384" s="641" t="s">
        <v>119</v>
      </c>
      <c r="D384" s="642" t="s">
        <v>111</v>
      </c>
      <c r="E384" s="569"/>
      <c r="F384" s="569"/>
      <c r="G384" s="570"/>
      <c r="H384" s="640" t="s">
        <v>124</v>
      </c>
      <c r="I384" s="642" t="s">
        <v>119</v>
      </c>
      <c r="J384" s="642" t="s">
        <v>111</v>
      </c>
      <c r="K384" s="569"/>
      <c r="L384" s="569"/>
      <c r="M384" s="571" t="s">
        <v>124</v>
      </c>
      <c r="N384" s="642" t="s">
        <v>119</v>
      </c>
      <c r="O384" s="641" t="s">
        <v>111</v>
      </c>
      <c r="P384" s="559"/>
      <c r="Q384" s="559"/>
      <c r="R384" s="571" t="s">
        <v>124</v>
      </c>
      <c r="S384" s="642" t="s">
        <v>119</v>
      </c>
      <c r="T384" s="642" t="s">
        <v>111</v>
      </c>
      <c r="U384" s="569"/>
      <c r="V384" s="569"/>
      <c r="W384" s="447" t="s">
        <v>133</v>
      </c>
      <c r="X384" s="571" t="s">
        <v>124</v>
      </c>
      <c r="Y384" s="642" t="s">
        <v>119</v>
      </c>
      <c r="Z384" s="642" t="s">
        <v>111</v>
      </c>
      <c r="AA384" s="569"/>
      <c r="AB384" s="569"/>
      <c r="AC384" s="569"/>
      <c r="AD384" s="570"/>
      <c r="AE384" s="640" t="s">
        <v>124</v>
      </c>
      <c r="AF384" s="642" t="s">
        <v>119</v>
      </c>
      <c r="AG384" s="642" t="s">
        <v>111</v>
      </c>
      <c r="AH384" s="569"/>
      <c r="AI384" s="569"/>
      <c r="AJ384" s="569"/>
      <c r="AK384" s="570"/>
      <c r="AL384" s="571" t="s">
        <v>124</v>
      </c>
      <c r="AM384" s="642" t="s">
        <v>119</v>
      </c>
      <c r="AN384" s="642" t="s">
        <v>111</v>
      </c>
      <c r="AO384" s="569"/>
      <c r="AP384" s="569"/>
      <c r="AQ384" s="569"/>
      <c r="AR384" s="700"/>
      <c r="AS384" s="571" t="s">
        <v>124</v>
      </c>
      <c r="AT384" s="642" t="s">
        <v>119</v>
      </c>
      <c r="AU384" s="642" t="s">
        <v>111</v>
      </c>
      <c r="AV384" s="569"/>
      <c r="AW384" s="569"/>
      <c r="AX384" s="569"/>
      <c r="AY384" s="700"/>
      <c r="AZ384" s="447" t="s">
        <v>141</v>
      </c>
      <c r="BA384" s="640" t="s">
        <v>124</v>
      </c>
      <c r="BB384" s="642" t="s">
        <v>119</v>
      </c>
      <c r="BC384" s="642" t="s">
        <v>111</v>
      </c>
      <c r="BD384" s="569"/>
      <c r="BE384" s="569"/>
      <c r="BF384" s="569"/>
      <c r="BG384" s="569"/>
      <c r="BH384" s="640" t="s">
        <v>124</v>
      </c>
      <c r="BI384" s="641" t="s">
        <v>119</v>
      </c>
      <c r="BJ384" s="641" t="s">
        <v>111</v>
      </c>
      <c r="BK384" s="569"/>
      <c r="BL384" s="569"/>
      <c r="BM384" s="569"/>
      <c r="BN384" s="569"/>
      <c r="BO384" s="571" t="s">
        <v>124</v>
      </c>
      <c r="BP384" s="642" t="s">
        <v>119</v>
      </c>
      <c r="BQ384" s="642" t="s">
        <v>111</v>
      </c>
      <c r="BR384" s="560"/>
      <c r="BS384" s="569"/>
      <c r="BT384" s="569"/>
      <c r="BU384" s="569"/>
      <c r="BV384" s="672" t="s">
        <v>124</v>
      </c>
      <c r="BW384" s="641" t="s">
        <v>119</v>
      </c>
      <c r="BX384" s="641" t="s">
        <v>111</v>
      </c>
      <c r="BY384" s="559"/>
      <c r="BZ384" s="559"/>
      <c r="CA384" s="559"/>
      <c r="CB384" s="570"/>
      <c r="CC384" s="560"/>
    </row>
    <row r="385" spans="1:81">
      <c r="A385" s="565"/>
      <c r="B385" s="572"/>
      <c r="C385" s="573" t="s">
        <v>795</v>
      </c>
      <c r="D385" s="574" t="s">
        <v>112</v>
      </c>
      <c r="E385" s="569"/>
      <c r="F385" s="569"/>
      <c r="G385" s="570"/>
      <c r="H385" s="572"/>
      <c r="I385" s="573" t="s">
        <v>795</v>
      </c>
      <c r="J385" s="643" t="s">
        <v>114</v>
      </c>
      <c r="K385" s="569"/>
      <c r="L385" s="569"/>
      <c r="M385" s="572"/>
      <c r="N385" s="573" t="s">
        <v>839</v>
      </c>
      <c r="O385" s="645" t="s">
        <v>4</v>
      </c>
      <c r="P385" s="559"/>
      <c r="Q385" s="559"/>
      <c r="R385" s="572"/>
      <c r="S385" s="573" t="s">
        <v>839</v>
      </c>
      <c r="T385" s="643" t="s">
        <v>114</v>
      </c>
      <c r="U385" s="801"/>
      <c r="V385" s="801"/>
      <c r="W385" s="80"/>
      <c r="X385" s="572"/>
      <c r="Y385" s="573" t="s">
        <v>795</v>
      </c>
      <c r="Z385" s="574" t="s">
        <v>112</v>
      </c>
      <c r="AA385" s="569"/>
      <c r="AB385" s="569"/>
      <c r="AC385" s="569"/>
      <c r="AD385" s="570"/>
      <c r="AE385" s="572"/>
      <c r="AF385" s="573" t="s">
        <v>795</v>
      </c>
      <c r="AG385" s="643" t="s">
        <v>114</v>
      </c>
      <c r="AH385" s="569"/>
      <c r="AI385" s="569"/>
      <c r="AJ385" s="569"/>
      <c r="AK385" s="570"/>
      <c r="AL385" s="572"/>
      <c r="AM385" s="573" t="s">
        <v>839</v>
      </c>
      <c r="AN385" s="645" t="s">
        <v>4</v>
      </c>
      <c r="AO385" s="569"/>
      <c r="AP385" s="569"/>
      <c r="AQ385" s="569"/>
      <c r="AR385" s="700"/>
      <c r="AS385" s="572"/>
      <c r="AT385" s="573" t="s">
        <v>839</v>
      </c>
      <c r="AU385" s="643" t="s">
        <v>114</v>
      </c>
      <c r="AV385" s="795"/>
      <c r="AW385" s="795"/>
      <c r="AX385" s="569"/>
      <c r="AY385" s="700"/>
      <c r="AZ385" s="80"/>
      <c r="BA385" s="572"/>
      <c r="BB385" s="573" t="s">
        <v>795</v>
      </c>
      <c r="BC385" s="574" t="s">
        <v>112</v>
      </c>
      <c r="BD385" s="569"/>
      <c r="BE385" s="569"/>
      <c r="BF385" s="569"/>
      <c r="BG385" s="570"/>
      <c r="BH385" s="572"/>
      <c r="BI385" s="573" t="s">
        <v>795</v>
      </c>
      <c r="BJ385" s="643" t="s">
        <v>114</v>
      </c>
      <c r="BK385" s="569"/>
      <c r="BL385" s="569"/>
      <c r="BM385" s="569"/>
      <c r="BN385" s="570"/>
      <c r="BO385" s="572"/>
      <c r="BP385" s="573" t="s">
        <v>839</v>
      </c>
      <c r="BQ385" s="645" t="s">
        <v>4</v>
      </c>
      <c r="BR385" s="569"/>
      <c r="BS385" s="569"/>
      <c r="BT385" s="569"/>
      <c r="BU385" s="700"/>
      <c r="BV385" s="572"/>
      <c r="BW385" s="573" t="s">
        <v>839</v>
      </c>
      <c r="BX385" s="643" t="s">
        <v>114</v>
      </c>
      <c r="BY385" s="795"/>
      <c r="BZ385" s="795"/>
      <c r="CA385" s="569"/>
      <c r="CB385" s="700"/>
      <c r="CC385" s="560"/>
    </row>
    <row r="386" spans="1:81" ht="63">
      <c r="A386" s="564"/>
      <c r="B386" s="579" t="s">
        <v>122</v>
      </c>
      <c r="C386" s="580" t="s">
        <v>121</v>
      </c>
      <c r="D386" s="581" t="s">
        <v>125</v>
      </c>
      <c r="E386" s="796" t="s">
        <v>1013</v>
      </c>
      <c r="F386" s="796"/>
      <c r="G386" s="797"/>
      <c r="H386" s="582" t="s">
        <v>121</v>
      </c>
      <c r="I386" s="581" t="s">
        <v>125</v>
      </c>
      <c r="J386" s="796" t="s">
        <v>1013</v>
      </c>
      <c r="K386" s="796"/>
      <c r="L386" s="797"/>
      <c r="M386" s="582" t="s">
        <v>121</v>
      </c>
      <c r="N386" s="581" t="s">
        <v>125</v>
      </c>
      <c r="O386" s="796" t="s">
        <v>1013</v>
      </c>
      <c r="P386" s="796"/>
      <c r="Q386" s="797"/>
      <c r="R386" s="582" t="s">
        <v>121</v>
      </c>
      <c r="S386" s="581" t="s">
        <v>125</v>
      </c>
      <c r="T386" s="796" t="s">
        <v>1013</v>
      </c>
      <c r="U386" s="796"/>
      <c r="V386" s="797"/>
      <c r="W386" s="5"/>
      <c r="X386" s="582" t="s">
        <v>121</v>
      </c>
      <c r="Y386" s="584" t="s">
        <v>126</v>
      </c>
      <c r="Z386" s="583" t="s">
        <v>127</v>
      </c>
      <c r="AA386" s="583" t="s">
        <v>128</v>
      </c>
      <c r="AB386" s="583" t="s">
        <v>129</v>
      </c>
      <c r="AC386" s="583" t="s">
        <v>130</v>
      </c>
      <c r="AD386" s="701" t="s">
        <v>131</v>
      </c>
      <c r="AE386" s="582" t="s">
        <v>121</v>
      </c>
      <c r="AF386" s="583" t="s">
        <v>126</v>
      </c>
      <c r="AG386" s="583" t="s">
        <v>127</v>
      </c>
      <c r="AH386" s="583" t="s">
        <v>128</v>
      </c>
      <c r="AI386" s="583" t="s">
        <v>129</v>
      </c>
      <c r="AJ386" s="583" t="s">
        <v>130</v>
      </c>
      <c r="AK386" s="701" t="s">
        <v>131</v>
      </c>
      <c r="AL386" s="582" t="s">
        <v>121</v>
      </c>
      <c r="AM386" s="583" t="s">
        <v>126</v>
      </c>
      <c r="AN386" s="583" t="s">
        <v>127</v>
      </c>
      <c r="AO386" s="583" t="s">
        <v>128</v>
      </c>
      <c r="AP386" s="583" t="s">
        <v>129</v>
      </c>
      <c r="AQ386" s="583" t="s">
        <v>130</v>
      </c>
      <c r="AR386" s="696" t="s">
        <v>131</v>
      </c>
      <c r="AS386" s="582" t="s">
        <v>121</v>
      </c>
      <c r="AT386" s="583" t="s">
        <v>126</v>
      </c>
      <c r="AU386" s="695" t="s">
        <v>127</v>
      </c>
      <c r="AV386" s="695" t="s">
        <v>128</v>
      </c>
      <c r="AW386" s="583" t="s">
        <v>129</v>
      </c>
      <c r="AX386" s="583" t="s">
        <v>130</v>
      </c>
      <c r="AY386" s="696" t="s">
        <v>131</v>
      </c>
      <c r="AZ386" s="75"/>
      <c r="BA386" s="648" t="s">
        <v>121</v>
      </c>
      <c r="BB386" s="583" t="s">
        <v>143</v>
      </c>
      <c r="BC386" s="583" t="s">
        <v>888</v>
      </c>
      <c r="BD386" s="583" t="s">
        <v>1045</v>
      </c>
      <c r="BE386" s="583" t="s">
        <v>1044</v>
      </c>
      <c r="BF386" s="666" t="s">
        <v>1051</v>
      </c>
      <c r="BG386" s="666" t="s">
        <v>1052</v>
      </c>
      <c r="BH386" s="648" t="s">
        <v>121</v>
      </c>
      <c r="BI386" s="583" t="s">
        <v>143</v>
      </c>
      <c r="BJ386" s="583" t="s">
        <v>888</v>
      </c>
      <c r="BK386" s="583" t="s">
        <v>1045</v>
      </c>
      <c r="BL386" s="583" t="s">
        <v>1044</v>
      </c>
      <c r="BM386" s="666" t="s">
        <v>1051</v>
      </c>
      <c r="BN386" s="666" t="s">
        <v>1052</v>
      </c>
      <c r="BO386" s="648" t="s">
        <v>121</v>
      </c>
      <c r="BP386" s="583" t="s">
        <v>143</v>
      </c>
      <c r="BQ386" s="583" t="s">
        <v>888</v>
      </c>
      <c r="BR386" s="583" t="s">
        <v>1045</v>
      </c>
      <c r="BS386" s="583" t="s">
        <v>1044</v>
      </c>
      <c r="BT386" s="666" t="s">
        <v>1051</v>
      </c>
      <c r="BU386" s="666" t="s">
        <v>1052</v>
      </c>
      <c r="BV386" s="648" t="s">
        <v>121</v>
      </c>
      <c r="BW386" s="583" t="s">
        <v>143</v>
      </c>
      <c r="BX386" s="583" t="s">
        <v>888</v>
      </c>
      <c r="BY386" s="583" t="s">
        <v>1045</v>
      </c>
      <c r="BZ386" s="583" t="s">
        <v>1044</v>
      </c>
      <c r="CA386" s="666" t="s">
        <v>1051</v>
      </c>
      <c r="CB386" s="666" t="s">
        <v>1052</v>
      </c>
      <c r="CC386" s="560"/>
    </row>
    <row r="387" spans="1:81" ht="15.75">
      <c r="A387" s="564"/>
      <c r="B387" s="585" t="s">
        <v>120</v>
      </c>
      <c r="C387" s="559">
        <v>0</v>
      </c>
      <c r="D387" s="612">
        <f>215.03+0.11+193.15</f>
        <v>408.29</v>
      </c>
      <c r="E387" s="27">
        <v>3.22</v>
      </c>
      <c r="F387" s="27">
        <v>4.13</v>
      </c>
      <c r="G387" s="94">
        <v>4.49</v>
      </c>
      <c r="H387" s="559">
        <v>0</v>
      </c>
      <c r="I387" s="612">
        <f>214.93+0.09+225.99</f>
        <v>441.01</v>
      </c>
      <c r="J387" s="260">
        <v>0</v>
      </c>
      <c r="K387" s="260">
        <v>0</v>
      </c>
      <c r="L387" s="548">
        <v>0</v>
      </c>
      <c r="M387" s="559">
        <v>0</v>
      </c>
      <c r="N387" s="649">
        <f>214.87+0.09+203.46</f>
        <v>418.42</v>
      </c>
      <c r="O387" s="260">
        <v>2</v>
      </c>
      <c r="P387" s="260">
        <v>2.89</v>
      </c>
      <c r="Q387" s="94">
        <v>2.12</v>
      </c>
      <c r="R387" s="559">
        <v>0</v>
      </c>
      <c r="S387" s="649">
        <f>214.65+0.09+206.33</f>
        <v>421.07000000000005</v>
      </c>
      <c r="T387" s="260">
        <v>0</v>
      </c>
      <c r="U387" s="260">
        <v>0</v>
      </c>
      <c r="V387" s="548">
        <v>0</v>
      </c>
      <c r="W387" s="5"/>
      <c r="X387" s="650">
        <v>0</v>
      </c>
      <c r="Y387" s="651">
        <f t="shared" ref="Y387:Y402" si="345">AVERAGE(E387:G387)/10</f>
        <v>0.39466666666666667</v>
      </c>
      <c r="Z387" s="620">
        <v>9.6440000000000001</v>
      </c>
      <c r="AA387" s="620">
        <v>4.5170000000000003</v>
      </c>
      <c r="AB387" s="620">
        <f t="shared" ref="AB387:AB402" si="346">Z387-(AA387+Y387)</f>
        <v>4.7323333333333331</v>
      </c>
      <c r="AC387" s="620">
        <f t="shared" ref="AC387:AC402" si="347">3*Z387+AA387+Y387</f>
        <v>33.843666666666671</v>
      </c>
      <c r="AD387" s="653">
        <f t="shared" ref="AD387:AD402" si="348">1.398*(10^-6)*(X387^2)*AB387*AC387</f>
        <v>0</v>
      </c>
      <c r="AE387" s="650">
        <v>0</v>
      </c>
      <c r="AF387" s="620">
        <f t="shared" ref="AF387:AF402" si="349">AVERAGE(J387:L387)/10</f>
        <v>0</v>
      </c>
      <c r="AG387" s="620">
        <v>9.6440000000000001</v>
      </c>
      <c r="AH387" s="620">
        <v>4.5170000000000003</v>
      </c>
      <c r="AI387" s="620">
        <f t="shared" ref="AI387:AI402" si="350">AG387-(AH387+AF387)</f>
        <v>5.1269999999999998</v>
      </c>
      <c r="AJ387" s="620">
        <f t="shared" ref="AJ387:AJ402" si="351">3*AG387+AH387+AF387</f>
        <v>33.449000000000005</v>
      </c>
      <c r="AK387" s="653">
        <f t="shared" ref="AK387:AK402" si="352">1.398*(10^-6)*(AE387^2)*AI387*AJ387</f>
        <v>0</v>
      </c>
      <c r="AL387" s="650">
        <v>0</v>
      </c>
      <c r="AM387" s="620">
        <f t="shared" ref="AM387:AM395" si="353">AVERAGE(O387:Q387)/10</f>
        <v>0.23366666666666669</v>
      </c>
      <c r="AN387" s="620">
        <v>9.6440000000000001</v>
      </c>
      <c r="AO387" s="620">
        <v>4.5170000000000003</v>
      </c>
      <c r="AP387" s="620">
        <f t="shared" ref="AP387:AP402" si="354">AN387-(AO387+AM387)</f>
        <v>4.8933333333333326</v>
      </c>
      <c r="AQ387" s="620">
        <f t="shared" ref="AQ387:AQ402" si="355">3*AN387+AO387+AM387</f>
        <v>33.68266666666667</v>
      </c>
      <c r="AR387" s="698">
        <f t="shared" ref="AR387:AR402" si="356">1.398*(10^-6)*(AL387^2)*AP387*AQ387</f>
        <v>0</v>
      </c>
      <c r="AS387" s="650">
        <v>0</v>
      </c>
      <c r="AT387" s="620">
        <f t="shared" ref="AT387:AT402" si="357">AVERAGE(T387:V387)/10</f>
        <v>0</v>
      </c>
      <c r="AU387" s="620">
        <v>9.6440000000000001</v>
      </c>
      <c r="AV387" s="620">
        <v>4.5170000000000003</v>
      </c>
      <c r="AW387" s="620">
        <f t="shared" ref="AW387:AW402" si="358">AU387-(AV387+AT387)</f>
        <v>5.1269999999999998</v>
      </c>
      <c r="AX387" s="620">
        <f t="shared" ref="AX387:AX402" si="359">3*AU387+AV387+AT387</f>
        <v>33.449000000000005</v>
      </c>
      <c r="AY387" s="698">
        <f t="shared" ref="AY387:AY402" si="360">1.398*(10^-6)*(AS387^2)*AW387*AX387</f>
        <v>0</v>
      </c>
      <c r="AZ387" s="75"/>
      <c r="BA387" s="650">
        <v>0</v>
      </c>
      <c r="BB387" s="620">
        <v>103.50685607036536</v>
      </c>
      <c r="BC387" s="720">
        <f>(BB405-BB406)/BB387</f>
        <v>0.64179323497991281</v>
      </c>
      <c r="BD387" s="714">
        <f>D387-BB403</f>
        <v>53.699999999999989</v>
      </c>
      <c r="BE387" s="693">
        <f>BB405-BB406</f>
        <v>66.430000000000007</v>
      </c>
      <c r="BF387" s="693">
        <f t="shared" ref="BF387:BF402" si="361">BD387/BE387*100</f>
        <v>80.836971247930123</v>
      </c>
      <c r="BG387" s="668">
        <f t="shared" ref="BG387:BG402" si="362">BF387*BC387</f>
        <v>51.880621283187274</v>
      </c>
      <c r="BH387" s="650">
        <v>0</v>
      </c>
      <c r="BI387" s="620">
        <v>103.50685607036536</v>
      </c>
      <c r="BJ387" s="720">
        <f>(BI405-BI406)/BI387</f>
        <v>1.0054406437507077</v>
      </c>
      <c r="BK387" s="714">
        <f>I387-BI403</f>
        <v>48.720000000000027</v>
      </c>
      <c r="BL387" s="693">
        <f>BI405-BI406</f>
        <v>104.07</v>
      </c>
      <c r="BM387" s="693">
        <f t="shared" ref="BM387:BM402" si="363">BK387/BL387*100</f>
        <v>46.814643989622404</v>
      </c>
      <c r="BN387" s="668">
        <f t="shared" ref="BN387:BN402" si="364">BM387*BJ387</f>
        <v>47.06934578988615</v>
      </c>
      <c r="BO387" s="650">
        <v>0</v>
      </c>
      <c r="BP387" s="681">
        <v>103.50685607036536</v>
      </c>
      <c r="BQ387" s="720">
        <f>(BP405-BP406)/BP387</f>
        <v>0.69821461827485021</v>
      </c>
      <c r="BR387" s="714">
        <f>N387-BP403</f>
        <v>58.449999999999989</v>
      </c>
      <c r="BS387" s="693">
        <f>BP405-BP406</f>
        <v>72.27000000000001</v>
      </c>
      <c r="BT387" s="693">
        <f t="shared" ref="BT387:BT402" si="365">BR387/BS387*100</f>
        <v>80.877265808772634</v>
      </c>
      <c r="BU387" s="668">
        <f t="shared" ref="BU387:BU402" si="366">BT387*BQ387</f>
        <v>56.469689273785782</v>
      </c>
      <c r="BV387" s="650">
        <v>0</v>
      </c>
      <c r="BW387" s="620">
        <v>103.50685607036536</v>
      </c>
      <c r="BX387" s="720">
        <f>(BW405-BW406)/BW387</f>
        <v>0.73202880346873367</v>
      </c>
      <c r="BY387" s="714">
        <f>S387-BW403</f>
        <v>58.080000000000041</v>
      </c>
      <c r="BZ387" s="693">
        <f>BW405-BW406</f>
        <v>75.769999999999982</v>
      </c>
      <c r="CA387" s="693">
        <f t="shared" ref="CA387:CA402" si="367">BY387/BZ387*100</f>
        <v>76.653028903259937</v>
      </c>
      <c r="CB387" s="668">
        <f t="shared" ref="CB387:CB402" si="368">CA387*BX387</f>
        <v>56.112225030307627</v>
      </c>
      <c r="CC387" s="560"/>
    </row>
    <row r="388" spans="1:81" ht="15.75">
      <c r="A388" s="564"/>
      <c r="B388" s="585" t="s">
        <v>116</v>
      </c>
      <c r="C388" s="559">
        <v>300</v>
      </c>
      <c r="D388" s="612">
        <v>396.21</v>
      </c>
      <c r="E388" s="27">
        <v>5.39</v>
      </c>
      <c r="F388" s="27">
        <v>6.12</v>
      </c>
      <c r="G388" s="94">
        <v>6.5</v>
      </c>
      <c r="H388" s="559">
        <v>300</v>
      </c>
      <c r="I388" s="559">
        <v>435.38</v>
      </c>
      <c r="J388" s="260">
        <v>0</v>
      </c>
      <c r="K388" s="260">
        <v>0</v>
      </c>
      <c r="L388" s="548">
        <v>0</v>
      </c>
      <c r="M388" s="559">
        <v>300</v>
      </c>
      <c r="N388" s="649">
        <v>402.15</v>
      </c>
      <c r="O388" s="260">
        <v>4</v>
      </c>
      <c r="P388" s="27">
        <v>2.91</v>
      </c>
      <c r="Q388" s="559">
        <v>4.45</v>
      </c>
      <c r="R388" s="559">
        <v>300</v>
      </c>
      <c r="S388" s="649">
        <v>411.91</v>
      </c>
      <c r="T388" s="260">
        <v>0</v>
      </c>
      <c r="U388" s="260">
        <v>0</v>
      </c>
      <c r="V388" s="548">
        <v>0</v>
      </c>
      <c r="W388" s="5"/>
      <c r="X388" s="650">
        <v>300</v>
      </c>
      <c r="Y388" s="651">
        <f t="shared" si="345"/>
        <v>0.60033333333333327</v>
      </c>
      <c r="Z388" s="620">
        <v>9.6440000000000001</v>
      </c>
      <c r="AA388" s="620">
        <v>4.5170000000000003</v>
      </c>
      <c r="AB388" s="620">
        <f t="shared" si="346"/>
        <v>4.5266666666666664</v>
      </c>
      <c r="AC388" s="620">
        <f t="shared" si="347"/>
        <v>34.049333333333337</v>
      </c>
      <c r="AD388" s="653">
        <f t="shared" si="348"/>
        <v>19.392634363199996</v>
      </c>
      <c r="AE388" s="650">
        <v>300</v>
      </c>
      <c r="AF388" s="620">
        <f t="shared" si="349"/>
        <v>0</v>
      </c>
      <c r="AG388" s="620">
        <v>9.6440000000000001</v>
      </c>
      <c r="AH388" s="620">
        <v>4.5170000000000003</v>
      </c>
      <c r="AI388" s="620">
        <f t="shared" si="350"/>
        <v>5.1269999999999998</v>
      </c>
      <c r="AJ388" s="620">
        <f t="shared" si="351"/>
        <v>33.449000000000005</v>
      </c>
      <c r="AK388" s="653">
        <f t="shared" si="352"/>
        <v>21.577252153859998</v>
      </c>
      <c r="AL388" s="650">
        <v>300</v>
      </c>
      <c r="AM388" s="620">
        <f t="shared" si="353"/>
        <v>0.37866666666666665</v>
      </c>
      <c r="AN388" s="620">
        <v>9.6440000000000001</v>
      </c>
      <c r="AO388" s="620">
        <v>4.5170000000000003</v>
      </c>
      <c r="AP388" s="620">
        <f t="shared" si="354"/>
        <v>4.7483333333333331</v>
      </c>
      <c r="AQ388" s="620">
        <f t="shared" si="355"/>
        <v>33.827666666666673</v>
      </c>
      <c r="AR388" s="698">
        <f t="shared" si="356"/>
        <v>20.209842183300001</v>
      </c>
      <c r="AS388" s="650">
        <v>300</v>
      </c>
      <c r="AT388" s="620">
        <f t="shared" si="357"/>
        <v>0</v>
      </c>
      <c r="AU388" s="620">
        <v>9.6440000000000001</v>
      </c>
      <c r="AV388" s="620">
        <v>4.5170000000000003</v>
      </c>
      <c r="AW388" s="620">
        <f t="shared" si="358"/>
        <v>5.1269999999999998</v>
      </c>
      <c r="AX388" s="620">
        <f t="shared" si="359"/>
        <v>33.449000000000005</v>
      </c>
      <c r="AY388" s="698">
        <f t="shared" si="360"/>
        <v>21.577252153859998</v>
      </c>
      <c r="AZ388" s="75"/>
      <c r="BA388" s="650">
        <v>300</v>
      </c>
      <c r="BB388" s="620">
        <v>103.50685607036536</v>
      </c>
      <c r="BC388" s="720">
        <f>(BB405-BB406)/BB387</f>
        <v>0.64179323497991281</v>
      </c>
      <c r="BD388" s="714">
        <f>D388-BB403</f>
        <v>41.619999999999948</v>
      </c>
      <c r="BE388" s="693">
        <f>BB405-BB406</f>
        <v>66.430000000000007</v>
      </c>
      <c r="BF388" s="693">
        <f t="shared" si="361"/>
        <v>62.652416077073525</v>
      </c>
      <c r="BG388" s="668">
        <f t="shared" si="362"/>
        <v>40.209896793412518</v>
      </c>
      <c r="BH388" s="650">
        <v>300</v>
      </c>
      <c r="BI388" s="620">
        <v>103.50685607036536</v>
      </c>
      <c r="BJ388" s="720">
        <f>(BI405-BI406)/BI387</f>
        <v>1.0054406437507077</v>
      </c>
      <c r="BK388" s="714">
        <f>I388-BI403</f>
        <v>43.090000000000032</v>
      </c>
      <c r="BL388" s="693">
        <f>BI405-BI406</f>
        <v>104.07</v>
      </c>
      <c r="BM388" s="693">
        <f t="shared" si="363"/>
        <v>41.404823676371706</v>
      </c>
      <c r="BN388" s="668">
        <f t="shared" si="364"/>
        <v>41.630092571555714</v>
      </c>
      <c r="BO388" s="650">
        <v>300</v>
      </c>
      <c r="BP388" s="681">
        <v>103.50685607036536</v>
      </c>
      <c r="BQ388" s="720">
        <f>(BP405-BP406)/BP387</f>
        <v>0.69821461827485021</v>
      </c>
      <c r="BR388" s="714">
        <f>N388-BP403</f>
        <v>42.17999999999995</v>
      </c>
      <c r="BS388" s="693">
        <f>BP405-BP406</f>
        <v>72.27000000000001</v>
      </c>
      <c r="BT388" s="693">
        <f t="shared" si="365"/>
        <v>58.364466583644592</v>
      </c>
      <c r="BU388" s="668">
        <f t="shared" si="366"/>
        <v>40.750923756514659</v>
      </c>
      <c r="BV388" s="650">
        <v>300</v>
      </c>
      <c r="BW388" s="620">
        <v>103.50685607036536</v>
      </c>
      <c r="BX388" s="720">
        <f>(BW405-BW406)/BW387</f>
        <v>0.73202880346873367</v>
      </c>
      <c r="BY388" s="714">
        <f>S388-BW403</f>
        <v>48.920000000000016</v>
      </c>
      <c r="BZ388" s="693">
        <f>BW405-BW406</f>
        <v>75.769999999999982</v>
      </c>
      <c r="CA388" s="693">
        <f t="shared" si="367"/>
        <v>64.563811534908311</v>
      </c>
      <c r="CB388" s="668">
        <f t="shared" si="368"/>
        <v>47.262569705279759</v>
      </c>
      <c r="CC388" s="560"/>
    </row>
    <row r="389" spans="1:81" ht="15.75">
      <c r="A389" s="564"/>
      <c r="B389" s="585" t="s">
        <v>116</v>
      </c>
      <c r="C389" s="559">
        <v>350</v>
      </c>
      <c r="D389" s="559">
        <v>393.46</v>
      </c>
      <c r="E389" s="652">
        <v>6.93</v>
      </c>
      <c r="F389" s="652">
        <v>6.61</v>
      </c>
      <c r="G389" s="653">
        <v>6.18</v>
      </c>
      <c r="H389" s="559">
        <v>350</v>
      </c>
      <c r="I389" s="559">
        <v>433.53</v>
      </c>
      <c r="J389" s="27">
        <v>1.55</v>
      </c>
      <c r="K389" s="260">
        <v>1.21</v>
      </c>
      <c r="L389" s="548">
        <v>1.06</v>
      </c>
      <c r="M389" s="559">
        <v>350</v>
      </c>
      <c r="N389" s="649">
        <v>400.8</v>
      </c>
      <c r="O389" s="27">
        <v>4.2</v>
      </c>
      <c r="P389" s="27">
        <v>3.42</v>
      </c>
      <c r="Q389" s="559">
        <v>4.95</v>
      </c>
      <c r="R389" s="559">
        <v>350</v>
      </c>
      <c r="S389" s="649">
        <v>410.15</v>
      </c>
      <c r="T389" s="260">
        <v>0.52</v>
      </c>
      <c r="U389" s="260">
        <v>0</v>
      </c>
      <c r="V389" s="649">
        <v>0</v>
      </c>
      <c r="W389" s="5"/>
      <c r="X389" s="650">
        <v>350</v>
      </c>
      <c r="Y389" s="651">
        <f t="shared" si="345"/>
        <v>0.65733333333333333</v>
      </c>
      <c r="Z389" s="620">
        <v>9.6440000000000001</v>
      </c>
      <c r="AA389" s="620">
        <v>4.5170000000000003</v>
      </c>
      <c r="AB389" s="620">
        <f t="shared" si="346"/>
        <v>4.4696666666666669</v>
      </c>
      <c r="AC389" s="620">
        <f t="shared" si="347"/>
        <v>34.106333333333339</v>
      </c>
      <c r="AD389" s="653">
        <f t="shared" si="348"/>
        <v>26.10678715401167</v>
      </c>
      <c r="AE389" s="650">
        <v>350</v>
      </c>
      <c r="AF389" s="620">
        <f t="shared" si="349"/>
        <v>0.12733333333333333</v>
      </c>
      <c r="AG389" s="620">
        <v>9.6440000000000001</v>
      </c>
      <c r="AH389" s="620">
        <v>4.5170000000000003</v>
      </c>
      <c r="AI389" s="620">
        <f t="shared" si="350"/>
        <v>4.9996666666666663</v>
      </c>
      <c r="AJ389" s="620">
        <f t="shared" si="351"/>
        <v>33.576333333333338</v>
      </c>
      <c r="AK389" s="653">
        <f t="shared" si="352"/>
        <v>28.748658120011662</v>
      </c>
      <c r="AL389" s="650">
        <v>350</v>
      </c>
      <c r="AM389" s="620">
        <f t="shared" si="353"/>
        <v>0.41900000000000004</v>
      </c>
      <c r="AN389" s="620">
        <v>9.6440000000000001</v>
      </c>
      <c r="AO389" s="620">
        <v>4.5170000000000003</v>
      </c>
      <c r="AP389" s="620">
        <f t="shared" si="354"/>
        <v>4.7080000000000002</v>
      </c>
      <c r="AQ389" s="620">
        <f t="shared" si="355"/>
        <v>33.868000000000002</v>
      </c>
      <c r="AR389" s="698">
        <f t="shared" si="356"/>
        <v>27.306702912719995</v>
      </c>
      <c r="AS389" s="650">
        <v>350</v>
      </c>
      <c r="AT389" s="620">
        <f t="shared" si="357"/>
        <v>1.7333333333333333E-2</v>
      </c>
      <c r="AU389" s="620">
        <v>9.6440000000000001</v>
      </c>
      <c r="AV389" s="620">
        <v>4.5170000000000003</v>
      </c>
      <c r="AW389" s="620">
        <f t="shared" si="358"/>
        <v>5.1096666666666666</v>
      </c>
      <c r="AX389" s="620">
        <f t="shared" si="359"/>
        <v>33.466333333333338</v>
      </c>
      <c r="AY389" s="698">
        <f t="shared" si="360"/>
        <v>29.284914610011665</v>
      </c>
      <c r="AZ389" s="75"/>
      <c r="BA389" s="650">
        <v>350</v>
      </c>
      <c r="BB389" s="620">
        <v>103.50685607036536</v>
      </c>
      <c r="BC389" s="720">
        <f>(BB405-BB406)/BB387</f>
        <v>0.64179323497991281</v>
      </c>
      <c r="BD389" s="714">
        <f>D389-BB403</f>
        <v>38.869999999999948</v>
      </c>
      <c r="BE389" s="693">
        <f>BB405-BB406</f>
        <v>66.430000000000007</v>
      </c>
      <c r="BF389" s="693">
        <f t="shared" si="361"/>
        <v>58.512720156555687</v>
      </c>
      <c r="BG389" s="668">
        <f t="shared" si="362"/>
        <v>37.553067956750226</v>
      </c>
      <c r="BH389" s="650">
        <v>350</v>
      </c>
      <c r="BI389" s="620">
        <v>103.50685607036536</v>
      </c>
      <c r="BJ389" s="720">
        <f>(BI405-BI406)/BI387</f>
        <v>1.0054406437507077</v>
      </c>
      <c r="BK389" s="714">
        <f>I389-BI403</f>
        <v>41.240000000000009</v>
      </c>
      <c r="BL389" s="693">
        <f>BI405-BI406</f>
        <v>104.07</v>
      </c>
      <c r="BM389" s="693">
        <f t="shared" si="363"/>
        <v>39.627174017488244</v>
      </c>
      <c r="BN389" s="668">
        <f t="shared" si="364"/>
        <v>39.842771354164697</v>
      </c>
      <c r="BO389" s="650">
        <v>350</v>
      </c>
      <c r="BP389" s="681">
        <v>103.50685607036536</v>
      </c>
      <c r="BQ389" s="720">
        <f>(BP405-BP406)/BP387</f>
        <v>0.69821461827485021</v>
      </c>
      <c r="BR389" s="714">
        <f>N389-BP403</f>
        <v>40.829999999999984</v>
      </c>
      <c r="BS389" s="693">
        <f>BP405-BP406</f>
        <v>72.27000000000001</v>
      </c>
      <c r="BT389" s="693">
        <f t="shared" si="365"/>
        <v>56.496471564964693</v>
      </c>
      <c r="BU389" s="668">
        <f t="shared" si="366"/>
        <v>39.446662327607754</v>
      </c>
      <c r="BV389" s="650">
        <v>350</v>
      </c>
      <c r="BW389" s="620">
        <v>103.50685607036536</v>
      </c>
      <c r="BX389" s="720">
        <f>(BW405-BW406)/BW387</f>
        <v>0.73202880346873367</v>
      </c>
      <c r="BY389" s="714">
        <f>S389-BW403</f>
        <v>47.159999999999968</v>
      </c>
      <c r="BZ389" s="693">
        <f>BW405-BW406</f>
        <v>75.769999999999982</v>
      </c>
      <c r="CA389" s="693">
        <f t="shared" si="367"/>
        <v>62.240992477233704</v>
      </c>
      <c r="CB389" s="668">
        <f t="shared" si="368"/>
        <v>45.562199249815841</v>
      </c>
      <c r="CC389" s="560"/>
    </row>
    <row r="390" spans="1:81" ht="15.75">
      <c r="A390" s="564"/>
      <c r="B390" s="585" t="s">
        <v>116</v>
      </c>
      <c r="C390" s="559">
        <v>450</v>
      </c>
      <c r="D390" s="559">
        <v>390.98</v>
      </c>
      <c r="E390" s="652">
        <v>6.33</v>
      </c>
      <c r="F390" s="652">
        <v>7.39</v>
      </c>
      <c r="G390" s="653">
        <v>6.81</v>
      </c>
      <c r="H390" s="559">
        <v>450</v>
      </c>
      <c r="I390" s="612">
        <v>430.32</v>
      </c>
      <c r="J390" s="260">
        <v>1.83</v>
      </c>
      <c r="K390" s="260">
        <v>1.0900000000000001</v>
      </c>
      <c r="L390" s="94">
        <v>1.19</v>
      </c>
      <c r="M390" s="559">
        <v>450</v>
      </c>
      <c r="N390" s="649">
        <v>397.41</v>
      </c>
      <c r="O390" s="559">
        <v>3.73</v>
      </c>
      <c r="P390" s="559">
        <v>4.3600000000000003</v>
      </c>
      <c r="Q390" s="559">
        <v>5.21</v>
      </c>
      <c r="R390" s="559">
        <v>450</v>
      </c>
      <c r="S390" s="649">
        <v>407.32</v>
      </c>
      <c r="T390" s="649">
        <v>0.51</v>
      </c>
      <c r="U390" s="649">
        <v>0.9</v>
      </c>
      <c r="V390" s="649">
        <v>0.94</v>
      </c>
      <c r="W390" s="5"/>
      <c r="X390" s="650">
        <v>450</v>
      </c>
      <c r="Y390" s="651">
        <f t="shared" si="345"/>
        <v>0.68433333333333324</v>
      </c>
      <c r="Z390" s="620">
        <v>9.6440000000000001</v>
      </c>
      <c r="AA390" s="620">
        <v>4.5170000000000003</v>
      </c>
      <c r="AB390" s="620">
        <f t="shared" si="346"/>
        <v>4.4426666666666668</v>
      </c>
      <c r="AC390" s="620">
        <f t="shared" si="347"/>
        <v>34.13333333333334</v>
      </c>
      <c r="AD390" s="653">
        <f t="shared" si="348"/>
        <v>42.929381376000002</v>
      </c>
      <c r="AE390" s="650">
        <v>450</v>
      </c>
      <c r="AF390" s="620">
        <f t="shared" si="349"/>
        <v>0.13699999999999998</v>
      </c>
      <c r="AG390" s="620">
        <v>9.6440000000000001</v>
      </c>
      <c r="AH390" s="620">
        <v>4.5170000000000003</v>
      </c>
      <c r="AI390" s="620">
        <f t="shared" si="350"/>
        <v>4.99</v>
      </c>
      <c r="AJ390" s="620">
        <f t="shared" si="351"/>
        <v>33.586000000000006</v>
      </c>
      <c r="AK390" s="653">
        <f t="shared" si="352"/>
        <v>47.445063063299997</v>
      </c>
      <c r="AL390" s="650">
        <v>450</v>
      </c>
      <c r="AM390" s="620">
        <f t="shared" si="353"/>
        <v>0.44333333333333336</v>
      </c>
      <c r="AN390" s="620">
        <v>9.6440000000000001</v>
      </c>
      <c r="AO390" s="620">
        <v>4.5170000000000003</v>
      </c>
      <c r="AP390" s="620">
        <f t="shared" si="354"/>
        <v>4.6836666666666664</v>
      </c>
      <c r="AQ390" s="620">
        <f t="shared" si="355"/>
        <v>33.89233333333334</v>
      </c>
      <c r="AR390" s="698">
        <f t="shared" si="356"/>
        <v>44.938611241784997</v>
      </c>
      <c r="AS390" s="650">
        <v>450</v>
      </c>
      <c r="AT390" s="620">
        <f t="shared" si="357"/>
        <v>7.8333333333333338E-2</v>
      </c>
      <c r="AU390" s="620">
        <v>9.6440000000000001</v>
      </c>
      <c r="AV390" s="620">
        <v>4.5170000000000003</v>
      </c>
      <c r="AW390" s="620">
        <f t="shared" si="358"/>
        <v>5.0486666666666666</v>
      </c>
      <c r="AX390" s="620">
        <f t="shared" si="359"/>
        <v>33.527333333333338</v>
      </c>
      <c r="AY390" s="698">
        <f t="shared" si="360"/>
        <v>47.919017944259991</v>
      </c>
      <c r="AZ390" s="75"/>
      <c r="BA390" s="650">
        <v>450</v>
      </c>
      <c r="BB390" s="620">
        <v>103.50685607036536</v>
      </c>
      <c r="BC390" s="720">
        <f>(BB405-BB406)/BB387</f>
        <v>0.64179323497991281</v>
      </c>
      <c r="BD390" s="714">
        <f>D390-BB403</f>
        <v>36.389999999999986</v>
      </c>
      <c r="BE390" s="693">
        <f>BB405-BB406</f>
        <v>66.430000000000007</v>
      </c>
      <c r="BF390" s="693">
        <f t="shared" si="361"/>
        <v>54.779467108234201</v>
      </c>
      <c r="BG390" s="668">
        <f t="shared" si="362"/>
        <v>35.157091405869359</v>
      </c>
      <c r="BH390" s="650">
        <v>450</v>
      </c>
      <c r="BI390" s="620">
        <v>103.50685607036536</v>
      </c>
      <c r="BJ390" s="720">
        <f>(BI405-BI406)/BI387</f>
        <v>1.0054406437507077</v>
      </c>
      <c r="BK390" s="714">
        <f>I390-BI403</f>
        <v>38.03000000000003</v>
      </c>
      <c r="BL390" s="693">
        <f>BI405-BI406</f>
        <v>104.07</v>
      </c>
      <c r="BM390" s="693">
        <f t="shared" si="363"/>
        <v>36.542711636398607</v>
      </c>
      <c r="BN390" s="668">
        <f t="shared" si="364"/>
        <v>36.741527512097093</v>
      </c>
      <c r="BO390" s="650">
        <v>450</v>
      </c>
      <c r="BP390" s="681">
        <v>103.50685607036536</v>
      </c>
      <c r="BQ390" s="720">
        <f>(BP405-BP406)/BP387</f>
        <v>0.69821461827485021</v>
      </c>
      <c r="BR390" s="714">
        <f>N390-BP403</f>
        <v>37.44</v>
      </c>
      <c r="BS390" s="693">
        <f>BP405-BP406</f>
        <v>72.27000000000001</v>
      </c>
      <c r="BT390" s="693">
        <f t="shared" si="365"/>
        <v>51.805728518057272</v>
      </c>
      <c r="BU390" s="668">
        <f t="shared" si="366"/>
        <v>36.171516961685882</v>
      </c>
      <c r="BV390" s="650">
        <v>450</v>
      </c>
      <c r="BW390" s="620">
        <v>103.50685607036536</v>
      </c>
      <c r="BX390" s="720">
        <f>(BW405-BW406)/BW387</f>
        <v>0.73202880346873367</v>
      </c>
      <c r="BY390" s="714">
        <f>S390-BW403</f>
        <v>44.329999999999984</v>
      </c>
      <c r="BZ390" s="693">
        <f>BW405-BW406</f>
        <v>75.769999999999982</v>
      </c>
      <c r="CA390" s="693">
        <f t="shared" si="367"/>
        <v>58.506005015177507</v>
      </c>
      <c r="CB390" s="668">
        <f t="shared" si="368"/>
        <v>42.828080846996123</v>
      </c>
      <c r="CC390" s="560"/>
    </row>
    <row r="391" spans="1:81" ht="15.75">
      <c r="A391" s="564"/>
      <c r="B391" s="585" t="s">
        <v>116</v>
      </c>
      <c r="C391" s="559">
        <v>550</v>
      </c>
      <c r="D391" s="559">
        <v>388.46</v>
      </c>
      <c r="E391" s="652">
        <v>6.74</v>
      </c>
      <c r="F391" s="652">
        <v>7.64</v>
      </c>
      <c r="G391" s="653">
        <v>7.59</v>
      </c>
      <c r="H391" s="559">
        <v>550</v>
      </c>
      <c r="I391" s="559">
        <v>427.59</v>
      </c>
      <c r="J391" s="620">
        <v>2.52</v>
      </c>
      <c r="K391" s="649">
        <v>1.69</v>
      </c>
      <c r="L391" s="588">
        <v>1.98</v>
      </c>
      <c r="M391" s="559">
        <v>550</v>
      </c>
      <c r="N391" s="649">
        <v>395.06</v>
      </c>
      <c r="O391" s="559">
        <v>4.1900000000000004</v>
      </c>
      <c r="P391" s="559">
        <v>4.45</v>
      </c>
      <c r="Q391" s="559">
        <v>5.32</v>
      </c>
      <c r="R391" s="559">
        <v>550</v>
      </c>
      <c r="S391" s="649">
        <v>404.57</v>
      </c>
      <c r="T391" s="649">
        <v>1.34</v>
      </c>
      <c r="U391" s="649">
        <v>1.42</v>
      </c>
      <c r="V391" s="649">
        <v>1.3</v>
      </c>
      <c r="W391" s="5"/>
      <c r="X391" s="650">
        <v>550</v>
      </c>
      <c r="Y391" s="651">
        <f t="shared" si="345"/>
        <v>0.73233333333333328</v>
      </c>
      <c r="Z391" s="620">
        <v>9.6440000000000001</v>
      </c>
      <c r="AA391" s="620">
        <v>4.5170000000000003</v>
      </c>
      <c r="AB391" s="620">
        <f t="shared" si="346"/>
        <v>4.3946666666666667</v>
      </c>
      <c r="AC391" s="620">
        <f t="shared" si="347"/>
        <v>34.181333333333342</v>
      </c>
      <c r="AD391" s="653">
        <f t="shared" si="348"/>
        <v>63.525411877546674</v>
      </c>
      <c r="AE391" s="650">
        <v>550</v>
      </c>
      <c r="AF391" s="620">
        <f t="shared" si="349"/>
        <v>0.20633333333333331</v>
      </c>
      <c r="AG391" s="620">
        <v>9.6440000000000001</v>
      </c>
      <c r="AH391" s="620">
        <v>4.5170000000000003</v>
      </c>
      <c r="AI391" s="620">
        <f t="shared" si="350"/>
        <v>4.9206666666666665</v>
      </c>
      <c r="AJ391" s="620">
        <f t="shared" si="351"/>
        <v>33.655333333333338</v>
      </c>
      <c r="AK391" s="653">
        <f t="shared" si="352"/>
        <v>70.034235622926658</v>
      </c>
      <c r="AL391" s="650">
        <v>550</v>
      </c>
      <c r="AM391" s="620">
        <f t="shared" si="353"/>
        <v>0.46533333333333332</v>
      </c>
      <c r="AN391" s="620">
        <v>9.6440000000000001</v>
      </c>
      <c r="AO391" s="620">
        <v>4.5170000000000003</v>
      </c>
      <c r="AP391" s="620">
        <f t="shared" si="354"/>
        <v>4.6616666666666662</v>
      </c>
      <c r="AQ391" s="620">
        <f t="shared" si="355"/>
        <v>33.914333333333339</v>
      </c>
      <c r="AR391" s="698">
        <f t="shared" si="356"/>
        <v>66.858564966691659</v>
      </c>
      <c r="AS391" s="650">
        <v>550</v>
      </c>
      <c r="AT391" s="620">
        <f t="shared" si="357"/>
        <v>0.13533333333333333</v>
      </c>
      <c r="AU391" s="620">
        <v>9.6440000000000001</v>
      </c>
      <c r="AV391" s="620">
        <v>4.5170000000000003</v>
      </c>
      <c r="AW391" s="620">
        <f t="shared" si="358"/>
        <v>4.9916666666666663</v>
      </c>
      <c r="AX391" s="620">
        <f t="shared" si="359"/>
        <v>33.58433333333334</v>
      </c>
      <c r="AY391" s="698">
        <f t="shared" si="360"/>
        <v>70.89487783629167</v>
      </c>
      <c r="AZ391" s="75"/>
      <c r="BA391" s="650">
        <v>550</v>
      </c>
      <c r="BB391" s="620">
        <v>103.50685607036536</v>
      </c>
      <c r="BC391" s="720">
        <f>(BB405-BB406)/BB387</f>
        <v>0.64179323497991281</v>
      </c>
      <c r="BD391" s="714">
        <f>D391-BB403</f>
        <v>33.869999999999948</v>
      </c>
      <c r="BE391" s="693">
        <f>BB405-BB406</f>
        <v>66.430000000000007</v>
      </c>
      <c r="BF391" s="693">
        <f t="shared" si="361"/>
        <v>50.986000301068714</v>
      </c>
      <c r="BG391" s="668">
        <f t="shared" si="362"/>
        <v>32.722470071909697</v>
      </c>
      <c r="BH391" s="650">
        <v>550</v>
      </c>
      <c r="BI391" s="620">
        <v>103.50685607036536</v>
      </c>
      <c r="BJ391" s="720">
        <f>(BI405-BI406)/BI387</f>
        <v>1.0054406437507077</v>
      </c>
      <c r="BK391" s="714">
        <f>I391-BI403</f>
        <v>35.300000000000011</v>
      </c>
      <c r="BL391" s="693">
        <f>BI405-BI406</f>
        <v>104.07</v>
      </c>
      <c r="BM391" s="693">
        <f t="shared" si="363"/>
        <v>33.919477274911131</v>
      </c>
      <c r="BN391" s="668">
        <f t="shared" si="364"/>
        <v>34.104021066974148</v>
      </c>
      <c r="BO391" s="650">
        <v>550</v>
      </c>
      <c r="BP391" s="681">
        <v>103.50685607036536</v>
      </c>
      <c r="BQ391" s="720">
        <f>(BP405-BP406)/BP387</f>
        <v>0.69821461827485021</v>
      </c>
      <c r="BR391" s="714">
        <f>N391-BP403</f>
        <v>35.089999999999975</v>
      </c>
      <c r="BS391" s="693">
        <f>BP405-BP406</f>
        <v>72.27000000000001</v>
      </c>
      <c r="BT391" s="693">
        <f t="shared" si="365"/>
        <v>48.554033485540295</v>
      </c>
      <c r="BU391" s="668">
        <f t="shared" si="366"/>
        <v>33.901135955810808</v>
      </c>
      <c r="BV391" s="650">
        <v>550</v>
      </c>
      <c r="BW391" s="620">
        <v>103.50685607036536</v>
      </c>
      <c r="BX391" s="720">
        <f>(BW405-BW406)/BW387</f>
        <v>0.73202880346873367</v>
      </c>
      <c r="BY391" s="714">
        <f>S391-BW403</f>
        <v>41.579999999999984</v>
      </c>
      <c r="BZ391" s="693">
        <f>BW405-BW406</f>
        <v>75.769999999999982</v>
      </c>
      <c r="CA391" s="693">
        <f t="shared" si="367"/>
        <v>54.876600237561036</v>
      </c>
      <c r="CB391" s="668">
        <f t="shared" si="368"/>
        <v>40.171252010333831</v>
      </c>
      <c r="CC391" s="560"/>
    </row>
    <row r="392" spans="1:81" ht="15.75">
      <c r="A392" s="564"/>
      <c r="B392" s="585" t="s">
        <v>116</v>
      </c>
      <c r="C392" s="559">
        <v>650</v>
      </c>
      <c r="D392" s="559">
        <v>386.8</v>
      </c>
      <c r="E392" s="652">
        <v>8.15</v>
      </c>
      <c r="F392" s="652">
        <v>8.73</v>
      </c>
      <c r="G392" s="653">
        <v>7.83</v>
      </c>
      <c r="H392" s="559">
        <v>650</v>
      </c>
      <c r="I392" s="559">
        <v>425.88</v>
      </c>
      <c r="J392" s="620">
        <v>2.89</v>
      </c>
      <c r="K392" s="649">
        <v>2.44</v>
      </c>
      <c r="L392" s="588">
        <v>2.09</v>
      </c>
      <c r="M392" s="559">
        <v>650</v>
      </c>
      <c r="N392" s="649">
        <v>393.55</v>
      </c>
      <c r="O392" s="559">
        <v>5.65</v>
      </c>
      <c r="P392" s="559">
        <v>4.47</v>
      </c>
      <c r="Q392" s="559">
        <v>4.83</v>
      </c>
      <c r="R392" s="559">
        <v>650</v>
      </c>
      <c r="S392" s="649">
        <v>402.69</v>
      </c>
      <c r="T392" s="649">
        <v>2.08</v>
      </c>
      <c r="U392" s="649">
        <v>1.5</v>
      </c>
      <c r="V392" s="649">
        <v>2.08</v>
      </c>
      <c r="W392" s="5"/>
      <c r="X392" s="650">
        <v>650</v>
      </c>
      <c r="Y392" s="651">
        <f t="shared" si="345"/>
        <v>0.82366666666666666</v>
      </c>
      <c r="Z392" s="620">
        <v>9.6440000000000001</v>
      </c>
      <c r="AA392" s="620">
        <v>4.5170000000000003</v>
      </c>
      <c r="AB392" s="620">
        <f t="shared" si="346"/>
        <v>4.3033333333333328</v>
      </c>
      <c r="AC392" s="620">
        <f t="shared" si="347"/>
        <v>34.272666666666673</v>
      </c>
      <c r="AD392" s="653">
        <f t="shared" si="348"/>
        <v>87.113762038766652</v>
      </c>
      <c r="AE392" s="650">
        <v>650</v>
      </c>
      <c r="AF392" s="620">
        <f t="shared" si="349"/>
        <v>0.24733333333333332</v>
      </c>
      <c r="AG392" s="620">
        <v>9.6440000000000001</v>
      </c>
      <c r="AH392" s="620">
        <v>4.5170000000000003</v>
      </c>
      <c r="AI392" s="620">
        <f t="shared" si="350"/>
        <v>4.8796666666666662</v>
      </c>
      <c r="AJ392" s="620">
        <f t="shared" si="351"/>
        <v>33.696333333333335</v>
      </c>
      <c r="AK392" s="653">
        <f t="shared" si="352"/>
        <v>97.119555590611654</v>
      </c>
      <c r="AL392" s="650">
        <v>650</v>
      </c>
      <c r="AM392" s="620">
        <f t="shared" si="353"/>
        <v>0.49833333333333335</v>
      </c>
      <c r="AN392" s="620">
        <v>9.6440000000000001</v>
      </c>
      <c r="AO392" s="620">
        <v>4.5170000000000003</v>
      </c>
      <c r="AP392" s="620">
        <f t="shared" si="354"/>
        <v>4.6286666666666667</v>
      </c>
      <c r="AQ392" s="620">
        <f t="shared" si="355"/>
        <v>33.94733333333334</v>
      </c>
      <c r="AR392" s="698">
        <f t="shared" si="356"/>
        <v>92.810145964206669</v>
      </c>
      <c r="AS392" s="650">
        <v>650</v>
      </c>
      <c r="AT392" s="620">
        <f t="shared" si="357"/>
        <v>0.18866666666666668</v>
      </c>
      <c r="AU392" s="620">
        <v>9.6440000000000001</v>
      </c>
      <c r="AV392" s="620">
        <v>4.5170000000000003</v>
      </c>
      <c r="AW392" s="620">
        <f t="shared" si="358"/>
        <v>4.9383333333333335</v>
      </c>
      <c r="AX392" s="620">
        <f t="shared" si="359"/>
        <v>33.637666666666675</v>
      </c>
      <c r="AY392" s="698">
        <f t="shared" si="360"/>
        <v>98.116070904691668</v>
      </c>
      <c r="AZ392" s="75"/>
      <c r="BA392" s="650">
        <v>650</v>
      </c>
      <c r="BB392" s="620">
        <v>103.50685607036536</v>
      </c>
      <c r="BC392" s="720">
        <f>(BB405-BB406)/BB387</f>
        <v>0.64179323497991281</v>
      </c>
      <c r="BD392" s="714">
        <f>D392-BB403</f>
        <v>32.20999999999998</v>
      </c>
      <c r="BE392" s="693">
        <f>BB405-BB406</f>
        <v>66.430000000000007</v>
      </c>
      <c r="BF392" s="693">
        <f t="shared" si="361"/>
        <v>48.487129309047084</v>
      </c>
      <c r="BG392" s="668">
        <f t="shared" si="362"/>
        <v>31.118711574142672</v>
      </c>
      <c r="BH392" s="650">
        <v>650</v>
      </c>
      <c r="BI392" s="620">
        <v>103.50685607036536</v>
      </c>
      <c r="BJ392" s="720">
        <f>(BI405-BI406)/BI387</f>
        <v>1.0054406437507077</v>
      </c>
      <c r="BK392" s="714">
        <f>I392-BI403</f>
        <v>33.590000000000032</v>
      </c>
      <c r="BL392" s="693">
        <f>BI405-BI406</f>
        <v>104.07</v>
      </c>
      <c r="BM392" s="693">
        <f t="shared" si="363"/>
        <v>32.276352455078346</v>
      </c>
      <c r="BN392" s="668">
        <f t="shared" si="364"/>
        <v>32.451956590358705</v>
      </c>
      <c r="BO392" s="650">
        <v>650</v>
      </c>
      <c r="BP392" s="681">
        <v>103.50685607036536</v>
      </c>
      <c r="BQ392" s="720">
        <f>(BP405-BP406)/BP387</f>
        <v>0.69821461827485021</v>
      </c>
      <c r="BR392" s="714">
        <f>N392-BP403</f>
        <v>33.579999999999984</v>
      </c>
      <c r="BS392" s="693">
        <f>BP405-BP406</f>
        <v>72.27000000000001</v>
      </c>
      <c r="BT392" s="693">
        <f t="shared" si="365"/>
        <v>46.464646464646435</v>
      </c>
      <c r="BU392" s="668">
        <f t="shared" si="366"/>
        <v>32.442295394588982</v>
      </c>
      <c r="BV392" s="650">
        <v>650</v>
      </c>
      <c r="BW392" s="620">
        <v>103.50685607036536</v>
      </c>
      <c r="BX392" s="720">
        <f>(BW405-BW406)/BW387</f>
        <v>0.73202880346873367</v>
      </c>
      <c r="BY392" s="714">
        <f>S392-BW403</f>
        <v>39.699999999999989</v>
      </c>
      <c r="BZ392" s="693">
        <f>BW405-BW406</f>
        <v>75.769999999999982</v>
      </c>
      <c r="CA392" s="693">
        <f t="shared" si="367"/>
        <v>52.39540715322687</v>
      </c>
      <c r="CB392" s="668">
        <f t="shared" si="368"/>
        <v>38.354947205633792</v>
      </c>
      <c r="CC392" s="560"/>
    </row>
    <row r="393" spans="1:81" ht="15.75">
      <c r="A393" s="564"/>
      <c r="B393" s="585" t="s">
        <v>116</v>
      </c>
      <c r="C393" s="559">
        <v>750</v>
      </c>
      <c r="D393" s="559">
        <v>385.42</v>
      </c>
      <c r="E393" s="652">
        <v>8.99</v>
      </c>
      <c r="F393" s="652">
        <v>9</v>
      </c>
      <c r="G393" s="653">
        <v>8.07</v>
      </c>
      <c r="H393" s="559">
        <v>750</v>
      </c>
      <c r="I393" s="559">
        <v>424.39</v>
      </c>
      <c r="J393" s="620">
        <v>3.11</v>
      </c>
      <c r="K393" s="649">
        <v>2.74</v>
      </c>
      <c r="L393" s="588">
        <v>2.25</v>
      </c>
      <c r="M393" s="559">
        <v>750</v>
      </c>
      <c r="N393" s="649">
        <v>392.36</v>
      </c>
      <c r="O393" s="559">
        <v>5.29</v>
      </c>
      <c r="P393" s="559">
        <v>6.16</v>
      </c>
      <c r="Q393" s="559">
        <v>4.62</v>
      </c>
      <c r="R393" s="559">
        <v>750</v>
      </c>
      <c r="S393" s="649">
        <v>401.17</v>
      </c>
      <c r="T393" s="649">
        <v>3.07</v>
      </c>
      <c r="U393" s="649">
        <v>2.1</v>
      </c>
      <c r="V393" s="649">
        <v>2.04</v>
      </c>
      <c r="W393" s="5"/>
      <c r="X393" s="650">
        <v>750</v>
      </c>
      <c r="Y393" s="651">
        <f t="shared" si="345"/>
        <v>0.8686666666666667</v>
      </c>
      <c r="Z393" s="620">
        <v>9.6440000000000001</v>
      </c>
      <c r="AA393" s="620">
        <v>4.5170000000000003</v>
      </c>
      <c r="AB393" s="620">
        <f t="shared" si="346"/>
        <v>4.2583333333333329</v>
      </c>
      <c r="AC393" s="620">
        <f t="shared" si="347"/>
        <v>34.317666666666675</v>
      </c>
      <c r="AD393" s="653">
        <f t="shared" si="348"/>
        <v>114.91774724062499</v>
      </c>
      <c r="AE393" s="650">
        <v>750</v>
      </c>
      <c r="AF393" s="620">
        <f t="shared" si="349"/>
        <v>0.26999999999999996</v>
      </c>
      <c r="AG393" s="620">
        <v>9.6440000000000001</v>
      </c>
      <c r="AH393" s="620">
        <v>4.5170000000000003</v>
      </c>
      <c r="AI393" s="620">
        <f t="shared" si="350"/>
        <v>4.8570000000000002</v>
      </c>
      <c r="AJ393" s="620">
        <f t="shared" si="351"/>
        <v>33.719000000000008</v>
      </c>
      <c r="AK393" s="653">
        <f t="shared" si="352"/>
        <v>128.78713678162504</v>
      </c>
      <c r="AL393" s="650">
        <v>750</v>
      </c>
      <c r="AM393" s="620">
        <f t="shared" si="353"/>
        <v>0.53566666666666662</v>
      </c>
      <c r="AN393" s="620">
        <v>9.6440000000000001</v>
      </c>
      <c r="AO393" s="620">
        <v>4.5170000000000003</v>
      </c>
      <c r="AP393" s="620">
        <f t="shared" si="354"/>
        <v>4.591333333333333</v>
      </c>
      <c r="AQ393" s="620">
        <f t="shared" si="355"/>
        <v>33.984666666666669</v>
      </c>
      <c r="AR393" s="698">
        <f t="shared" si="356"/>
        <v>122.70197035049999</v>
      </c>
      <c r="AS393" s="650">
        <v>750</v>
      </c>
      <c r="AT393" s="620">
        <f t="shared" si="357"/>
        <v>0.24033333333333334</v>
      </c>
      <c r="AU393" s="620">
        <v>9.6440000000000001</v>
      </c>
      <c r="AV393" s="620">
        <v>4.5170000000000003</v>
      </c>
      <c r="AW393" s="620">
        <f t="shared" si="358"/>
        <v>4.8866666666666667</v>
      </c>
      <c r="AX393" s="620">
        <f t="shared" si="359"/>
        <v>33.689333333333337</v>
      </c>
      <c r="AY393" s="698">
        <f t="shared" si="360"/>
        <v>129.45976988999999</v>
      </c>
      <c r="AZ393" s="75"/>
      <c r="BA393" s="650">
        <v>750</v>
      </c>
      <c r="BB393" s="620">
        <v>103.50685607036536</v>
      </c>
      <c r="BC393" s="720">
        <f>(BB405-BB406)/BB387</f>
        <v>0.64179323497991281</v>
      </c>
      <c r="BD393" s="714">
        <f>D393-BB403</f>
        <v>30.829999999999984</v>
      </c>
      <c r="BE393" s="693">
        <f>BB405-BB406</f>
        <v>66.430000000000007</v>
      </c>
      <c r="BF393" s="693">
        <f t="shared" si="361"/>
        <v>46.409754628932681</v>
      </c>
      <c r="BG393" s="668">
        <f t="shared" si="362"/>
        <v>29.785466557926689</v>
      </c>
      <c r="BH393" s="650">
        <v>750</v>
      </c>
      <c r="BI393" s="620">
        <v>103.50685607036536</v>
      </c>
      <c r="BJ393" s="720">
        <f>(BI405-BI406)/BI387</f>
        <v>1.0054406437507077</v>
      </c>
      <c r="BK393" s="714">
        <f>I393-BI403</f>
        <v>32.100000000000023</v>
      </c>
      <c r="BL393" s="693">
        <f>BI405-BI406</f>
        <v>104.07</v>
      </c>
      <c r="BM393" s="693">
        <f t="shared" si="363"/>
        <v>30.844623810896536</v>
      </c>
      <c r="BN393" s="668">
        <f t="shared" si="364"/>
        <v>31.012438420676222</v>
      </c>
      <c r="BO393" s="650">
        <v>750</v>
      </c>
      <c r="BP393" s="681">
        <v>103.50685607036536</v>
      </c>
      <c r="BQ393" s="720">
        <f>(BP405-BP406)/BP387</f>
        <v>0.69821461827485021</v>
      </c>
      <c r="BR393" s="714">
        <f>N393-BP403</f>
        <v>32.389999999999986</v>
      </c>
      <c r="BS393" s="693">
        <f>BP405-BP406</f>
        <v>72.27000000000001</v>
      </c>
      <c r="BT393" s="693">
        <f t="shared" si="365"/>
        <v>44.818043448180411</v>
      </c>
      <c r="BU393" s="668">
        <f t="shared" si="366"/>
        <v>31.292613097996938</v>
      </c>
      <c r="BV393" s="650">
        <v>750</v>
      </c>
      <c r="BW393" s="620">
        <v>103.50685607036536</v>
      </c>
      <c r="BX393" s="720">
        <f>(BW405-BW406)/BW387</f>
        <v>0.73202880346873367</v>
      </c>
      <c r="BY393" s="714">
        <f>S393-BW403</f>
        <v>38.180000000000007</v>
      </c>
      <c r="BZ393" s="693">
        <f>BW405-BW406</f>
        <v>75.769999999999982</v>
      </c>
      <c r="CA393" s="693">
        <f t="shared" si="367"/>
        <v>50.389336148871614</v>
      </c>
      <c r="CB393" s="668">
        <f t="shared" si="368"/>
        <v>36.886445448642299</v>
      </c>
      <c r="CC393" s="560"/>
    </row>
    <row r="394" spans="1:81" ht="15.75">
      <c r="A394" s="564"/>
      <c r="B394" s="585" t="s">
        <v>116</v>
      </c>
      <c r="C394" s="559">
        <v>850</v>
      </c>
      <c r="D394" s="559">
        <v>384.29</v>
      </c>
      <c r="E394" s="652">
        <v>8.11</v>
      </c>
      <c r="F394" s="652">
        <v>9.14</v>
      </c>
      <c r="G394" s="653">
        <v>9.02</v>
      </c>
      <c r="H394" s="559">
        <v>850</v>
      </c>
      <c r="I394" s="559">
        <v>423.14</v>
      </c>
      <c r="J394" s="620">
        <v>3.93</v>
      </c>
      <c r="K394" s="649">
        <v>3.27</v>
      </c>
      <c r="L394" s="588">
        <v>3.41</v>
      </c>
      <c r="M394" s="559">
        <v>850</v>
      </c>
      <c r="N394" s="649">
        <v>391.34</v>
      </c>
      <c r="O394" s="559">
        <v>5.55</v>
      </c>
      <c r="P394" s="559">
        <v>5.54</v>
      </c>
      <c r="Q394" s="559">
        <v>6.33</v>
      </c>
      <c r="R394" s="559">
        <v>850</v>
      </c>
      <c r="S394" s="649">
        <v>399.96</v>
      </c>
      <c r="T394" s="649">
        <v>3.31</v>
      </c>
      <c r="U394" s="649">
        <v>3.18</v>
      </c>
      <c r="V394" s="649">
        <v>2.65</v>
      </c>
      <c r="W394" s="5"/>
      <c r="X394" s="650">
        <v>850</v>
      </c>
      <c r="Y394" s="651">
        <f t="shared" si="345"/>
        <v>0.87566666666666659</v>
      </c>
      <c r="Z394" s="620">
        <v>9.6440000000000001</v>
      </c>
      <c r="AA394" s="620">
        <v>4.5170000000000003</v>
      </c>
      <c r="AB394" s="620">
        <f t="shared" si="346"/>
        <v>4.2513333333333332</v>
      </c>
      <c r="AC394" s="620">
        <f t="shared" si="347"/>
        <v>34.324666666666673</v>
      </c>
      <c r="AD394" s="653">
        <f t="shared" si="348"/>
        <v>147.39288145908668</v>
      </c>
      <c r="AE394" s="650">
        <v>850</v>
      </c>
      <c r="AF394" s="620">
        <f t="shared" si="349"/>
        <v>0.35366666666666668</v>
      </c>
      <c r="AG394" s="620">
        <v>9.6440000000000001</v>
      </c>
      <c r="AH394" s="620">
        <v>4.5170000000000003</v>
      </c>
      <c r="AI394" s="620">
        <f t="shared" si="350"/>
        <v>4.7733333333333334</v>
      </c>
      <c r="AJ394" s="620">
        <f t="shared" si="351"/>
        <v>33.802666666666674</v>
      </c>
      <c r="AK394" s="653">
        <f t="shared" si="352"/>
        <v>162.9737838378667</v>
      </c>
      <c r="AL394" s="650">
        <v>850</v>
      </c>
      <c r="AM394" s="620">
        <f t="shared" si="353"/>
        <v>0.58066666666666678</v>
      </c>
      <c r="AN394" s="620">
        <v>9.6440000000000001</v>
      </c>
      <c r="AO394" s="620">
        <v>4.5170000000000003</v>
      </c>
      <c r="AP394" s="620">
        <f t="shared" si="354"/>
        <v>4.5463333333333331</v>
      </c>
      <c r="AQ394" s="620">
        <f t="shared" si="355"/>
        <v>34.029666666666671</v>
      </c>
      <c r="AR394" s="698">
        <f t="shared" si="356"/>
        <v>156.26581902921166</v>
      </c>
      <c r="AS394" s="650">
        <v>850</v>
      </c>
      <c r="AT394" s="620">
        <f t="shared" si="357"/>
        <v>0.3046666666666667</v>
      </c>
      <c r="AU394" s="620">
        <v>9.6440000000000001</v>
      </c>
      <c r="AV394" s="620">
        <v>4.5170000000000003</v>
      </c>
      <c r="AW394" s="620">
        <f t="shared" si="358"/>
        <v>4.8223333333333329</v>
      </c>
      <c r="AX394" s="620">
        <f t="shared" si="359"/>
        <v>33.753666666666675</v>
      </c>
      <c r="AY394" s="698">
        <f t="shared" si="360"/>
        <v>164.40809863653166</v>
      </c>
      <c r="AZ394" s="75"/>
      <c r="BA394" s="650">
        <v>850</v>
      </c>
      <c r="BB394" s="620">
        <v>103.50685607036536</v>
      </c>
      <c r="BC394" s="720">
        <f>(BB405-BB406)/BB387</f>
        <v>0.64179323497991281</v>
      </c>
      <c r="BD394" s="714">
        <f>D394-BB403</f>
        <v>29.699999999999989</v>
      </c>
      <c r="BE394" s="693">
        <f>BB405-BB406</f>
        <v>66.430000000000007</v>
      </c>
      <c r="BF394" s="693">
        <f t="shared" si="361"/>
        <v>44.708715941592629</v>
      </c>
      <c r="BG394" s="668">
        <f t="shared" si="362"/>
        <v>28.693751435952731</v>
      </c>
      <c r="BH394" s="650">
        <v>850</v>
      </c>
      <c r="BI394" s="620">
        <v>103.50685607036536</v>
      </c>
      <c r="BJ394" s="720">
        <f>(BI405-BI406)/BI387</f>
        <v>1.0054406437507077</v>
      </c>
      <c r="BK394" s="714">
        <f>I394-BI403</f>
        <v>30.850000000000023</v>
      </c>
      <c r="BL394" s="693">
        <f>BI405-BI406</f>
        <v>104.07</v>
      </c>
      <c r="BM394" s="693">
        <f t="shared" si="363"/>
        <v>29.643509176515831</v>
      </c>
      <c r="BN394" s="668">
        <f t="shared" si="364"/>
        <v>29.80478894946609</v>
      </c>
      <c r="BO394" s="650">
        <v>850</v>
      </c>
      <c r="BP394" s="681">
        <v>103.50685607036536</v>
      </c>
      <c r="BQ394" s="720">
        <f>(BP405-BP406)/BP387</f>
        <v>0.69821461827485021</v>
      </c>
      <c r="BR394" s="714">
        <f>N394-BP403</f>
        <v>31.369999999999948</v>
      </c>
      <c r="BS394" s="693">
        <f>BP405-BP406</f>
        <v>72.27000000000001</v>
      </c>
      <c r="BT394" s="693">
        <f t="shared" si="365"/>
        <v>43.406669434066615</v>
      </c>
      <c r="BU394" s="668">
        <f t="shared" si="366"/>
        <v>30.307171129489429</v>
      </c>
      <c r="BV394" s="650">
        <v>850</v>
      </c>
      <c r="BW394" s="620">
        <v>103.50685607036536</v>
      </c>
      <c r="BX394" s="720">
        <f>(BW405-BW406)/BW387</f>
        <v>0.73202880346873367</v>
      </c>
      <c r="BY394" s="714">
        <f>S394-BW403</f>
        <v>36.96999999999997</v>
      </c>
      <c r="BZ394" s="693">
        <f>BW405-BW406</f>
        <v>75.769999999999982</v>
      </c>
      <c r="CA394" s="693">
        <f t="shared" si="367"/>
        <v>48.792398046720308</v>
      </c>
      <c r="CB394" s="668">
        <f t="shared" si="368"/>
        <v>35.717440760510847</v>
      </c>
      <c r="CC394" s="560"/>
    </row>
    <row r="395" spans="1:81" ht="15.75">
      <c r="A395" s="564"/>
      <c r="B395" s="585" t="s">
        <v>116</v>
      </c>
      <c r="C395" s="559">
        <v>950</v>
      </c>
      <c r="D395" s="559">
        <v>383.51</v>
      </c>
      <c r="E395" s="652">
        <v>10.130000000000001</v>
      </c>
      <c r="F395" s="652">
        <v>9.73</v>
      </c>
      <c r="G395" s="653">
        <v>7.5</v>
      </c>
      <c r="H395" s="559">
        <v>950</v>
      </c>
      <c r="I395" s="559">
        <v>422.33</v>
      </c>
      <c r="J395" s="620">
        <v>3.84</v>
      </c>
      <c r="K395" s="649">
        <v>3.03</v>
      </c>
      <c r="L395" s="588">
        <v>3.01</v>
      </c>
      <c r="M395" s="559">
        <v>950</v>
      </c>
      <c r="N395" s="649">
        <v>390.57</v>
      </c>
      <c r="O395" s="559">
        <v>5.52</v>
      </c>
      <c r="P395" s="559">
        <v>6.65</v>
      </c>
      <c r="Q395" s="559">
        <v>4.17</v>
      </c>
      <c r="R395" s="559">
        <v>950</v>
      </c>
      <c r="S395" s="649">
        <v>399.04</v>
      </c>
      <c r="T395" s="649">
        <v>3.5</v>
      </c>
      <c r="U395" s="649">
        <v>2.69</v>
      </c>
      <c r="V395" s="649">
        <v>1.51</v>
      </c>
      <c r="W395" s="5"/>
      <c r="X395" s="650">
        <v>950</v>
      </c>
      <c r="Y395" s="651">
        <f t="shared" si="345"/>
        <v>0.91199999999999992</v>
      </c>
      <c r="Z395" s="620">
        <v>9.6440000000000001</v>
      </c>
      <c r="AA395" s="620">
        <v>4.5170000000000003</v>
      </c>
      <c r="AB395" s="620">
        <f t="shared" si="346"/>
        <v>4.2149999999999999</v>
      </c>
      <c r="AC395" s="620">
        <f t="shared" si="347"/>
        <v>34.361000000000004</v>
      </c>
      <c r="AD395" s="653">
        <f t="shared" si="348"/>
        <v>182.73332448742499</v>
      </c>
      <c r="AE395" s="650">
        <v>950</v>
      </c>
      <c r="AF395" s="620">
        <f t="shared" si="349"/>
        <v>0.32933333333333331</v>
      </c>
      <c r="AG395" s="620">
        <v>9.6440000000000001</v>
      </c>
      <c r="AH395" s="620">
        <v>4.5170000000000003</v>
      </c>
      <c r="AI395" s="620">
        <f t="shared" si="350"/>
        <v>4.7976666666666663</v>
      </c>
      <c r="AJ395" s="620">
        <f t="shared" si="351"/>
        <v>33.778333333333336</v>
      </c>
      <c r="AK395" s="653">
        <f t="shared" si="352"/>
        <v>204.46673862669164</v>
      </c>
      <c r="AL395" s="650">
        <v>950</v>
      </c>
      <c r="AM395" s="620">
        <f t="shared" si="353"/>
        <v>0.54466666666666663</v>
      </c>
      <c r="AN395" s="620">
        <v>9.6440000000000001</v>
      </c>
      <c r="AO395" s="620">
        <v>4.5170000000000003</v>
      </c>
      <c r="AP395" s="620">
        <f t="shared" si="354"/>
        <v>4.5823333333333327</v>
      </c>
      <c r="AQ395" s="620">
        <f t="shared" si="355"/>
        <v>33.99366666666667</v>
      </c>
      <c r="AR395" s="698">
        <f t="shared" si="356"/>
        <v>196.53462365865161</v>
      </c>
      <c r="AS395" s="650">
        <v>950</v>
      </c>
      <c r="AT395" s="620">
        <f t="shared" si="357"/>
        <v>0.25666666666666665</v>
      </c>
      <c r="AU395" s="620">
        <v>9.6440000000000001</v>
      </c>
      <c r="AV395" s="620">
        <v>4.5170000000000003</v>
      </c>
      <c r="AW395" s="620">
        <f t="shared" si="358"/>
        <v>4.870333333333333</v>
      </c>
      <c r="AX395" s="620">
        <f t="shared" si="359"/>
        <v>33.705666666666673</v>
      </c>
      <c r="AY395" s="698">
        <f t="shared" si="360"/>
        <v>207.11711570505165</v>
      </c>
      <c r="AZ395" s="75"/>
      <c r="BA395" s="650">
        <v>950</v>
      </c>
      <c r="BB395" s="620">
        <v>103.50685607036536</v>
      </c>
      <c r="BC395" s="720">
        <f>(BB405-BB406)/BB387</f>
        <v>0.64179323497991281</v>
      </c>
      <c r="BD395" s="714">
        <f>D395-BB403</f>
        <v>28.919999999999959</v>
      </c>
      <c r="BE395" s="693">
        <f>BB405-BB406</f>
        <v>66.430000000000007</v>
      </c>
      <c r="BF395" s="693">
        <f t="shared" si="361"/>
        <v>43.534547644136616</v>
      </c>
      <c r="BG395" s="668">
        <f t="shared" si="362"/>
        <v>27.94017816591758</v>
      </c>
      <c r="BH395" s="650">
        <v>950</v>
      </c>
      <c r="BI395" s="620">
        <v>103.50685607036536</v>
      </c>
      <c r="BJ395" s="720">
        <f>(BI405-BI406)/BI387</f>
        <v>1.0054406437507077</v>
      </c>
      <c r="BK395" s="714">
        <f>I395-BI403</f>
        <v>30.04000000000002</v>
      </c>
      <c r="BL395" s="693">
        <f>BI405-BI406</f>
        <v>104.07</v>
      </c>
      <c r="BM395" s="693">
        <f t="shared" si="363"/>
        <v>28.865186893437134</v>
      </c>
      <c r="BN395" s="668">
        <f t="shared" si="364"/>
        <v>29.022232092121925</v>
      </c>
      <c r="BO395" s="650">
        <v>950</v>
      </c>
      <c r="BP395" s="681">
        <v>103.50685607036536</v>
      </c>
      <c r="BQ395" s="720">
        <f>(BP405-BP406)/BP387</f>
        <v>0.69821461827485021</v>
      </c>
      <c r="BR395" s="714">
        <f>N395-BP403</f>
        <v>30.599999999999966</v>
      </c>
      <c r="BS395" s="693">
        <f>BP405-BP406</f>
        <v>72.27000000000001</v>
      </c>
      <c r="BT395" s="693">
        <f t="shared" si="365"/>
        <v>42.341220423412153</v>
      </c>
      <c r="BU395" s="668">
        <f t="shared" si="366"/>
        <v>29.563259055224009</v>
      </c>
      <c r="BV395" s="650">
        <v>950</v>
      </c>
      <c r="BW395" s="620">
        <v>103.50685607036536</v>
      </c>
      <c r="BX395" s="720">
        <f>(BW405-BW406)/BW387</f>
        <v>0.73202880346873367</v>
      </c>
      <c r="BY395" s="714">
        <f>S395-BW403</f>
        <v>36.050000000000011</v>
      </c>
      <c r="BZ395" s="693">
        <f>BW405-BW406</f>
        <v>75.769999999999982</v>
      </c>
      <c r="CA395" s="693">
        <f t="shared" si="367"/>
        <v>47.57819717566322</v>
      </c>
      <c r="CB395" s="668">
        <f t="shared" si="368"/>
        <v>34.828610749700232</v>
      </c>
      <c r="CC395" s="560"/>
    </row>
    <row r="396" spans="1:81" ht="15.75">
      <c r="A396" s="564"/>
      <c r="B396" s="585" t="s">
        <v>116</v>
      </c>
      <c r="C396" s="559">
        <v>1000</v>
      </c>
      <c r="D396" s="559">
        <v>383.04</v>
      </c>
      <c r="E396" s="652">
        <v>10.97</v>
      </c>
      <c r="F396" s="652">
        <v>9.9700000000000006</v>
      </c>
      <c r="G396" s="653">
        <v>9.51</v>
      </c>
      <c r="H396" s="559">
        <v>1000</v>
      </c>
      <c r="I396" s="559">
        <v>421.77</v>
      </c>
      <c r="J396" s="559">
        <v>3.72</v>
      </c>
      <c r="K396" s="649">
        <v>3.32</v>
      </c>
      <c r="L396" s="654">
        <v>2.9</v>
      </c>
      <c r="M396" s="559">
        <v>1000</v>
      </c>
      <c r="N396" s="559">
        <v>390.05</v>
      </c>
      <c r="O396" s="649">
        <v>5.57</v>
      </c>
      <c r="P396" s="559">
        <v>6.15</v>
      </c>
      <c r="Q396" s="559">
        <v>7.1</v>
      </c>
      <c r="R396" s="559">
        <v>1000</v>
      </c>
      <c r="S396" s="649">
        <v>398.46</v>
      </c>
      <c r="T396" s="649">
        <v>3.71</v>
      </c>
      <c r="U396" s="649">
        <v>2.99</v>
      </c>
      <c r="V396" s="649">
        <v>3.6</v>
      </c>
      <c r="W396" s="5"/>
      <c r="X396" s="650">
        <v>1000</v>
      </c>
      <c r="Y396" s="651">
        <f t="shared" si="345"/>
        <v>1.0150000000000001</v>
      </c>
      <c r="Z396" s="620">
        <v>9.6440000000000001</v>
      </c>
      <c r="AA396" s="620">
        <v>4.5170000000000003</v>
      </c>
      <c r="AB396" s="620">
        <f t="shared" si="346"/>
        <v>4.1120000000000001</v>
      </c>
      <c r="AC396" s="620">
        <f t="shared" si="347"/>
        <v>34.464000000000006</v>
      </c>
      <c r="AD396" s="653">
        <f t="shared" si="348"/>
        <v>198.11892326399999</v>
      </c>
      <c r="AE396" s="650">
        <v>1000</v>
      </c>
      <c r="AF396" s="620">
        <f t="shared" si="349"/>
        <v>0.33133333333333331</v>
      </c>
      <c r="AG396" s="620">
        <v>9.6440000000000001</v>
      </c>
      <c r="AH396" s="620">
        <v>4.5170000000000003</v>
      </c>
      <c r="AI396" s="620">
        <f t="shared" si="350"/>
        <v>4.7956666666666665</v>
      </c>
      <c r="AJ396" s="620">
        <f t="shared" si="351"/>
        <v>33.780333333333338</v>
      </c>
      <c r="AK396" s="653">
        <f t="shared" si="352"/>
        <v>226.47490754066666</v>
      </c>
      <c r="AL396" s="650">
        <v>1000</v>
      </c>
      <c r="AM396" s="620">
        <f>AVERAGE(P396:Q396)/10</f>
        <v>0.66249999999999998</v>
      </c>
      <c r="AN396" s="620">
        <v>9.6440000000000001</v>
      </c>
      <c r="AO396" s="620">
        <v>4.5170000000000003</v>
      </c>
      <c r="AP396" s="620">
        <f t="shared" si="354"/>
        <v>4.4645000000000001</v>
      </c>
      <c r="AQ396" s="620">
        <f t="shared" si="355"/>
        <v>34.111500000000007</v>
      </c>
      <c r="AR396" s="698">
        <f t="shared" si="356"/>
        <v>212.90252686650001</v>
      </c>
      <c r="AS396" s="650">
        <v>1000</v>
      </c>
      <c r="AT396" s="620">
        <f t="shared" si="357"/>
        <v>0.34333333333333338</v>
      </c>
      <c r="AU396" s="620">
        <v>9.6440000000000001</v>
      </c>
      <c r="AV396" s="620">
        <v>4.5170000000000003</v>
      </c>
      <c r="AW396" s="620">
        <f t="shared" si="358"/>
        <v>4.7836666666666661</v>
      </c>
      <c r="AX396" s="620">
        <f t="shared" si="359"/>
        <v>33.792333333333339</v>
      </c>
      <c r="AY396" s="698">
        <f t="shared" si="360"/>
        <v>225.98845946066663</v>
      </c>
      <c r="AZ396" s="75"/>
      <c r="BA396" s="650">
        <v>1000</v>
      </c>
      <c r="BB396" s="620">
        <v>103.50685607036536</v>
      </c>
      <c r="BC396" s="720">
        <f>(BB405-BB406)/BB387</f>
        <v>0.64179323497991281</v>
      </c>
      <c r="BD396" s="714">
        <f>D396-BB403</f>
        <v>28.449999999999989</v>
      </c>
      <c r="BE396" s="693">
        <f>BB405-BB406</f>
        <v>66.430000000000007</v>
      </c>
      <c r="BF396" s="693">
        <f t="shared" si="361"/>
        <v>42.82703597772089</v>
      </c>
      <c r="BG396" s="668">
        <f t="shared" si="362"/>
        <v>27.486101964742602</v>
      </c>
      <c r="BH396" s="650">
        <v>1000</v>
      </c>
      <c r="BI396" s="620">
        <v>103.50685607036536</v>
      </c>
      <c r="BJ396" s="720">
        <f>(BI405-BI406)/BI387</f>
        <v>1.0054406437507077</v>
      </c>
      <c r="BK396" s="714">
        <f>I396-BI403</f>
        <v>29.480000000000018</v>
      </c>
      <c r="BL396" s="693">
        <f>BI405-BI406</f>
        <v>104.07</v>
      </c>
      <c r="BM396" s="693">
        <f t="shared" si="363"/>
        <v>28.327087537234576</v>
      </c>
      <c r="BN396" s="668">
        <f t="shared" si="364"/>
        <v>28.481205129019781</v>
      </c>
      <c r="BO396" s="650">
        <v>1000</v>
      </c>
      <c r="BP396" s="681">
        <v>103.50685607036536</v>
      </c>
      <c r="BQ396" s="720">
        <f>(BP405-BP406)/BP387</f>
        <v>0.69821461827485021</v>
      </c>
      <c r="BR396" s="714">
        <f>N396-BP403</f>
        <v>30.079999999999984</v>
      </c>
      <c r="BS396" s="693">
        <f>BP405-BP406</f>
        <v>72.27000000000001</v>
      </c>
      <c r="BT396" s="693">
        <f t="shared" si="365"/>
        <v>41.621696416216935</v>
      </c>
      <c r="BU396" s="668">
        <f t="shared" si="366"/>
        <v>29.060876875200609</v>
      </c>
      <c r="BV396" s="650">
        <v>1000</v>
      </c>
      <c r="BW396" s="620">
        <v>103.50685607036536</v>
      </c>
      <c r="BX396" s="720">
        <f>(BW405-BW406)/BW387</f>
        <v>0.73202880346873367</v>
      </c>
      <c r="BY396" s="714">
        <f>S396-BW403</f>
        <v>35.46999999999997</v>
      </c>
      <c r="BZ396" s="693">
        <f>BW405-BW406</f>
        <v>75.769999999999982</v>
      </c>
      <c r="CA396" s="693">
        <f t="shared" si="367"/>
        <v>46.812722713474962</v>
      </c>
      <c r="CB396" s="668">
        <f t="shared" si="368"/>
        <v>34.268261395058687</v>
      </c>
      <c r="CC396" s="560"/>
    </row>
    <row r="397" spans="1:81" ht="15.75">
      <c r="A397" s="564"/>
      <c r="B397" s="585" t="s">
        <v>116</v>
      </c>
      <c r="C397" s="559">
        <v>1350</v>
      </c>
      <c r="D397" s="559">
        <v>381.59</v>
      </c>
      <c r="E397" s="652">
        <v>12.12</v>
      </c>
      <c r="F397" s="652">
        <v>11.25</v>
      </c>
      <c r="G397" s="653">
        <v>10.57</v>
      </c>
      <c r="H397" s="559">
        <v>1350</v>
      </c>
      <c r="I397" s="559">
        <v>420.3</v>
      </c>
      <c r="J397" s="620">
        <v>4.07</v>
      </c>
      <c r="K397" s="649">
        <v>4.09</v>
      </c>
      <c r="L397" s="619">
        <v>4.0199999999999996</v>
      </c>
      <c r="M397" s="559">
        <v>1350</v>
      </c>
      <c r="N397" s="649">
        <v>388.7</v>
      </c>
      <c r="O397" s="559">
        <v>7.16</v>
      </c>
      <c r="P397" s="559">
        <v>7.59</v>
      </c>
      <c r="Q397" s="559">
        <v>6.2</v>
      </c>
      <c r="R397" s="559">
        <v>1350</v>
      </c>
      <c r="S397" s="649">
        <v>396.94</v>
      </c>
      <c r="T397" s="649">
        <v>4.09</v>
      </c>
      <c r="U397" s="649">
        <v>4.18</v>
      </c>
      <c r="V397" s="649">
        <v>4.28</v>
      </c>
      <c r="W397" s="5"/>
      <c r="X397" s="650">
        <v>1350</v>
      </c>
      <c r="Y397" s="651">
        <f t="shared" si="345"/>
        <v>1.1313333333333333</v>
      </c>
      <c r="Z397" s="620">
        <v>9.6440000000000001</v>
      </c>
      <c r="AA397" s="620">
        <v>4.5170000000000003</v>
      </c>
      <c r="AB397" s="620">
        <f t="shared" si="346"/>
        <v>3.9956666666666667</v>
      </c>
      <c r="AC397" s="620">
        <f t="shared" si="347"/>
        <v>34.580333333333336</v>
      </c>
      <c r="AD397" s="653">
        <f t="shared" si="348"/>
        <v>352.04090948086503</v>
      </c>
      <c r="AE397" s="650">
        <v>1350</v>
      </c>
      <c r="AF397" s="620">
        <f t="shared" si="349"/>
        <v>0.40599999999999997</v>
      </c>
      <c r="AG397" s="620">
        <v>9.6440000000000001</v>
      </c>
      <c r="AH397" s="620">
        <v>4.5170000000000003</v>
      </c>
      <c r="AI397" s="620">
        <f t="shared" si="350"/>
        <v>4.7210000000000001</v>
      </c>
      <c r="AJ397" s="620">
        <f t="shared" si="351"/>
        <v>33.855000000000004</v>
      </c>
      <c r="AK397" s="653">
        <f t="shared" si="352"/>
        <v>407.22227606902499</v>
      </c>
      <c r="AL397" s="650">
        <v>1350</v>
      </c>
      <c r="AM397" s="620">
        <f t="shared" ref="AM397:AM402" si="369">AVERAGE(O397:Q397)/10</f>
        <v>0.69833333333333336</v>
      </c>
      <c r="AN397" s="620">
        <v>9.6440000000000001</v>
      </c>
      <c r="AO397" s="620">
        <v>4.5170000000000003</v>
      </c>
      <c r="AP397" s="620">
        <f t="shared" si="354"/>
        <v>4.4286666666666665</v>
      </c>
      <c r="AQ397" s="620">
        <f t="shared" si="355"/>
        <v>34.147333333333336</v>
      </c>
      <c r="AR397" s="698">
        <f t="shared" si="356"/>
        <v>385.30486781514003</v>
      </c>
      <c r="AS397" s="650">
        <v>1350</v>
      </c>
      <c r="AT397" s="620">
        <f t="shared" si="357"/>
        <v>0.41833333333333333</v>
      </c>
      <c r="AU397" s="620">
        <v>9.6440000000000001</v>
      </c>
      <c r="AV397" s="620">
        <v>4.5170000000000003</v>
      </c>
      <c r="AW397" s="620">
        <f t="shared" si="358"/>
        <v>4.7086666666666668</v>
      </c>
      <c r="AX397" s="620">
        <f t="shared" si="359"/>
        <v>33.867333333333342</v>
      </c>
      <c r="AY397" s="698">
        <f t="shared" si="360"/>
        <v>406.30639495194009</v>
      </c>
      <c r="AZ397" s="75"/>
      <c r="BA397" s="650">
        <v>1350</v>
      </c>
      <c r="BB397" s="620">
        <v>103.50685607036536</v>
      </c>
      <c r="BC397" s="720">
        <f>(BB405-BB406)/BB387</f>
        <v>0.64179323497991281</v>
      </c>
      <c r="BD397" s="714">
        <f>D397-BB403</f>
        <v>26.999999999999943</v>
      </c>
      <c r="BE397" s="693">
        <f>BB405-BB406</f>
        <v>66.430000000000007</v>
      </c>
      <c r="BF397" s="693">
        <f t="shared" si="361"/>
        <v>40.644287219629597</v>
      </c>
      <c r="BG397" s="668">
        <f t="shared" si="362"/>
        <v>26.085228578138803</v>
      </c>
      <c r="BH397" s="650">
        <v>1350</v>
      </c>
      <c r="BI397" s="620">
        <v>103.50685607036536</v>
      </c>
      <c r="BJ397" s="720">
        <f>(BI405-BI406)/BI387</f>
        <v>1.0054406437507077</v>
      </c>
      <c r="BK397" s="714">
        <f>I397-BI403</f>
        <v>28.010000000000048</v>
      </c>
      <c r="BL397" s="693">
        <f>BI405-BI406</f>
        <v>104.07</v>
      </c>
      <c r="BM397" s="693">
        <f t="shared" si="363"/>
        <v>26.914576727202892</v>
      </c>
      <c r="BN397" s="668">
        <f t="shared" si="364"/>
        <v>27.061009350876692</v>
      </c>
      <c r="BO397" s="650">
        <v>1350</v>
      </c>
      <c r="BP397" s="681">
        <v>103.50685607036536</v>
      </c>
      <c r="BQ397" s="720">
        <f>(BP405-BP406)/BP387</f>
        <v>0.69821461827485021</v>
      </c>
      <c r="BR397" s="714">
        <f>N397-BP403</f>
        <v>28.729999999999961</v>
      </c>
      <c r="BS397" s="693">
        <f>BP405-BP406</f>
        <v>72.27000000000001</v>
      </c>
      <c r="BT397" s="693">
        <f t="shared" si="365"/>
        <v>39.753701397536958</v>
      </c>
      <c r="BU397" s="668">
        <f t="shared" si="366"/>
        <v>27.756615446293647</v>
      </c>
      <c r="BV397" s="650">
        <v>1350</v>
      </c>
      <c r="BW397" s="620">
        <v>103.50685607036536</v>
      </c>
      <c r="BX397" s="720">
        <f>(BW405-BW406)/BW387</f>
        <v>0.73202880346873367</v>
      </c>
      <c r="BY397" s="714">
        <f>S397-BW403</f>
        <v>33.949999999999989</v>
      </c>
      <c r="BZ397" s="693">
        <f>BW405-BW406</f>
        <v>75.769999999999982</v>
      </c>
      <c r="CA397" s="693">
        <f t="shared" si="367"/>
        <v>44.806651709119699</v>
      </c>
      <c r="CB397" s="668">
        <f t="shared" si="368"/>
        <v>32.799759638067187</v>
      </c>
      <c r="CC397" s="560"/>
    </row>
    <row r="398" spans="1:81" ht="15.75">
      <c r="A398" s="564"/>
      <c r="B398" s="585" t="s">
        <v>116</v>
      </c>
      <c r="C398" s="559">
        <v>2500</v>
      </c>
      <c r="D398" s="559">
        <v>378.51</v>
      </c>
      <c r="E398" s="652">
        <v>16.88</v>
      </c>
      <c r="F398" s="652">
        <v>16.29</v>
      </c>
      <c r="G398" s="653">
        <v>15.79</v>
      </c>
      <c r="H398" s="559">
        <v>2500</v>
      </c>
      <c r="I398" s="559">
        <v>417.31</v>
      </c>
      <c r="J398" s="559">
        <v>8.51</v>
      </c>
      <c r="K398" s="649">
        <v>7.92</v>
      </c>
      <c r="L398" s="588">
        <v>7.6</v>
      </c>
      <c r="M398" s="559">
        <v>2500</v>
      </c>
      <c r="N398" s="649">
        <v>385.94</v>
      </c>
      <c r="O398" s="559">
        <v>11.23</v>
      </c>
      <c r="P398" s="559">
        <v>12.38</v>
      </c>
      <c r="Q398" s="559">
        <v>10.16</v>
      </c>
      <c r="R398" s="559">
        <v>2500</v>
      </c>
      <c r="S398" s="649">
        <v>393.86</v>
      </c>
      <c r="T398" s="649">
        <v>8.14</v>
      </c>
      <c r="U398" s="649">
        <v>7.14</v>
      </c>
      <c r="V398" s="649">
        <v>7.78</v>
      </c>
      <c r="W398" s="5"/>
      <c r="X398" s="650">
        <v>2500</v>
      </c>
      <c r="Y398" s="651">
        <f t="shared" si="345"/>
        <v>1.6320000000000001</v>
      </c>
      <c r="Z398" s="620">
        <v>9.6440000000000001</v>
      </c>
      <c r="AA398" s="620">
        <v>4.5170000000000003</v>
      </c>
      <c r="AB398" s="620">
        <f t="shared" si="346"/>
        <v>3.4949999999999992</v>
      </c>
      <c r="AC398" s="620">
        <f t="shared" si="347"/>
        <v>35.081000000000003</v>
      </c>
      <c r="AD398" s="653">
        <f t="shared" si="348"/>
        <v>1071.2882300624997</v>
      </c>
      <c r="AE398" s="650">
        <v>2500</v>
      </c>
      <c r="AF398" s="620">
        <f t="shared" si="349"/>
        <v>0.80099999999999993</v>
      </c>
      <c r="AG398" s="620">
        <v>9.6440000000000001</v>
      </c>
      <c r="AH398" s="620">
        <v>4.5170000000000003</v>
      </c>
      <c r="AI398" s="620">
        <f t="shared" si="350"/>
        <v>4.3259999999999996</v>
      </c>
      <c r="AJ398" s="620">
        <f t="shared" si="351"/>
        <v>34.250000000000007</v>
      </c>
      <c r="AK398" s="653">
        <f t="shared" si="352"/>
        <v>1294.5960562500002</v>
      </c>
      <c r="AL398" s="650">
        <v>2500</v>
      </c>
      <c r="AM398" s="620">
        <f t="shared" si="369"/>
        <v>1.1256666666666666</v>
      </c>
      <c r="AN398" s="620">
        <v>9.6440000000000001</v>
      </c>
      <c r="AO398" s="620">
        <v>4.5170000000000003</v>
      </c>
      <c r="AP398" s="620">
        <f t="shared" si="354"/>
        <v>4.0013333333333332</v>
      </c>
      <c r="AQ398" s="620">
        <f t="shared" si="355"/>
        <v>34.574666666666673</v>
      </c>
      <c r="AR398" s="698">
        <f t="shared" si="356"/>
        <v>1208.7873948666665</v>
      </c>
      <c r="AS398" s="650">
        <v>2500</v>
      </c>
      <c r="AT398" s="620">
        <f t="shared" si="357"/>
        <v>0.76866666666666672</v>
      </c>
      <c r="AU398" s="620">
        <v>9.6440000000000001</v>
      </c>
      <c r="AV398" s="620">
        <v>4.5170000000000003</v>
      </c>
      <c r="AW398" s="620">
        <f t="shared" si="358"/>
        <v>4.3583333333333334</v>
      </c>
      <c r="AX398" s="620">
        <f t="shared" si="359"/>
        <v>34.217666666666673</v>
      </c>
      <c r="AY398" s="698">
        <f t="shared" si="360"/>
        <v>1303.0408257291667</v>
      </c>
      <c r="AZ398" s="75"/>
      <c r="BA398" s="650">
        <v>2500</v>
      </c>
      <c r="BB398" s="620">
        <v>103.50685607036536</v>
      </c>
      <c r="BC398" s="720">
        <f>(BB405-BB406)/BB387</f>
        <v>0.64179323497991281</v>
      </c>
      <c r="BD398" s="714">
        <f>D398-BB403</f>
        <v>23.919999999999959</v>
      </c>
      <c r="BE398" s="693">
        <f>BB405-BB406</f>
        <v>66.430000000000007</v>
      </c>
      <c r="BF398" s="693">
        <f t="shared" si="361"/>
        <v>36.007827788649642</v>
      </c>
      <c r="BG398" s="668">
        <f t="shared" si="362"/>
        <v>23.109580281077054</v>
      </c>
      <c r="BH398" s="650">
        <v>2500</v>
      </c>
      <c r="BI398" s="620">
        <v>103.50685607036536</v>
      </c>
      <c r="BJ398" s="720">
        <f>(BI405-BI406)/BI387</f>
        <v>1.0054406437507077</v>
      </c>
      <c r="BK398" s="714">
        <f>I398-BI403</f>
        <v>25.020000000000039</v>
      </c>
      <c r="BL398" s="693">
        <f>BI405-BI406</f>
        <v>104.07</v>
      </c>
      <c r="BM398" s="693">
        <f t="shared" si="363"/>
        <v>24.041510521764238</v>
      </c>
      <c r="BN398" s="668">
        <f t="shared" si="364"/>
        <v>24.172311815742049</v>
      </c>
      <c r="BO398" s="650">
        <v>2500</v>
      </c>
      <c r="BP398" s="681">
        <v>103.50685607036536</v>
      </c>
      <c r="BQ398" s="720">
        <f>(BP405-BP406)/BP387</f>
        <v>0.69821461827485021</v>
      </c>
      <c r="BR398" s="714">
        <f>N398-BP403</f>
        <v>25.96999999999997</v>
      </c>
      <c r="BS398" s="693">
        <f>BP405-BP406</f>
        <v>72.27000000000001</v>
      </c>
      <c r="BT398" s="693">
        <f t="shared" si="365"/>
        <v>35.934689359346848</v>
      </c>
      <c r="BU398" s="668">
        <f t="shared" si="366"/>
        <v>25.090125413861681</v>
      </c>
      <c r="BV398" s="650">
        <v>2500</v>
      </c>
      <c r="BW398" s="620">
        <v>103.50685607036536</v>
      </c>
      <c r="BX398" s="720">
        <f>(BW405-BW406)/BW387</f>
        <v>0.73202880346873367</v>
      </c>
      <c r="BY398" s="714">
        <f>S398-BW403</f>
        <v>30.870000000000005</v>
      </c>
      <c r="BZ398" s="693">
        <f>BW405-BW406</f>
        <v>75.769999999999982</v>
      </c>
      <c r="CA398" s="693">
        <f t="shared" si="367"/>
        <v>40.741718358189274</v>
      </c>
      <c r="CB398" s="668">
        <f t="shared" si="368"/>
        <v>29.824111341005434</v>
      </c>
      <c r="CC398" s="560"/>
    </row>
    <row r="399" spans="1:81" ht="15.75">
      <c r="A399" s="564"/>
      <c r="B399" s="585" t="s">
        <v>116</v>
      </c>
      <c r="C399" s="559">
        <v>5000</v>
      </c>
      <c r="D399" s="559">
        <v>374.79</v>
      </c>
      <c r="E399" s="652">
        <v>20.149999999999999</v>
      </c>
      <c r="F399" s="652">
        <v>20.32</v>
      </c>
      <c r="G399" s="653">
        <v>20.46</v>
      </c>
      <c r="H399" s="559">
        <v>5000</v>
      </c>
      <c r="I399" s="559">
        <v>413.82</v>
      </c>
      <c r="J399" s="559">
        <v>13.84</v>
      </c>
      <c r="K399" s="649">
        <v>12.75</v>
      </c>
      <c r="L399" s="588">
        <v>13.24</v>
      </c>
      <c r="M399" s="559">
        <v>5000</v>
      </c>
      <c r="N399" s="649">
        <v>382.23</v>
      </c>
      <c r="O399" s="559">
        <v>16.7</v>
      </c>
      <c r="P399" s="559">
        <v>16.579999999999998</v>
      </c>
      <c r="Q399" s="559">
        <v>17.3</v>
      </c>
      <c r="R399" s="559">
        <v>5000</v>
      </c>
      <c r="S399" s="649">
        <v>389.62</v>
      </c>
      <c r="T399" s="649">
        <v>14.1</v>
      </c>
      <c r="U399" s="649">
        <v>13.88</v>
      </c>
      <c r="V399" s="649">
        <v>13.94</v>
      </c>
      <c r="W399" s="5"/>
      <c r="X399" s="650">
        <v>5000</v>
      </c>
      <c r="Y399" s="651">
        <f t="shared" si="345"/>
        <v>2.0309999999999997</v>
      </c>
      <c r="Z399" s="620">
        <v>9.6440000000000001</v>
      </c>
      <c r="AA399" s="620">
        <v>4.5170000000000003</v>
      </c>
      <c r="AB399" s="620">
        <f t="shared" si="346"/>
        <v>3.0960000000000001</v>
      </c>
      <c r="AC399" s="620">
        <f t="shared" si="347"/>
        <v>35.480000000000004</v>
      </c>
      <c r="AD399" s="653">
        <f t="shared" si="348"/>
        <v>3839.120496</v>
      </c>
      <c r="AE399" s="650">
        <v>5000</v>
      </c>
      <c r="AF399" s="620">
        <f t="shared" si="349"/>
        <v>1.3276666666666666</v>
      </c>
      <c r="AG399" s="620">
        <v>9.6440000000000001</v>
      </c>
      <c r="AH399" s="620">
        <v>4.5170000000000003</v>
      </c>
      <c r="AI399" s="620">
        <f t="shared" si="350"/>
        <v>3.7993333333333332</v>
      </c>
      <c r="AJ399" s="620">
        <f t="shared" si="351"/>
        <v>34.776666666666671</v>
      </c>
      <c r="AK399" s="653">
        <f t="shared" si="352"/>
        <v>4617.8788036666665</v>
      </c>
      <c r="AL399" s="650">
        <v>5000</v>
      </c>
      <c r="AM399" s="620">
        <f t="shared" si="369"/>
        <v>1.6859999999999999</v>
      </c>
      <c r="AN399" s="620">
        <v>9.6440000000000001</v>
      </c>
      <c r="AO399" s="620">
        <v>4.5170000000000003</v>
      </c>
      <c r="AP399" s="620">
        <f t="shared" si="354"/>
        <v>3.4409999999999998</v>
      </c>
      <c r="AQ399" s="620">
        <f t="shared" si="355"/>
        <v>35.135000000000005</v>
      </c>
      <c r="AR399" s="698">
        <f t="shared" si="356"/>
        <v>4225.4387482499997</v>
      </c>
      <c r="AS399" s="650">
        <v>5000</v>
      </c>
      <c r="AT399" s="620">
        <f t="shared" si="357"/>
        <v>1.3973333333333335</v>
      </c>
      <c r="AU399" s="620">
        <v>9.6440000000000001</v>
      </c>
      <c r="AV399" s="620">
        <v>4.5170000000000003</v>
      </c>
      <c r="AW399" s="620">
        <f t="shared" si="358"/>
        <v>3.7296666666666667</v>
      </c>
      <c r="AX399" s="620">
        <f t="shared" si="359"/>
        <v>34.846333333333341</v>
      </c>
      <c r="AY399" s="698">
        <f t="shared" si="360"/>
        <v>4542.2840157166675</v>
      </c>
      <c r="AZ399" s="75"/>
      <c r="BA399" s="650">
        <v>5000</v>
      </c>
      <c r="BB399" s="620">
        <v>103.50685607036536</v>
      </c>
      <c r="BC399" s="720">
        <f>(BB405-BB406)/BB387</f>
        <v>0.64179323497991281</v>
      </c>
      <c r="BD399" s="714">
        <f>D399-BB403</f>
        <v>20.199999999999989</v>
      </c>
      <c r="BE399" s="693">
        <f>BB405-BB406</f>
        <v>66.430000000000007</v>
      </c>
      <c r="BF399" s="693">
        <f t="shared" si="361"/>
        <v>30.407948216167373</v>
      </c>
      <c r="BG399" s="668">
        <f t="shared" si="362"/>
        <v>19.515615454755729</v>
      </c>
      <c r="BH399" s="650">
        <v>5000</v>
      </c>
      <c r="BI399" s="620">
        <v>103.50685607036536</v>
      </c>
      <c r="BJ399" s="720">
        <f>(BI405-BI406)/BI387</f>
        <v>1.0054406437507077</v>
      </c>
      <c r="BK399" s="714">
        <f>I399-BI403</f>
        <v>21.53000000000003</v>
      </c>
      <c r="BL399" s="693">
        <f>BI405-BI406</f>
        <v>104.07</v>
      </c>
      <c r="BM399" s="693">
        <f t="shared" si="363"/>
        <v>20.687998462573297</v>
      </c>
      <c r="BN399" s="668">
        <f t="shared" si="364"/>
        <v>20.800554492123347</v>
      </c>
      <c r="BO399" s="650">
        <v>5000</v>
      </c>
      <c r="BP399" s="681">
        <v>103.50685607036536</v>
      </c>
      <c r="BQ399" s="720">
        <f>(BP405-BP406)/BP387</f>
        <v>0.69821461827485021</v>
      </c>
      <c r="BR399" s="714">
        <f>N399-BP403</f>
        <v>22.259999999999991</v>
      </c>
      <c r="BS399" s="693">
        <f>BP405-BP406</f>
        <v>72.27000000000001</v>
      </c>
      <c r="BT399" s="693">
        <f t="shared" si="365"/>
        <v>30.801162308011605</v>
      </c>
      <c r="BU399" s="668">
        <f t="shared" si="366"/>
        <v>21.505821783310026</v>
      </c>
      <c r="BV399" s="650">
        <v>5000</v>
      </c>
      <c r="BW399" s="620">
        <v>103.50685607036536</v>
      </c>
      <c r="BX399" s="720">
        <f>(BW405-BW406)/BW387</f>
        <v>0.73202880346873367</v>
      </c>
      <c r="BY399" s="714">
        <f>S399-BW403</f>
        <v>26.629999999999995</v>
      </c>
      <c r="BZ399" s="693">
        <f>BW405-BW406</f>
        <v>75.769999999999982</v>
      </c>
      <c r="CA399" s="693">
        <f t="shared" si="367"/>
        <v>35.145836082882411</v>
      </c>
      <c r="CB399" s="668">
        <f t="shared" si="368"/>
        <v>25.727764334660655</v>
      </c>
      <c r="CC399" s="560"/>
    </row>
    <row r="400" spans="1:81" ht="15.75">
      <c r="A400" s="564"/>
      <c r="B400" s="585" t="s">
        <v>116</v>
      </c>
      <c r="C400" s="559">
        <v>7000</v>
      </c>
      <c r="D400" s="559">
        <v>372.93</v>
      </c>
      <c r="E400" s="652">
        <v>22.26</v>
      </c>
      <c r="F400" s="652">
        <v>23.2</v>
      </c>
      <c r="G400" s="653">
        <v>22.91</v>
      </c>
      <c r="H400" s="559">
        <v>7000</v>
      </c>
      <c r="I400" s="655">
        <v>411.94</v>
      </c>
      <c r="J400" s="559">
        <v>15.36</v>
      </c>
      <c r="K400" s="649">
        <v>14.91</v>
      </c>
      <c r="L400" s="588">
        <v>15.51</v>
      </c>
      <c r="M400" s="559">
        <v>7000</v>
      </c>
      <c r="N400" s="649">
        <v>380.26</v>
      </c>
      <c r="O400" s="559">
        <v>18.899999999999999</v>
      </c>
      <c r="P400" s="559">
        <v>19.100000000000001</v>
      </c>
      <c r="Q400" s="559">
        <v>19.739999999999998</v>
      </c>
      <c r="R400" s="559">
        <v>7000</v>
      </c>
      <c r="S400" s="649">
        <v>387.06</v>
      </c>
      <c r="T400" s="649">
        <v>17.420000000000002</v>
      </c>
      <c r="U400" s="649">
        <v>16.66</v>
      </c>
      <c r="V400" s="649">
        <v>17.52</v>
      </c>
      <c r="W400" s="5"/>
      <c r="X400" s="650">
        <v>7000</v>
      </c>
      <c r="Y400" s="651">
        <f t="shared" si="345"/>
        <v>2.2790000000000004</v>
      </c>
      <c r="Z400" s="620">
        <v>9.6440000000000001</v>
      </c>
      <c r="AA400" s="620">
        <v>4.5170000000000003</v>
      </c>
      <c r="AB400" s="620">
        <f t="shared" si="346"/>
        <v>2.847999999999999</v>
      </c>
      <c r="AC400" s="620">
        <f t="shared" si="347"/>
        <v>35.728000000000009</v>
      </c>
      <c r="AD400" s="653">
        <f t="shared" si="348"/>
        <v>6970.3075706879981</v>
      </c>
      <c r="AE400" s="650">
        <v>7000</v>
      </c>
      <c r="AF400" s="620">
        <f t="shared" si="349"/>
        <v>1.526</v>
      </c>
      <c r="AG400" s="620">
        <v>9.6440000000000001</v>
      </c>
      <c r="AH400" s="620">
        <v>4.5170000000000003</v>
      </c>
      <c r="AI400" s="620">
        <f t="shared" si="350"/>
        <v>3.601</v>
      </c>
      <c r="AJ400" s="620">
        <f t="shared" si="351"/>
        <v>34.975000000000009</v>
      </c>
      <c r="AK400" s="653">
        <f t="shared" si="352"/>
        <v>8627.4826774500016</v>
      </c>
      <c r="AL400" s="650">
        <v>7000</v>
      </c>
      <c r="AM400" s="620">
        <f t="shared" si="369"/>
        <v>1.9246666666666665</v>
      </c>
      <c r="AN400" s="620">
        <v>9.6440000000000001</v>
      </c>
      <c r="AO400" s="620">
        <v>4.5170000000000003</v>
      </c>
      <c r="AP400" s="620">
        <f t="shared" si="354"/>
        <v>3.2023333333333337</v>
      </c>
      <c r="AQ400" s="620">
        <f t="shared" si="355"/>
        <v>35.373666666666672</v>
      </c>
      <c r="AR400" s="698">
        <f t="shared" si="356"/>
        <v>7759.7881809326682</v>
      </c>
      <c r="AS400" s="650">
        <v>7000</v>
      </c>
      <c r="AT400" s="620">
        <f t="shared" si="357"/>
        <v>1.72</v>
      </c>
      <c r="AU400" s="620">
        <v>9.6440000000000001</v>
      </c>
      <c r="AV400" s="620">
        <v>4.5170000000000003</v>
      </c>
      <c r="AW400" s="620">
        <f t="shared" si="358"/>
        <v>3.407</v>
      </c>
      <c r="AX400" s="620">
        <f t="shared" si="359"/>
        <v>35.169000000000004</v>
      </c>
      <c r="AY400" s="698">
        <f t="shared" si="360"/>
        <v>8207.963277066001</v>
      </c>
      <c r="AZ400" s="75"/>
      <c r="BA400" s="650">
        <v>7000</v>
      </c>
      <c r="BB400" s="620">
        <v>103.50685607036536</v>
      </c>
      <c r="BC400" s="720">
        <f>(BB405-BB406)/BB387</f>
        <v>0.64179323497991281</v>
      </c>
      <c r="BD400" s="714">
        <f>D400-BB403</f>
        <v>18.339999999999975</v>
      </c>
      <c r="BE400" s="693">
        <f>BB405-BB406</f>
        <v>66.430000000000007</v>
      </c>
      <c r="BF400" s="693">
        <f t="shared" si="361"/>
        <v>27.608008429926194</v>
      </c>
      <c r="BG400" s="668">
        <f t="shared" si="362"/>
        <v>17.718633041595037</v>
      </c>
      <c r="BH400" s="650">
        <v>7000</v>
      </c>
      <c r="BI400" s="620">
        <v>103.50685607036536</v>
      </c>
      <c r="BJ400" s="720">
        <f>(BI405-BI406)/BI387</f>
        <v>1.0054406437507077</v>
      </c>
      <c r="BK400" s="714">
        <f>I400-BI403</f>
        <v>19.650000000000034</v>
      </c>
      <c r="BL400" s="693">
        <f>BI405-BI406</f>
        <v>104.07</v>
      </c>
      <c r="BM400" s="693">
        <f t="shared" si="363"/>
        <v>18.881522052464721</v>
      </c>
      <c r="BN400" s="668">
        <f t="shared" si="364"/>
        <v>18.984249687423315</v>
      </c>
      <c r="BO400" s="650">
        <v>7000</v>
      </c>
      <c r="BP400" s="681">
        <v>103.50685607036536</v>
      </c>
      <c r="BQ400" s="720">
        <f>(BP405-BP406)/BP387</f>
        <v>0.69821461827485021</v>
      </c>
      <c r="BR400" s="714">
        <f>N400-BP403</f>
        <v>20.289999999999964</v>
      </c>
      <c r="BS400" s="693">
        <f>BP405-BP406</f>
        <v>72.27000000000001</v>
      </c>
      <c r="BT400" s="693">
        <f t="shared" si="365"/>
        <v>28.075273280752675</v>
      </c>
      <c r="BU400" s="668">
        <f t="shared" si="366"/>
        <v>19.602566216682831</v>
      </c>
      <c r="BV400" s="650">
        <v>7000</v>
      </c>
      <c r="BW400" s="620">
        <v>103.50685607036536</v>
      </c>
      <c r="BX400" s="720">
        <f>(BW405-BW406)/BW387</f>
        <v>0.73202880346873367</v>
      </c>
      <c r="BY400" s="714">
        <f>S400-BW403</f>
        <v>24.069999999999993</v>
      </c>
      <c r="BZ400" s="693">
        <f>BW405-BW406</f>
        <v>75.769999999999982</v>
      </c>
      <c r="CA400" s="693">
        <f t="shared" si="367"/>
        <v>31.767190180810346</v>
      </c>
      <c r="CB400" s="668">
        <f t="shared" si="368"/>
        <v>23.254498217622302</v>
      </c>
      <c r="CC400" s="560"/>
    </row>
    <row r="401" spans="1:81" ht="15.75">
      <c r="A401" s="564"/>
      <c r="B401" s="585" t="s">
        <v>116</v>
      </c>
      <c r="C401" s="559">
        <v>9000</v>
      </c>
      <c r="D401" s="559">
        <v>371.45</v>
      </c>
      <c r="E401" s="27">
        <v>23.64</v>
      </c>
      <c r="F401" s="27">
        <v>23.45</v>
      </c>
      <c r="G401" s="94">
        <v>24.09</v>
      </c>
      <c r="H401" s="559">
        <v>9000</v>
      </c>
      <c r="I401" s="559">
        <v>410.47</v>
      </c>
      <c r="J401" s="559">
        <v>16.2</v>
      </c>
      <c r="K401" s="649">
        <v>16</v>
      </c>
      <c r="L401" s="588">
        <v>15.24</v>
      </c>
      <c r="M401" s="559">
        <v>9000</v>
      </c>
      <c r="N401" s="649">
        <v>378.8</v>
      </c>
      <c r="O401" s="559">
        <v>20.350000000000001</v>
      </c>
      <c r="P401" s="559">
        <v>19.739999999999998</v>
      </c>
      <c r="Q401" s="559">
        <v>22.1</v>
      </c>
      <c r="R401" s="559">
        <v>9000</v>
      </c>
      <c r="S401" s="649">
        <v>385.42</v>
      </c>
      <c r="T401" s="649">
        <v>18.05</v>
      </c>
      <c r="U401" s="649">
        <v>18.3</v>
      </c>
      <c r="V401" s="649">
        <v>19.43</v>
      </c>
      <c r="W401" s="5"/>
      <c r="X401" s="650">
        <v>9000</v>
      </c>
      <c r="Y401" s="651">
        <f t="shared" si="345"/>
        <v>2.3726666666666669</v>
      </c>
      <c r="Z401" s="620">
        <v>9.6440000000000001</v>
      </c>
      <c r="AA401" s="620">
        <v>4.5170000000000003</v>
      </c>
      <c r="AB401" s="620">
        <f t="shared" si="346"/>
        <v>2.7543333333333333</v>
      </c>
      <c r="AC401" s="620">
        <f t="shared" si="347"/>
        <v>35.821666666666673</v>
      </c>
      <c r="AD401" s="653">
        <f t="shared" si="348"/>
        <v>11172.605817689999</v>
      </c>
      <c r="AE401" s="650">
        <v>9000</v>
      </c>
      <c r="AF401" s="620">
        <f t="shared" si="349"/>
        <v>1.5813333333333335</v>
      </c>
      <c r="AG401" s="620">
        <v>9.6440000000000001</v>
      </c>
      <c r="AH401" s="620">
        <v>4.5170000000000003</v>
      </c>
      <c r="AI401" s="620">
        <f t="shared" si="350"/>
        <v>3.5456666666666665</v>
      </c>
      <c r="AJ401" s="620">
        <f t="shared" si="351"/>
        <v>35.030333333333338</v>
      </c>
      <c r="AK401" s="653">
        <f t="shared" si="352"/>
        <v>14064.826030793998</v>
      </c>
      <c r="AL401" s="650">
        <v>9000</v>
      </c>
      <c r="AM401" s="620">
        <f t="shared" si="369"/>
        <v>2.073</v>
      </c>
      <c r="AN401" s="620">
        <v>9.6440000000000001</v>
      </c>
      <c r="AO401" s="620">
        <v>4.5170000000000003</v>
      </c>
      <c r="AP401" s="620">
        <f t="shared" si="354"/>
        <v>3.0540000000000003</v>
      </c>
      <c r="AQ401" s="620">
        <f t="shared" si="355"/>
        <v>35.522000000000006</v>
      </c>
      <c r="AR401" s="698">
        <f t="shared" si="356"/>
        <v>12284.532480744001</v>
      </c>
      <c r="AS401" s="650">
        <v>9000</v>
      </c>
      <c r="AT401" s="620">
        <f t="shared" si="357"/>
        <v>1.8593333333333333</v>
      </c>
      <c r="AU401" s="620">
        <v>9.6440000000000001</v>
      </c>
      <c r="AV401" s="620">
        <v>4.5170000000000003</v>
      </c>
      <c r="AW401" s="620">
        <f t="shared" si="358"/>
        <v>3.2676666666666669</v>
      </c>
      <c r="AX401" s="620">
        <f t="shared" si="359"/>
        <v>35.308333333333337</v>
      </c>
      <c r="AY401" s="698">
        <f t="shared" si="360"/>
        <v>13064.932075049999</v>
      </c>
      <c r="AZ401" s="75"/>
      <c r="BA401" s="650">
        <v>9000</v>
      </c>
      <c r="BB401" s="620">
        <v>103.50685607036536</v>
      </c>
      <c r="BC401" s="720">
        <f>(BB405-BB406)/BB387</f>
        <v>0.64179323497991281</v>
      </c>
      <c r="BD401" s="714">
        <f>D401-BB403</f>
        <v>16.859999999999957</v>
      </c>
      <c r="BE401" s="693">
        <f>BB405-BB406</f>
        <v>66.430000000000007</v>
      </c>
      <c r="BF401" s="693">
        <f t="shared" si="361"/>
        <v>25.380099352702025</v>
      </c>
      <c r="BG401" s="668">
        <f t="shared" si="362"/>
        <v>16.288776067682225</v>
      </c>
      <c r="BH401" s="650">
        <v>9000</v>
      </c>
      <c r="BI401" s="620">
        <v>103.50685607036536</v>
      </c>
      <c r="BJ401" s="720">
        <f>(BI405-BI406)/BI387</f>
        <v>1.0054406437507077</v>
      </c>
      <c r="BK401" s="714">
        <f>I401-BI403</f>
        <v>18.180000000000064</v>
      </c>
      <c r="BL401" s="693">
        <f>BI405-BI406</f>
        <v>104.07</v>
      </c>
      <c r="BM401" s="693">
        <f t="shared" si="363"/>
        <v>17.469011242433041</v>
      </c>
      <c r="BN401" s="668">
        <f t="shared" si="364"/>
        <v>17.564053909280226</v>
      </c>
      <c r="BO401" s="650">
        <v>9000</v>
      </c>
      <c r="BP401" s="681">
        <v>103.50685607036536</v>
      </c>
      <c r="BQ401" s="720">
        <f>(BP405-BP406)/BP387</f>
        <v>0.69821461827485021</v>
      </c>
      <c r="BR401" s="714">
        <f>N401-BP403</f>
        <v>18.829999999999984</v>
      </c>
      <c r="BS401" s="693">
        <f>BP405-BP406</f>
        <v>72.27000000000001</v>
      </c>
      <c r="BT401" s="693">
        <f t="shared" si="365"/>
        <v>26.05507126055069</v>
      </c>
      <c r="BU401" s="668">
        <f t="shared" si="366"/>
        <v>18.192031634309419</v>
      </c>
      <c r="BV401" s="650">
        <v>9000</v>
      </c>
      <c r="BW401" s="620">
        <v>103.50685607036536</v>
      </c>
      <c r="BX401" s="720">
        <f>(BW405-BW406)/BW387</f>
        <v>0.73202880346873367</v>
      </c>
      <c r="BY401" s="714">
        <f>S401-BW403</f>
        <v>22.430000000000007</v>
      </c>
      <c r="BZ401" s="693">
        <f>BW405-BW406</f>
        <v>75.769999999999982</v>
      </c>
      <c r="CA401" s="693">
        <f t="shared" si="367"/>
        <v>29.602745149795449</v>
      </c>
      <c r="CB401" s="668">
        <f t="shared" si="368"/>
        <v>21.670062111394621</v>
      </c>
      <c r="CC401" s="560"/>
    </row>
    <row r="402" spans="1:81" ht="15.75">
      <c r="A402" s="564"/>
      <c r="B402" s="599" t="s">
        <v>116</v>
      </c>
      <c r="C402" s="605">
        <v>10000</v>
      </c>
      <c r="D402" s="605">
        <v>370.48</v>
      </c>
      <c r="E402" s="656">
        <v>24.77</v>
      </c>
      <c r="F402" s="656">
        <v>25.39</v>
      </c>
      <c r="G402" s="657">
        <v>24.82</v>
      </c>
      <c r="H402" s="605">
        <v>10000</v>
      </c>
      <c r="I402" s="605">
        <v>409.43</v>
      </c>
      <c r="J402" s="605">
        <v>17.29</v>
      </c>
      <c r="K402" s="658">
        <v>16.71</v>
      </c>
      <c r="L402" s="646">
        <v>17.61</v>
      </c>
      <c r="M402" s="605">
        <v>10000</v>
      </c>
      <c r="N402" s="649">
        <v>377.87</v>
      </c>
      <c r="O402" s="559">
        <v>21.61</v>
      </c>
      <c r="P402" s="559">
        <v>22.02</v>
      </c>
      <c r="Q402" s="559">
        <v>22.48</v>
      </c>
      <c r="R402" s="605">
        <v>10000</v>
      </c>
      <c r="S402" s="649">
        <v>384.29</v>
      </c>
      <c r="T402" s="649">
        <v>19.89</v>
      </c>
      <c r="U402" s="649">
        <v>19.399999999999999</v>
      </c>
      <c r="V402" s="649">
        <v>20.02</v>
      </c>
      <c r="W402" s="5"/>
      <c r="X402" s="660">
        <v>10000</v>
      </c>
      <c r="Y402" s="608">
        <f t="shared" si="345"/>
        <v>2.499333333333333</v>
      </c>
      <c r="Z402" s="609">
        <v>9.6440000000000001</v>
      </c>
      <c r="AA402" s="609">
        <v>4.5170000000000003</v>
      </c>
      <c r="AB402" s="609">
        <f t="shared" si="346"/>
        <v>2.6276666666666664</v>
      </c>
      <c r="AC402" s="609">
        <f t="shared" si="347"/>
        <v>35.948333333333338</v>
      </c>
      <c r="AD402" s="702">
        <f t="shared" si="348"/>
        <v>13205.541163666665</v>
      </c>
      <c r="AE402" s="660">
        <v>10000</v>
      </c>
      <c r="AF402" s="609">
        <f t="shared" si="349"/>
        <v>1.7203333333333333</v>
      </c>
      <c r="AG402" s="609">
        <v>9.6440000000000001</v>
      </c>
      <c r="AH402" s="609">
        <v>4.5170000000000003</v>
      </c>
      <c r="AI402" s="609">
        <f t="shared" si="350"/>
        <v>3.4066666666666663</v>
      </c>
      <c r="AJ402" s="609">
        <f t="shared" si="351"/>
        <v>35.169333333333341</v>
      </c>
      <c r="AK402" s="702">
        <f t="shared" si="352"/>
        <v>16749.465338666665</v>
      </c>
      <c r="AL402" s="660">
        <v>10000</v>
      </c>
      <c r="AM402" s="609">
        <f t="shared" si="369"/>
        <v>2.2036666666666664</v>
      </c>
      <c r="AN402" s="609">
        <v>9.6440000000000001</v>
      </c>
      <c r="AO402" s="609">
        <v>4.5170000000000003</v>
      </c>
      <c r="AP402" s="609">
        <f t="shared" si="354"/>
        <v>2.9233333333333338</v>
      </c>
      <c r="AQ402" s="609">
        <f t="shared" si="355"/>
        <v>35.652666666666669</v>
      </c>
      <c r="AR402" s="699">
        <f t="shared" si="356"/>
        <v>14570.603118666668</v>
      </c>
      <c r="AS402" s="660">
        <v>10000</v>
      </c>
      <c r="AT402" s="609">
        <f t="shared" si="357"/>
        <v>1.9769999999999999</v>
      </c>
      <c r="AU402" s="609">
        <v>9.6440000000000001</v>
      </c>
      <c r="AV402" s="609">
        <v>4.5170000000000003</v>
      </c>
      <c r="AW402" s="609">
        <f t="shared" si="358"/>
        <v>3.1500000000000004</v>
      </c>
      <c r="AX402" s="609">
        <f t="shared" si="359"/>
        <v>35.426000000000002</v>
      </c>
      <c r="AY402" s="699">
        <f t="shared" si="360"/>
        <v>15600.547620000001</v>
      </c>
      <c r="AZ402" s="75"/>
      <c r="BA402" s="660">
        <v>10000</v>
      </c>
      <c r="BB402" s="609">
        <v>103.50685607036536</v>
      </c>
      <c r="BC402" s="720">
        <f>(BB405-BB406)/BB387</f>
        <v>0.64179323497991281</v>
      </c>
      <c r="BD402" s="714">
        <f>D402-BB403</f>
        <v>15.889999999999986</v>
      </c>
      <c r="BE402" s="682">
        <f>BB405-BB406</f>
        <v>66.430000000000007</v>
      </c>
      <c r="BF402" s="682">
        <f t="shared" si="361"/>
        <v>23.919915700737597</v>
      </c>
      <c r="BG402" s="683">
        <f t="shared" si="362"/>
        <v>15.351640078023191</v>
      </c>
      <c r="BH402" s="660">
        <v>10000</v>
      </c>
      <c r="BI402" s="609">
        <v>103.50685607036536</v>
      </c>
      <c r="BJ402" s="720">
        <f>(BI405-BI406)/BI387</f>
        <v>1.0054406437507077</v>
      </c>
      <c r="BK402" s="714">
        <f>I402-BI403</f>
        <v>17.140000000000043</v>
      </c>
      <c r="BL402" s="682">
        <f>BI405-BI406</f>
        <v>104.07</v>
      </c>
      <c r="BM402" s="682">
        <f t="shared" si="363"/>
        <v>16.469683866628273</v>
      </c>
      <c r="BN402" s="683">
        <f t="shared" si="364"/>
        <v>16.559289549233377</v>
      </c>
      <c r="BO402" s="660">
        <v>10000</v>
      </c>
      <c r="BP402" s="684">
        <v>103.50685607036536</v>
      </c>
      <c r="BQ402" s="720">
        <f>(BP405-BP406)/BP387</f>
        <v>0.69821461827485021</v>
      </c>
      <c r="BR402" s="714">
        <f>N402-BP403</f>
        <v>17.899999999999977</v>
      </c>
      <c r="BS402" s="682">
        <f>BP405-BP406</f>
        <v>72.27000000000001</v>
      </c>
      <c r="BT402" s="682">
        <f t="shared" si="365"/>
        <v>24.768230247682268</v>
      </c>
      <c r="BU402" s="683">
        <f t="shared" si="366"/>
        <v>17.293540427729074</v>
      </c>
      <c r="BV402" s="660">
        <v>10000</v>
      </c>
      <c r="BW402" s="609">
        <v>103.50685607036536</v>
      </c>
      <c r="BX402" s="720">
        <f>(BW405-BW406)/BW387</f>
        <v>0.73202880346873367</v>
      </c>
      <c r="BY402" s="714">
        <f>S402-BW403</f>
        <v>21.300000000000011</v>
      </c>
      <c r="BZ402" s="682">
        <f>BW405-BW406</f>
        <v>75.769999999999982</v>
      </c>
      <c r="CA402" s="682">
        <f t="shared" si="367"/>
        <v>28.111389732083957</v>
      </c>
      <c r="CB402" s="683">
        <f t="shared" si="368"/>
        <v>20.578346989420666</v>
      </c>
      <c r="CC402" s="560"/>
    </row>
    <row r="403" spans="1:81" ht="45">
      <c r="A403" s="560"/>
      <c r="B403" s="560"/>
      <c r="C403" s="559"/>
      <c r="D403" s="559"/>
      <c r="E403" s="560"/>
      <c r="F403" s="560"/>
      <c r="G403" s="560"/>
      <c r="H403" s="560"/>
      <c r="I403" s="560"/>
      <c r="J403" s="560"/>
      <c r="K403" s="560"/>
      <c r="L403" s="560"/>
      <c r="M403" s="560"/>
      <c r="N403" s="661"/>
      <c r="O403" s="559"/>
      <c r="P403" s="559"/>
      <c r="Q403" s="559"/>
      <c r="R403" s="560"/>
      <c r="S403" s="661"/>
      <c r="T403" s="560"/>
      <c r="U403" s="560"/>
      <c r="V403" s="560"/>
      <c r="X403" s="560"/>
      <c r="Y403" s="560"/>
      <c r="Z403" s="560"/>
      <c r="AA403" s="560"/>
      <c r="AB403" s="560"/>
      <c r="AC403" s="560"/>
      <c r="AD403" s="560"/>
      <c r="AE403" s="559"/>
      <c r="AF403" s="559"/>
      <c r="AG403" s="559"/>
      <c r="AH403" s="559"/>
      <c r="AI403" s="559"/>
      <c r="AJ403" s="559"/>
      <c r="AK403" s="559"/>
      <c r="AL403" s="560"/>
      <c r="AM403" s="560"/>
      <c r="AN403" s="559"/>
      <c r="AO403" s="559"/>
      <c r="AP403" s="560"/>
      <c r="AQ403" s="560"/>
      <c r="AR403" s="560"/>
      <c r="AS403" s="560"/>
      <c r="AT403" s="560"/>
      <c r="AU403" s="560"/>
      <c r="AV403" s="560"/>
      <c r="AW403" s="560"/>
      <c r="AX403" s="560"/>
      <c r="AY403" s="560"/>
      <c r="AZ403" s="791" t="s">
        <v>144</v>
      </c>
      <c r="BA403" s="709" t="s">
        <v>1047</v>
      </c>
      <c r="BB403" s="565">
        <f>BB405+BB404</f>
        <v>354.59000000000003</v>
      </c>
      <c r="BC403" s="730" t="s">
        <v>1053</v>
      </c>
      <c r="BD403" s="559"/>
      <c r="BE403" s="559"/>
      <c r="BF403" s="559"/>
      <c r="BG403" s="559"/>
      <c r="BH403" s="709" t="s">
        <v>1047</v>
      </c>
      <c r="BI403" s="565">
        <f>BI405+BI404</f>
        <v>392.28999999999996</v>
      </c>
      <c r="BJ403" s="730" t="s">
        <v>1053</v>
      </c>
      <c r="BK403" s="569"/>
      <c r="BL403" s="569"/>
      <c r="BM403" s="569"/>
      <c r="BN403" s="569"/>
      <c r="BO403" s="709" t="s">
        <v>1047</v>
      </c>
      <c r="BP403" s="565">
        <f>BP405+BP404</f>
        <v>359.97</v>
      </c>
      <c r="BQ403" s="730" t="s">
        <v>1053</v>
      </c>
      <c r="BR403" s="559"/>
      <c r="BS403" s="559"/>
      <c r="BT403" s="559"/>
      <c r="BU403" s="559"/>
      <c r="BV403" s="709" t="s">
        <v>1047</v>
      </c>
      <c r="BW403" s="565">
        <f>BW405+BW404</f>
        <v>362.99</v>
      </c>
      <c r="BX403" s="730" t="s">
        <v>1053</v>
      </c>
      <c r="BY403" s="560"/>
      <c r="BZ403" s="560"/>
      <c r="CA403" s="560"/>
      <c r="CB403" s="560"/>
      <c r="CC403" s="560"/>
    </row>
    <row r="404" spans="1:81">
      <c r="A404" s="560"/>
      <c r="B404" s="560"/>
      <c r="C404" s="559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59"/>
      <c r="P404" s="559"/>
      <c r="Q404" s="559"/>
      <c r="R404" s="560"/>
      <c r="S404" s="560"/>
      <c r="T404" s="560"/>
      <c r="U404" s="560"/>
      <c r="V404" s="560"/>
      <c r="X404" s="560"/>
      <c r="Y404" s="560"/>
      <c r="Z404" s="560"/>
      <c r="AA404" s="560"/>
      <c r="AB404" s="560"/>
      <c r="AC404" s="560"/>
      <c r="AD404" s="560"/>
      <c r="AE404" s="559"/>
      <c r="AF404" s="559"/>
      <c r="AG404" s="559"/>
      <c r="AH404" s="559"/>
      <c r="AI404" s="559"/>
      <c r="AJ404" s="559"/>
      <c r="AK404" s="559"/>
      <c r="AL404" s="560"/>
      <c r="AM404" s="560"/>
      <c r="AN404" s="559"/>
      <c r="AO404" s="559"/>
      <c r="AP404" s="560"/>
      <c r="AQ404" s="560"/>
      <c r="AR404" s="560"/>
      <c r="AS404" s="560"/>
      <c r="AT404" s="560"/>
      <c r="AU404" s="560"/>
      <c r="AV404" s="560"/>
      <c r="AW404" s="560"/>
      <c r="AX404" s="560"/>
      <c r="AY404" s="560"/>
      <c r="AZ404" s="791"/>
      <c r="BA404" s="655" t="s">
        <v>1048</v>
      </c>
      <c r="BB404" s="569">
        <v>214.97</v>
      </c>
      <c r="BC404" s="559"/>
      <c r="BD404" s="559"/>
      <c r="BE404" s="559"/>
      <c r="BF404" s="559"/>
      <c r="BG404" s="559"/>
      <c r="BH404" s="655" t="s">
        <v>1048</v>
      </c>
      <c r="BI404" s="718">
        <v>214.9</v>
      </c>
      <c r="BJ404" s="559"/>
      <c r="BK404" s="569"/>
      <c r="BL404" s="569"/>
      <c r="BM404" s="569"/>
      <c r="BN404" s="569"/>
      <c r="BO404" s="655" t="s">
        <v>1048</v>
      </c>
      <c r="BP404" s="559">
        <v>214.79</v>
      </c>
      <c r="BQ404" s="560"/>
      <c r="BR404" s="559"/>
      <c r="BS404" s="559"/>
      <c r="BT404" s="620"/>
      <c r="BU404" s="620"/>
      <c r="BV404" s="655" t="s">
        <v>1048</v>
      </c>
      <c r="BW404" s="559">
        <v>214.54</v>
      </c>
      <c r="BX404" s="560"/>
      <c r="BY404" s="560"/>
      <c r="BZ404" s="560"/>
      <c r="CA404" s="560"/>
      <c r="CB404" s="560"/>
      <c r="CC404" s="560"/>
    </row>
    <row r="405" spans="1:81">
      <c r="A405" s="560"/>
      <c r="B405" s="560"/>
      <c r="C405" s="559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59"/>
      <c r="P405" s="559"/>
      <c r="Q405" s="559"/>
      <c r="R405" s="560"/>
      <c r="S405" s="560"/>
      <c r="T405" s="560"/>
      <c r="U405" s="560"/>
      <c r="V405" s="560"/>
      <c r="X405" s="560"/>
      <c r="Y405" s="560"/>
      <c r="Z405" s="560"/>
      <c r="AA405" s="560"/>
      <c r="AB405" s="560"/>
      <c r="AC405" s="560"/>
      <c r="AD405" s="560"/>
      <c r="AE405" s="559"/>
      <c r="AF405" s="559"/>
      <c r="AG405" s="559"/>
      <c r="AH405" s="559"/>
      <c r="AI405" s="559"/>
      <c r="AJ405" s="559"/>
      <c r="AK405" s="559"/>
      <c r="AL405" s="560"/>
      <c r="AM405" s="560"/>
      <c r="AN405" s="559"/>
      <c r="AO405" s="559"/>
      <c r="AP405" s="560"/>
      <c r="AQ405" s="560"/>
      <c r="AR405" s="560"/>
      <c r="AS405" s="560"/>
      <c r="AT405" s="560"/>
      <c r="AU405" s="560"/>
      <c r="AV405" s="560"/>
      <c r="AW405" s="560"/>
      <c r="AX405" s="560"/>
      <c r="AY405" s="560"/>
      <c r="AZ405" s="791"/>
      <c r="BA405" s="655" t="s">
        <v>1049</v>
      </c>
      <c r="BB405" s="565">
        <v>139.62</v>
      </c>
      <c r="BC405" s="559"/>
      <c r="BD405" s="559"/>
      <c r="BE405" s="559"/>
      <c r="BF405" s="559"/>
      <c r="BG405" s="559"/>
      <c r="BH405" s="655" t="s">
        <v>1049</v>
      </c>
      <c r="BI405" s="565">
        <v>177.39</v>
      </c>
      <c r="BJ405" s="559"/>
      <c r="BK405" s="569"/>
      <c r="BL405" s="569"/>
      <c r="BM405" s="569"/>
      <c r="BN405" s="569"/>
      <c r="BO405" s="655" t="s">
        <v>1049</v>
      </c>
      <c r="BP405" s="697">
        <v>145.18</v>
      </c>
      <c r="BQ405" s="560"/>
      <c r="BR405" s="559"/>
      <c r="BS405" s="559"/>
      <c r="BT405" s="620"/>
      <c r="BU405" s="620"/>
      <c r="BV405" s="655" t="s">
        <v>1049</v>
      </c>
      <c r="BW405" s="697">
        <v>148.44999999999999</v>
      </c>
      <c r="BX405" s="560"/>
      <c r="BY405" s="560"/>
      <c r="BZ405" s="560"/>
      <c r="CA405" s="560"/>
      <c r="CB405" s="560"/>
      <c r="CC405" s="560"/>
    </row>
    <row r="406" spans="1:81">
      <c r="A406" s="560"/>
      <c r="B406" s="560"/>
      <c r="C406" s="559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59"/>
      <c r="P406" s="559"/>
      <c r="Q406" s="559"/>
      <c r="R406" s="560"/>
      <c r="S406" s="560"/>
      <c r="T406" s="560"/>
      <c r="U406" s="560"/>
      <c r="V406" s="560"/>
      <c r="X406" s="560"/>
      <c r="Y406" s="560"/>
      <c r="Z406" s="560"/>
      <c r="AA406" s="560"/>
      <c r="AB406" s="560"/>
      <c r="AC406" s="560"/>
      <c r="AD406" s="560"/>
      <c r="AE406" s="559"/>
      <c r="AF406" s="559"/>
      <c r="AG406" s="559"/>
      <c r="AH406" s="559"/>
      <c r="AI406" s="559"/>
      <c r="AJ406" s="559"/>
      <c r="AK406" s="559"/>
      <c r="AL406" s="560"/>
      <c r="AM406" s="560"/>
      <c r="AN406" s="559"/>
      <c r="AO406" s="559"/>
      <c r="AP406" s="560"/>
      <c r="AQ406" s="560"/>
      <c r="AR406" s="560"/>
      <c r="AS406" s="560"/>
      <c r="AT406" s="560"/>
      <c r="AU406" s="560"/>
      <c r="AV406" s="560"/>
      <c r="AW406" s="560"/>
      <c r="AX406" s="560"/>
      <c r="AY406" s="560"/>
      <c r="AZ406" s="791"/>
      <c r="BA406" s="655" t="s">
        <v>1050</v>
      </c>
      <c r="BB406" s="569">
        <v>73.19</v>
      </c>
      <c r="BC406" s="559"/>
      <c r="BD406" s="560"/>
      <c r="BE406" s="560"/>
      <c r="BF406" s="560"/>
      <c r="BG406" s="560"/>
      <c r="BH406" s="655" t="s">
        <v>1050</v>
      </c>
      <c r="BI406" s="569">
        <v>73.319999999999993</v>
      </c>
      <c r="BJ406" s="559"/>
      <c r="BK406" s="560"/>
      <c r="BL406" s="560"/>
      <c r="BM406" s="560"/>
      <c r="BN406" s="560"/>
      <c r="BO406" s="655" t="s">
        <v>1050</v>
      </c>
      <c r="BP406" s="559">
        <v>72.91</v>
      </c>
      <c r="BQ406" s="560"/>
      <c r="BR406" s="560"/>
      <c r="BS406" s="560"/>
      <c r="BT406" s="560"/>
      <c r="BU406" s="560"/>
      <c r="BV406" s="655" t="s">
        <v>1050</v>
      </c>
      <c r="BW406" s="559">
        <v>72.680000000000007</v>
      </c>
      <c r="BX406" s="560"/>
      <c r="BY406" s="560"/>
      <c r="BZ406" s="560"/>
      <c r="CA406" s="560"/>
      <c r="CB406" s="560"/>
      <c r="CC406" s="560"/>
    </row>
    <row r="407" spans="1:81" ht="18.75">
      <c r="A407" s="557" t="s">
        <v>997</v>
      </c>
      <c r="B407" s="558"/>
      <c r="C407" s="639"/>
      <c r="D407" s="639"/>
      <c r="E407" s="562"/>
      <c r="F407" s="639"/>
      <c r="G407" s="560"/>
      <c r="H407" s="560"/>
      <c r="I407" s="560"/>
      <c r="J407" s="560"/>
      <c r="K407" s="560"/>
      <c r="L407" s="560"/>
      <c r="M407" s="560"/>
      <c r="N407" s="560"/>
      <c r="O407" s="559"/>
      <c r="P407" s="559"/>
      <c r="Q407" s="559"/>
      <c r="R407" s="560"/>
      <c r="S407" s="560"/>
      <c r="T407" s="560"/>
      <c r="U407" s="560"/>
      <c r="V407" s="560"/>
      <c r="X407" s="560"/>
      <c r="Y407" s="560"/>
      <c r="Z407" s="560"/>
      <c r="AA407" s="560"/>
      <c r="AB407" s="560"/>
      <c r="AC407" s="560"/>
      <c r="AD407" s="560"/>
      <c r="AE407" s="559"/>
      <c r="AF407" s="559"/>
      <c r="AG407" s="559"/>
      <c r="AH407" s="559"/>
      <c r="AI407" s="559"/>
      <c r="AJ407" s="559"/>
      <c r="AK407" s="559"/>
      <c r="AL407" s="560"/>
      <c r="AM407" s="560"/>
      <c r="AN407" s="559"/>
      <c r="AO407" s="559"/>
      <c r="AP407" s="560"/>
      <c r="AQ407" s="560"/>
      <c r="AR407" s="560"/>
      <c r="AS407" s="560"/>
      <c r="AT407" s="560"/>
      <c r="AU407" s="560"/>
      <c r="AV407" s="560"/>
      <c r="AW407" s="560"/>
      <c r="AX407" s="560"/>
      <c r="AY407" s="560"/>
      <c r="AZ407" s="547"/>
      <c r="BA407" s="560"/>
      <c r="BB407" s="560"/>
      <c r="BC407" s="559"/>
      <c r="BD407" s="560"/>
      <c r="BE407" s="560"/>
      <c r="BF407" s="560"/>
      <c r="BG407" s="560"/>
      <c r="BH407" s="560"/>
      <c r="BI407" s="560"/>
      <c r="BJ407" s="559"/>
      <c r="BK407" s="560"/>
      <c r="BL407" s="560"/>
      <c r="BM407" s="560"/>
      <c r="BN407" s="560"/>
      <c r="BO407" s="560"/>
      <c r="BP407" s="560"/>
      <c r="BQ407" s="560"/>
      <c r="BR407" s="560"/>
      <c r="BS407" s="560"/>
      <c r="BT407" s="560"/>
      <c r="BU407" s="560"/>
      <c r="BV407" s="560"/>
      <c r="BW407" s="560"/>
      <c r="BX407" s="560"/>
      <c r="BY407" s="560"/>
      <c r="BZ407" s="560"/>
      <c r="CA407" s="560"/>
      <c r="CB407" s="560"/>
      <c r="CC407" s="560"/>
    </row>
    <row r="408" spans="1:81" ht="18.75">
      <c r="A408" s="792" t="s">
        <v>998</v>
      </c>
      <c r="B408" s="792"/>
      <c r="C408" s="792"/>
      <c r="D408" s="792"/>
      <c r="E408" s="613"/>
      <c r="F408" s="613"/>
      <c r="G408" s="613"/>
      <c r="H408" s="613"/>
      <c r="I408" s="613"/>
      <c r="J408" s="613"/>
      <c r="K408" s="613"/>
      <c r="L408" s="613"/>
      <c r="M408" s="613"/>
      <c r="N408" s="613"/>
      <c r="O408" s="614"/>
      <c r="P408" s="614"/>
      <c r="Q408" s="614"/>
      <c r="R408" s="613"/>
      <c r="S408" s="613"/>
      <c r="T408" s="613"/>
      <c r="U408" s="613"/>
      <c r="V408" s="613"/>
      <c r="W408" s="90"/>
      <c r="X408" s="613"/>
      <c r="Y408" s="613"/>
      <c r="Z408" s="613"/>
      <c r="AA408" s="613"/>
      <c r="AB408" s="613"/>
      <c r="AC408" s="613"/>
      <c r="AD408" s="613"/>
      <c r="AE408" s="614"/>
      <c r="AF408" s="614"/>
      <c r="AG408" s="614"/>
      <c r="AH408" s="614"/>
      <c r="AI408" s="614"/>
      <c r="AJ408" s="614"/>
      <c r="AK408" s="614"/>
      <c r="AL408" s="613"/>
      <c r="AM408" s="613"/>
      <c r="AN408" s="614"/>
      <c r="AO408" s="614"/>
      <c r="AP408" s="613"/>
      <c r="AQ408" s="613"/>
      <c r="AR408" s="613"/>
      <c r="AS408" s="613"/>
      <c r="AT408" s="613"/>
      <c r="AU408" s="613"/>
      <c r="AV408" s="613"/>
      <c r="AW408" s="613"/>
      <c r="AX408" s="613"/>
      <c r="AY408" s="613"/>
      <c r="AZ408" s="89"/>
      <c r="BA408" s="613"/>
      <c r="BB408" s="613"/>
      <c r="BC408" s="614"/>
      <c r="BD408" s="613"/>
      <c r="BE408" s="613"/>
      <c r="BF408" s="613"/>
      <c r="BG408" s="613"/>
      <c r="BH408" s="613"/>
      <c r="BI408" s="613"/>
      <c r="BJ408" s="614"/>
      <c r="BK408" s="613"/>
      <c r="BL408" s="613"/>
      <c r="BM408" s="613"/>
      <c r="BN408" s="613"/>
      <c r="BO408" s="613"/>
      <c r="BP408" s="613"/>
      <c r="BQ408" s="613"/>
      <c r="BR408" s="613"/>
      <c r="BS408" s="613"/>
      <c r="BT408" s="613"/>
      <c r="BU408" s="613"/>
      <c r="BV408" s="613"/>
      <c r="BW408" s="613"/>
      <c r="BX408" s="613"/>
      <c r="BY408" s="613"/>
      <c r="BZ408" s="613"/>
      <c r="CA408" s="613"/>
      <c r="CB408" s="613"/>
      <c r="CC408" s="560"/>
    </row>
    <row r="409" spans="1:81">
      <c r="A409" s="560"/>
      <c r="B409" s="560"/>
      <c r="C409" s="559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59"/>
      <c r="P409" s="559"/>
      <c r="Q409" s="559"/>
      <c r="R409" s="560"/>
      <c r="S409" s="560"/>
      <c r="T409" s="560"/>
      <c r="U409" s="560"/>
      <c r="V409" s="560"/>
      <c r="X409" s="560"/>
      <c r="Y409" s="560"/>
      <c r="Z409" s="560"/>
      <c r="AA409" s="560"/>
      <c r="AB409" s="560"/>
      <c r="AC409" s="560"/>
      <c r="AD409" s="560"/>
      <c r="AE409" s="559"/>
      <c r="AF409" s="559"/>
      <c r="AG409" s="559"/>
      <c r="AH409" s="559"/>
      <c r="AI409" s="559"/>
      <c r="AJ409" s="559"/>
      <c r="AK409" s="559"/>
      <c r="AL409" s="560"/>
      <c r="AM409" s="560"/>
      <c r="AN409" s="559"/>
      <c r="AO409" s="559"/>
      <c r="AP409" s="560"/>
      <c r="AQ409" s="560"/>
      <c r="AR409" s="560"/>
      <c r="AS409" s="560"/>
      <c r="AT409" s="560"/>
      <c r="AU409" s="560"/>
      <c r="AV409" s="560"/>
      <c r="AW409" s="560"/>
      <c r="AX409" s="560"/>
      <c r="AY409" s="560"/>
      <c r="AZ409" s="547"/>
      <c r="BA409" s="560"/>
      <c r="BB409" s="560"/>
      <c r="BC409" s="559"/>
      <c r="BD409" s="560"/>
      <c r="BE409" s="560"/>
      <c r="BF409" s="560"/>
      <c r="BG409" s="560"/>
      <c r="BH409" s="560"/>
      <c r="BI409" s="560"/>
      <c r="BJ409" s="559"/>
      <c r="BK409" s="560"/>
      <c r="BL409" s="560"/>
      <c r="BM409" s="560"/>
      <c r="BN409" s="560"/>
      <c r="BO409" s="560"/>
      <c r="BP409" s="560"/>
      <c r="BQ409" s="560"/>
      <c r="BR409" s="560"/>
      <c r="BS409" s="560"/>
      <c r="BT409" s="560"/>
      <c r="BU409" s="560"/>
      <c r="BV409" s="771"/>
      <c r="BW409" s="771"/>
      <c r="BX409" s="771"/>
      <c r="BY409" s="560"/>
      <c r="BZ409" s="560"/>
      <c r="CA409" s="560"/>
      <c r="CB409" s="560"/>
      <c r="CC409" s="560"/>
    </row>
    <row r="410" spans="1:81">
      <c r="A410" s="565" t="s">
        <v>134</v>
      </c>
      <c r="B410" s="640" t="s">
        <v>124</v>
      </c>
      <c r="C410" s="641" t="s">
        <v>119</v>
      </c>
      <c r="D410" s="642" t="s">
        <v>111</v>
      </c>
      <c r="E410" s="569"/>
      <c r="F410" s="569"/>
      <c r="G410" s="570"/>
      <c r="H410" s="640" t="s">
        <v>124</v>
      </c>
      <c r="I410" s="642" t="s">
        <v>119</v>
      </c>
      <c r="J410" s="642" t="s">
        <v>111</v>
      </c>
      <c r="K410" s="569"/>
      <c r="L410" s="569"/>
      <c r="M410" s="571" t="s">
        <v>124</v>
      </c>
      <c r="N410" s="642" t="s">
        <v>119</v>
      </c>
      <c r="O410" s="641" t="s">
        <v>111</v>
      </c>
      <c r="P410" s="559"/>
      <c r="Q410" s="559"/>
      <c r="R410" s="571" t="s">
        <v>124</v>
      </c>
      <c r="S410" s="642" t="s">
        <v>119</v>
      </c>
      <c r="T410" s="642" t="s">
        <v>111</v>
      </c>
      <c r="U410" s="569"/>
      <c r="V410" s="569"/>
      <c r="W410" s="447" t="s">
        <v>133</v>
      </c>
      <c r="X410" s="571" t="s">
        <v>124</v>
      </c>
      <c r="Y410" s="642" t="s">
        <v>119</v>
      </c>
      <c r="Z410" s="642" t="s">
        <v>111</v>
      </c>
      <c r="AA410" s="569"/>
      <c r="AB410" s="569"/>
      <c r="AC410" s="569"/>
      <c r="AD410" s="570"/>
      <c r="AE410" s="640" t="s">
        <v>124</v>
      </c>
      <c r="AF410" s="642" t="s">
        <v>119</v>
      </c>
      <c r="AG410" s="642" t="s">
        <v>111</v>
      </c>
      <c r="AH410" s="569"/>
      <c r="AI410" s="569"/>
      <c r="AJ410" s="569"/>
      <c r="AK410" s="570"/>
      <c r="AL410" s="571" t="s">
        <v>124</v>
      </c>
      <c r="AM410" s="642" t="s">
        <v>119</v>
      </c>
      <c r="AN410" s="642" t="s">
        <v>111</v>
      </c>
      <c r="AO410" s="569"/>
      <c r="AP410" s="569"/>
      <c r="AQ410" s="569"/>
      <c r="AR410" s="700"/>
      <c r="AS410" s="571" t="s">
        <v>124</v>
      </c>
      <c r="AT410" s="642" t="s">
        <v>119</v>
      </c>
      <c r="AU410" s="642" t="s">
        <v>111</v>
      </c>
      <c r="AV410" s="569"/>
      <c r="AW410" s="569"/>
      <c r="AX410" s="569"/>
      <c r="AY410" s="700"/>
      <c r="AZ410" s="447" t="s">
        <v>141</v>
      </c>
      <c r="BA410" s="640" t="s">
        <v>124</v>
      </c>
      <c r="BB410" s="642" t="s">
        <v>119</v>
      </c>
      <c r="BC410" s="642" t="s">
        <v>111</v>
      </c>
      <c r="BD410" s="569"/>
      <c r="BE410" s="569"/>
      <c r="BF410" s="569"/>
      <c r="BG410" s="569"/>
      <c r="BH410" s="640" t="s">
        <v>124</v>
      </c>
      <c r="BI410" s="641" t="s">
        <v>119</v>
      </c>
      <c r="BJ410" s="641" t="s">
        <v>111</v>
      </c>
      <c r="BK410" s="569"/>
      <c r="BL410" s="569"/>
      <c r="BM410" s="569"/>
      <c r="BN410" s="569"/>
      <c r="BO410" s="571" t="s">
        <v>124</v>
      </c>
      <c r="BP410" s="642" t="s">
        <v>119</v>
      </c>
      <c r="BQ410" s="642" t="s">
        <v>111</v>
      </c>
      <c r="BR410" s="560"/>
      <c r="BS410" s="569"/>
      <c r="BT410" s="569"/>
      <c r="BU410" s="569"/>
      <c r="BV410" s="772" t="s">
        <v>124</v>
      </c>
      <c r="BW410" s="773" t="s">
        <v>119</v>
      </c>
      <c r="BX410" s="773" t="s">
        <v>111</v>
      </c>
      <c r="BY410" s="559"/>
      <c r="BZ410" s="559"/>
      <c r="CA410" s="559"/>
      <c r="CB410" s="570"/>
      <c r="CC410" s="560"/>
    </row>
    <row r="411" spans="1:81">
      <c r="A411" s="565"/>
      <c r="B411" s="572"/>
      <c r="C411" s="573" t="s">
        <v>827</v>
      </c>
      <c r="D411" s="574" t="s">
        <v>112</v>
      </c>
      <c r="E411" s="569"/>
      <c r="F411" s="569"/>
      <c r="G411" s="570"/>
      <c r="H411" s="572"/>
      <c r="I411" s="573" t="s">
        <v>827</v>
      </c>
      <c r="J411" s="643" t="s">
        <v>114</v>
      </c>
      <c r="K411" s="569"/>
      <c r="L411" s="569"/>
      <c r="M411" s="572"/>
      <c r="N411" s="573" t="s">
        <v>788</v>
      </c>
      <c r="O411" s="645" t="s">
        <v>4</v>
      </c>
      <c r="P411" s="559"/>
      <c r="Q411" s="559"/>
      <c r="R411" s="572"/>
      <c r="S411" s="573" t="s">
        <v>788</v>
      </c>
      <c r="T411" s="643" t="s">
        <v>114</v>
      </c>
      <c r="U411" s="801"/>
      <c r="V411" s="801"/>
      <c r="W411" s="80"/>
      <c r="X411" s="572"/>
      <c r="Y411" s="573" t="s">
        <v>827</v>
      </c>
      <c r="Z411" s="574" t="s">
        <v>112</v>
      </c>
      <c r="AA411" s="569"/>
      <c r="AB411" s="569"/>
      <c r="AC411" s="569"/>
      <c r="AD411" s="570"/>
      <c r="AE411" s="572"/>
      <c r="AF411" s="573" t="s">
        <v>827</v>
      </c>
      <c r="AG411" s="643" t="s">
        <v>114</v>
      </c>
      <c r="AH411" s="569"/>
      <c r="AI411" s="569"/>
      <c r="AJ411" s="569"/>
      <c r="AK411" s="570"/>
      <c r="AL411" s="572"/>
      <c r="AM411" s="573" t="s">
        <v>788</v>
      </c>
      <c r="AN411" s="645" t="s">
        <v>4</v>
      </c>
      <c r="AO411" s="569"/>
      <c r="AP411" s="569"/>
      <c r="AQ411" s="569"/>
      <c r="AR411" s="700"/>
      <c r="AS411" s="572"/>
      <c r="AT411" s="573" t="s">
        <v>788</v>
      </c>
      <c r="AU411" s="643" t="s">
        <v>114</v>
      </c>
      <c r="AV411" s="795"/>
      <c r="AW411" s="795"/>
      <c r="AX411" s="569"/>
      <c r="AY411" s="700"/>
      <c r="AZ411" s="80"/>
      <c r="BA411" s="572"/>
      <c r="BB411" s="573" t="s">
        <v>827</v>
      </c>
      <c r="BC411" s="574" t="s">
        <v>112</v>
      </c>
      <c r="BD411" s="569"/>
      <c r="BE411" s="569"/>
      <c r="BF411" s="569"/>
      <c r="BG411" s="570"/>
      <c r="BH411" s="572"/>
      <c r="BI411" s="573" t="s">
        <v>827</v>
      </c>
      <c r="BJ411" s="643" t="s">
        <v>114</v>
      </c>
      <c r="BK411" s="569"/>
      <c r="BL411" s="569"/>
      <c r="BM411" s="569"/>
      <c r="BN411" s="570"/>
      <c r="BO411" s="572"/>
      <c r="BP411" s="573" t="s">
        <v>788</v>
      </c>
      <c r="BQ411" s="645" t="s">
        <v>4</v>
      </c>
      <c r="BR411" s="569"/>
      <c r="BS411" s="569"/>
      <c r="BT411" s="569"/>
      <c r="BU411" s="700"/>
      <c r="BV411" s="774"/>
      <c r="BW411" s="775" t="s">
        <v>788</v>
      </c>
      <c r="BX411" s="776" t="s">
        <v>114</v>
      </c>
      <c r="BY411" s="795"/>
      <c r="BZ411" s="795"/>
      <c r="CA411" s="569"/>
      <c r="CB411" s="700"/>
      <c r="CC411" s="560"/>
    </row>
    <row r="412" spans="1:81" ht="63">
      <c r="A412" s="564"/>
      <c r="B412" s="579" t="s">
        <v>122</v>
      </c>
      <c r="C412" s="580" t="s">
        <v>121</v>
      </c>
      <c r="D412" s="581" t="s">
        <v>125</v>
      </c>
      <c r="E412" s="796" t="s">
        <v>1013</v>
      </c>
      <c r="F412" s="796"/>
      <c r="G412" s="797"/>
      <c r="H412" s="582" t="s">
        <v>121</v>
      </c>
      <c r="I412" s="581" t="s">
        <v>125</v>
      </c>
      <c r="J412" s="796" t="s">
        <v>1013</v>
      </c>
      <c r="K412" s="796"/>
      <c r="L412" s="797"/>
      <c r="M412" s="582" t="s">
        <v>121</v>
      </c>
      <c r="N412" s="581" t="s">
        <v>125</v>
      </c>
      <c r="O412" s="796" t="s">
        <v>1013</v>
      </c>
      <c r="P412" s="796"/>
      <c r="Q412" s="797"/>
      <c r="R412" s="582" t="s">
        <v>121</v>
      </c>
      <c r="S412" s="581" t="s">
        <v>125</v>
      </c>
      <c r="T412" s="796" t="s">
        <v>1013</v>
      </c>
      <c r="U412" s="796"/>
      <c r="V412" s="797"/>
      <c r="W412" s="5"/>
      <c r="X412" s="582" t="s">
        <v>121</v>
      </c>
      <c r="Y412" s="584" t="s">
        <v>126</v>
      </c>
      <c r="Z412" s="583" t="s">
        <v>127</v>
      </c>
      <c r="AA412" s="583" t="s">
        <v>128</v>
      </c>
      <c r="AB412" s="583" t="s">
        <v>129</v>
      </c>
      <c r="AC412" s="583" t="s">
        <v>130</v>
      </c>
      <c r="AD412" s="701" t="s">
        <v>131</v>
      </c>
      <c r="AE412" s="582" t="s">
        <v>121</v>
      </c>
      <c r="AF412" s="583" t="s">
        <v>126</v>
      </c>
      <c r="AG412" s="583" t="s">
        <v>127</v>
      </c>
      <c r="AH412" s="583" t="s">
        <v>128</v>
      </c>
      <c r="AI412" s="583" t="s">
        <v>129</v>
      </c>
      <c r="AJ412" s="583" t="s">
        <v>130</v>
      </c>
      <c r="AK412" s="701" t="s">
        <v>131</v>
      </c>
      <c r="AL412" s="582" t="s">
        <v>121</v>
      </c>
      <c r="AM412" s="583" t="s">
        <v>126</v>
      </c>
      <c r="AN412" s="583" t="s">
        <v>127</v>
      </c>
      <c r="AO412" s="583" t="s">
        <v>128</v>
      </c>
      <c r="AP412" s="583" t="s">
        <v>129</v>
      </c>
      <c r="AQ412" s="583" t="s">
        <v>130</v>
      </c>
      <c r="AR412" s="696" t="s">
        <v>131</v>
      </c>
      <c r="AS412" s="582" t="s">
        <v>121</v>
      </c>
      <c r="AT412" s="583" t="s">
        <v>126</v>
      </c>
      <c r="AU412" s="695" t="s">
        <v>127</v>
      </c>
      <c r="AV412" s="695" t="s">
        <v>128</v>
      </c>
      <c r="AW412" s="583" t="s">
        <v>129</v>
      </c>
      <c r="AX412" s="583" t="s">
        <v>130</v>
      </c>
      <c r="AY412" s="696" t="s">
        <v>131</v>
      </c>
      <c r="AZ412" s="75"/>
      <c r="BA412" s="648" t="s">
        <v>121</v>
      </c>
      <c r="BB412" s="583" t="s">
        <v>143</v>
      </c>
      <c r="BC412" s="583" t="s">
        <v>888</v>
      </c>
      <c r="BD412" s="583" t="s">
        <v>1045</v>
      </c>
      <c r="BE412" s="583" t="s">
        <v>1044</v>
      </c>
      <c r="BF412" s="666" t="s">
        <v>1051</v>
      </c>
      <c r="BG412" s="666" t="s">
        <v>1052</v>
      </c>
      <c r="BH412" s="648" t="s">
        <v>121</v>
      </c>
      <c r="BI412" s="583" t="s">
        <v>143</v>
      </c>
      <c r="BJ412" s="583" t="s">
        <v>888</v>
      </c>
      <c r="BK412" s="583" t="s">
        <v>1045</v>
      </c>
      <c r="BL412" s="583" t="s">
        <v>1044</v>
      </c>
      <c r="BM412" s="666" t="s">
        <v>1051</v>
      </c>
      <c r="BN412" s="666" t="s">
        <v>1052</v>
      </c>
      <c r="BO412" s="648" t="s">
        <v>121</v>
      </c>
      <c r="BP412" s="583" t="s">
        <v>143</v>
      </c>
      <c r="BQ412" s="583" t="s">
        <v>888</v>
      </c>
      <c r="BR412" s="583" t="s">
        <v>1045</v>
      </c>
      <c r="BS412" s="583" t="s">
        <v>1044</v>
      </c>
      <c r="BT412" s="666" t="s">
        <v>1051</v>
      </c>
      <c r="BU412" s="666" t="s">
        <v>1052</v>
      </c>
      <c r="BV412" s="648" t="s">
        <v>121</v>
      </c>
      <c r="BW412" s="583" t="s">
        <v>143</v>
      </c>
      <c r="BX412" s="583" t="s">
        <v>888</v>
      </c>
      <c r="BY412" s="583" t="s">
        <v>1045</v>
      </c>
      <c r="BZ412" s="583" t="s">
        <v>1044</v>
      </c>
      <c r="CA412" s="666" t="s">
        <v>1051</v>
      </c>
      <c r="CB412" s="666" t="s">
        <v>1052</v>
      </c>
      <c r="CC412" s="560"/>
    </row>
    <row r="413" spans="1:81" ht="15.75">
      <c r="A413" s="564"/>
      <c r="B413" s="585" t="s">
        <v>120</v>
      </c>
      <c r="C413" s="559">
        <v>0</v>
      </c>
      <c r="D413" s="612">
        <v>448.7</v>
      </c>
      <c r="E413" s="27">
        <v>0</v>
      </c>
      <c r="F413" s="27">
        <v>0</v>
      </c>
      <c r="G413" s="94">
        <v>0</v>
      </c>
      <c r="H413" s="559">
        <v>0</v>
      </c>
      <c r="I413" s="612">
        <v>480.96</v>
      </c>
      <c r="J413" s="260">
        <v>0</v>
      </c>
      <c r="K413" s="260">
        <v>0</v>
      </c>
      <c r="L413" s="548">
        <v>0</v>
      </c>
      <c r="M413" s="559">
        <v>0</v>
      </c>
      <c r="N413" s="649">
        <v>472.4</v>
      </c>
      <c r="O413" s="260">
        <v>0</v>
      </c>
      <c r="P413" s="260">
        <v>0</v>
      </c>
      <c r="Q413" s="94">
        <v>0</v>
      </c>
      <c r="R413" s="559">
        <v>0</v>
      </c>
      <c r="S413" s="649">
        <v>454.15</v>
      </c>
      <c r="T413" s="260">
        <v>0</v>
      </c>
      <c r="U413" s="260">
        <v>0</v>
      </c>
      <c r="V413" s="94">
        <v>0</v>
      </c>
      <c r="W413" s="5"/>
      <c r="X413" s="650">
        <v>0</v>
      </c>
      <c r="Y413" s="651">
        <f t="shared" ref="Y413:Y428" si="370">AVERAGE(E413:G413)/10</f>
        <v>0</v>
      </c>
      <c r="Z413" s="620">
        <v>9.6440000000000001</v>
      </c>
      <c r="AA413" s="620">
        <v>4.5170000000000003</v>
      </c>
      <c r="AB413" s="620">
        <f t="shared" ref="AB413:AB428" si="371">Z413-(AA413+Y413)</f>
        <v>5.1269999999999998</v>
      </c>
      <c r="AC413" s="620">
        <f t="shared" ref="AC413:AC428" si="372">3*Z413+AA413+Y413</f>
        <v>33.449000000000005</v>
      </c>
      <c r="AD413" s="653">
        <f t="shared" ref="AD413:AD428" si="373">1.398*(10^-6)*(X413^2)*AB413*AC413</f>
        <v>0</v>
      </c>
      <c r="AE413" s="650">
        <v>0</v>
      </c>
      <c r="AF413" s="620">
        <f t="shared" ref="AF413:AF428" si="374">AVERAGE(J413:L413)/10</f>
        <v>0</v>
      </c>
      <c r="AG413" s="620">
        <v>9.6440000000000001</v>
      </c>
      <c r="AH413" s="620">
        <v>4.5170000000000003</v>
      </c>
      <c r="AI413" s="620">
        <f t="shared" ref="AI413:AI428" si="375">AG413-(AH413+AF413)</f>
        <v>5.1269999999999998</v>
      </c>
      <c r="AJ413" s="620">
        <f t="shared" ref="AJ413:AJ428" si="376">3*AG413+AH413+AF413</f>
        <v>33.449000000000005</v>
      </c>
      <c r="AK413" s="653">
        <f t="shared" ref="AK413:AK428" si="377">1.398*(10^-6)*(AE413^2)*AI413*AJ413</f>
        <v>0</v>
      </c>
      <c r="AL413" s="650">
        <v>0</v>
      </c>
      <c r="AM413" s="620">
        <f t="shared" ref="AM413:AM421" si="378">AVERAGE(O413:Q413)/10</f>
        <v>0</v>
      </c>
      <c r="AN413" s="620">
        <v>9.6440000000000001</v>
      </c>
      <c r="AO413" s="620">
        <v>4.5170000000000003</v>
      </c>
      <c r="AP413" s="620">
        <f t="shared" ref="AP413:AP428" si="379">AN413-(AO413+AM413)</f>
        <v>5.1269999999999998</v>
      </c>
      <c r="AQ413" s="620">
        <f t="shared" ref="AQ413:AQ428" si="380">3*AN413+AO413+AM413</f>
        <v>33.449000000000005</v>
      </c>
      <c r="AR413" s="698">
        <f t="shared" ref="AR413:AR428" si="381">1.398*(10^-6)*(AL413^2)*AP413*AQ413</f>
        <v>0</v>
      </c>
      <c r="AS413" s="650">
        <v>0</v>
      </c>
      <c r="AT413" s="620">
        <f t="shared" ref="AT413:AT428" si="382">AVERAGE(T413:V413)/10</f>
        <v>0</v>
      </c>
      <c r="AU413" s="620">
        <v>9.6440000000000001</v>
      </c>
      <c r="AV413" s="620">
        <v>4.5170000000000003</v>
      </c>
      <c r="AW413" s="620">
        <f t="shared" ref="AW413:AW428" si="383">AU413-(AV413+AT413)</f>
        <v>5.1269999999999998</v>
      </c>
      <c r="AX413" s="620">
        <f t="shared" ref="AX413:AX428" si="384">3*AU413+AV413+AT413</f>
        <v>33.449000000000005</v>
      </c>
      <c r="AY413" s="698">
        <f t="shared" ref="AY413:AY428" si="385">1.398*(10^-6)*(AS413^2)*AW413*AX413</f>
        <v>0</v>
      </c>
      <c r="AZ413" s="75"/>
      <c r="BA413" s="650">
        <v>0</v>
      </c>
      <c r="BB413" s="620">
        <v>103.50685607036536</v>
      </c>
      <c r="BC413" s="720">
        <f>(BB431-BB432)/BB413</f>
        <v>1.1103612298094441</v>
      </c>
      <c r="BD413" s="714">
        <f>D413-BB429</f>
        <v>45.199999999999989</v>
      </c>
      <c r="BE413" s="693">
        <f>BB431-BB432</f>
        <v>114.93</v>
      </c>
      <c r="BF413" s="693">
        <f t="shared" ref="BF413:BF428" si="386">BD413/BE413*100</f>
        <v>39.328286783259365</v>
      </c>
      <c r="BG413" s="668">
        <f t="shared" ref="BG413:BG428" si="387">BF413*BC413</f>
        <v>43.668604878958377</v>
      </c>
      <c r="BH413" s="650">
        <v>0</v>
      </c>
      <c r="BI413" s="620">
        <v>103.50685607036536</v>
      </c>
      <c r="BJ413" s="720">
        <f>(BI431-BI432)/BI413</f>
        <v>1.5563220265379214</v>
      </c>
      <c r="BK413" s="714">
        <f>I413-BI429</f>
        <v>31.430000000000007</v>
      </c>
      <c r="BL413" s="693">
        <f>BI431-BI432</f>
        <v>161.08999999999997</v>
      </c>
      <c r="BM413" s="693">
        <f t="shared" ref="BM413:BM428" si="388">BK413/BL413*100</f>
        <v>19.51083245390776</v>
      </c>
      <c r="BN413" s="668">
        <f t="shared" ref="BN413:BN428" si="389">BM413*BJ413</f>
        <v>30.365138304107571</v>
      </c>
      <c r="BO413" s="650">
        <v>0</v>
      </c>
      <c r="BP413" s="681">
        <v>103.50685607036536</v>
      </c>
      <c r="BQ413" s="720">
        <f>(BP431-BP432)/BP413</f>
        <v>1.4550726948716644</v>
      </c>
      <c r="BR413" s="714">
        <f>N413-BP429</f>
        <v>33.71999999999997</v>
      </c>
      <c r="BS413" s="693">
        <f>BP431-BP432</f>
        <v>150.61000000000001</v>
      </c>
      <c r="BT413" s="693">
        <f t="shared" ref="BT413:BT428" si="390">BR413/BS413*100</f>
        <v>22.388951596839497</v>
      </c>
      <c r="BU413" s="668">
        <f t="shared" ref="BU413:BU428" si="391">BT413*BQ413</f>
        <v>32.577552135364499</v>
      </c>
      <c r="BV413" s="650">
        <v>0</v>
      </c>
      <c r="BW413" s="620">
        <v>103.50685607036536</v>
      </c>
      <c r="BX413" s="720">
        <f>(BW431-BW432)/BW413</f>
        <v>1.2259091312148296</v>
      </c>
      <c r="BY413" s="714">
        <f>S413-BW429</f>
        <v>39.860000000000014</v>
      </c>
      <c r="BZ413" s="693">
        <f>BW431-BW432</f>
        <v>126.89</v>
      </c>
      <c r="CA413" s="693">
        <f t="shared" ref="CA413:CA428" si="392">BY413/BZ413*100</f>
        <v>31.413034912128623</v>
      </c>
      <c r="CB413" s="668">
        <f t="shared" ref="CB413:CB428" si="393">CA413*BX413</f>
        <v>38.509526337948714</v>
      </c>
      <c r="CC413" s="560"/>
    </row>
    <row r="414" spans="1:81" ht="15.75">
      <c r="A414" s="564"/>
      <c r="B414" s="585" t="s">
        <v>116</v>
      </c>
      <c r="C414" s="559">
        <v>300</v>
      </c>
      <c r="D414" s="612">
        <v>448.63</v>
      </c>
      <c r="E414" s="27">
        <v>0</v>
      </c>
      <c r="F414" s="27">
        <v>0</v>
      </c>
      <c r="G414" s="94">
        <v>0</v>
      </c>
      <c r="H414" s="559">
        <v>300</v>
      </c>
      <c r="I414" s="559">
        <v>480.92</v>
      </c>
      <c r="J414" s="260">
        <v>0</v>
      </c>
      <c r="K414" s="260">
        <v>0</v>
      </c>
      <c r="L414" s="548">
        <v>0</v>
      </c>
      <c r="M414" s="559">
        <v>300</v>
      </c>
      <c r="N414" s="649">
        <v>472.4</v>
      </c>
      <c r="O414" s="260">
        <v>0</v>
      </c>
      <c r="P414" s="260">
        <v>0</v>
      </c>
      <c r="Q414" s="94">
        <v>0</v>
      </c>
      <c r="R414" s="559">
        <v>300</v>
      </c>
      <c r="S414" s="649">
        <v>454.14</v>
      </c>
      <c r="T414" s="260">
        <v>0</v>
      </c>
      <c r="U414" s="260">
        <v>0</v>
      </c>
      <c r="V414" s="94">
        <v>0</v>
      </c>
      <c r="W414" s="5"/>
      <c r="X414" s="650">
        <v>300</v>
      </c>
      <c r="Y414" s="651">
        <f t="shared" si="370"/>
        <v>0</v>
      </c>
      <c r="Z414" s="620">
        <v>9.6440000000000001</v>
      </c>
      <c r="AA414" s="620">
        <v>4.5170000000000003</v>
      </c>
      <c r="AB414" s="620">
        <f t="shared" si="371"/>
        <v>5.1269999999999998</v>
      </c>
      <c r="AC414" s="620">
        <f t="shared" si="372"/>
        <v>33.449000000000005</v>
      </c>
      <c r="AD414" s="653">
        <f t="shared" si="373"/>
        <v>21.577252153859998</v>
      </c>
      <c r="AE414" s="650">
        <v>300</v>
      </c>
      <c r="AF414" s="620">
        <f t="shared" si="374"/>
        <v>0</v>
      </c>
      <c r="AG414" s="620">
        <v>9.6440000000000001</v>
      </c>
      <c r="AH414" s="620">
        <v>4.5170000000000003</v>
      </c>
      <c r="AI414" s="620">
        <f t="shared" si="375"/>
        <v>5.1269999999999998</v>
      </c>
      <c r="AJ414" s="620">
        <f t="shared" si="376"/>
        <v>33.449000000000005</v>
      </c>
      <c r="AK414" s="653">
        <f t="shared" si="377"/>
        <v>21.577252153859998</v>
      </c>
      <c r="AL414" s="650">
        <v>300</v>
      </c>
      <c r="AM414" s="620">
        <f t="shared" si="378"/>
        <v>0</v>
      </c>
      <c r="AN414" s="620">
        <v>9.6440000000000001</v>
      </c>
      <c r="AO414" s="620">
        <v>4.5170000000000003</v>
      </c>
      <c r="AP414" s="620">
        <f t="shared" si="379"/>
        <v>5.1269999999999998</v>
      </c>
      <c r="AQ414" s="620">
        <f t="shared" si="380"/>
        <v>33.449000000000005</v>
      </c>
      <c r="AR414" s="698">
        <f t="shared" si="381"/>
        <v>21.577252153859998</v>
      </c>
      <c r="AS414" s="650">
        <v>300</v>
      </c>
      <c r="AT414" s="620">
        <f t="shared" si="382"/>
        <v>0</v>
      </c>
      <c r="AU414" s="620">
        <v>9.6440000000000001</v>
      </c>
      <c r="AV414" s="620">
        <v>4.5170000000000003</v>
      </c>
      <c r="AW414" s="620">
        <f t="shared" si="383"/>
        <v>5.1269999999999998</v>
      </c>
      <c r="AX414" s="620">
        <f t="shared" si="384"/>
        <v>33.449000000000005</v>
      </c>
      <c r="AY414" s="698">
        <f t="shared" si="385"/>
        <v>21.577252153859998</v>
      </c>
      <c r="AZ414" s="75"/>
      <c r="BA414" s="650">
        <v>300</v>
      </c>
      <c r="BB414" s="620">
        <v>103.50685607036536</v>
      </c>
      <c r="BC414" s="720">
        <f>(BB431-BB432)/BB413</f>
        <v>1.1103612298094441</v>
      </c>
      <c r="BD414" s="714">
        <f>D414-BB429</f>
        <v>45.129999999999995</v>
      </c>
      <c r="BE414" s="693">
        <f>BB431-BB432</f>
        <v>114.93</v>
      </c>
      <c r="BF414" s="693">
        <f t="shared" si="386"/>
        <v>39.267380144435734</v>
      </c>
      <c r="BG414" s="668">
        <f t="shared" si="387"/>
        <v>43.600976508570604</v>
      </c>
      <c r="BH414" s="650">
        <v>300</v>
      </c>
      <c r="BI414" s="620">
        <v>103.50685607036536</v>
      </c>
      <c r="BJ414" s="720">
        <f>(BI431-BI432)/BI413</f>
        <v>1.5563220265379214</v>
      </c>
      <c r="BK414" s="714">
        <f>I414-BI429</f>
        <v>31.390000000000043</v>
      </c>
      <c r="BL414" s="693">
        <f>BI431-BI432</f>
        <v>161.08999999999997</v>
      </c>
      <c r="BM414" s="693">
        <f t="shared" si="388"/>
        <v>19.486001614004621</v>
      </c>
      <c r="BN414" s="668">
        <f t="shared" si="389"/>
        <v>30.32649352102888</v>
      </c>
      <c r="BO414" s="650">
        <v>300</v>
      </c>
      <c r="BP414" s="681">
        <v>103.50685607036536</v>
      </c>
      <c r="BQ414" s="720">
        <f>(BP431-BP432)/BP413</f>
        <v>1.4550726948716644</v>
      </c>
      <c r="BR414" s="714">
        <f>N414-BP429</f>
        <v>33.71999999999997</v>
      </c>
      <c r="BS414" s="693">
        <f>BP431-BP432</f>
        <v>150.61000000000001</v>
      </c>
      <c r="BT414" s="693">
        <f t="shared" si="390"/>
        <v>22.388951596839497</v>
      </c>
      <c r="BU414" s="668">
        <f t="shared" si="391"/>
        <v>32.577552135364499</v>
      </c>
      <c r="BV414" s="650">
        <v>300</v>
      </c>
      <c r="BW414" s="620">
        <v>103.50685607036536</v>
      </c>
      <c r="BX414" s="720">
        <f>(BW431-BW432)/BW413</f>
        <v>1.2259091312148296</v>
      </c>
      <c r="BY414" s="714">
        <f>S414-BW429</f>
        <v>39.850000000000023</v>
      </c>
      <c r="BZ414" s="693">
        <f>BW431-BW432</f>
        <v>126.89</v>
      </c>
      <c r="CA414" s="693">
        <f t="shared" si="392"/>
        <v>31.405154070454742</v>
      </c>
      <c r="CB414" s="668">
        <f t="shared" si="393"/>
        <v>38.49986514217904</v>
      </c>
      <c r="CC414" s="560"/>
    </row>
    <row r="415" spans="1:81" ht="15.75">
      <c r="A415" s="564"/>
      <c r="B415" s="585" t="s">
        <v>116</v>
      </c>
      <c r="C415" s="559">
        <v>350</v>
      </c>
      <c r="D415" s="559">
        <v>447.3</v>
      </c>
      <c r="E415" s="27">
        <v>0</v>
      </c>
      <c r="F415" s="27">
        <v>0</v>
      </c>
      <c r="G415" s="94">
        <v>0</v>
      </c>
      <c r="H415" s="559">
        <v>350</v>
      </c>
      <c r="I415" s="559">
        <v>480.94</v>
      </c>
      <c r="J415" s="260">
        <v>0</v>
      </c>
      <c r="K415" s="260">
        <v>0</v>
      </c>
      <c r="L415" s="548">
        <v>0</v>
      </c>
      <c r="M415" s="559">
        <v>350</v>
      </c>
      <c r="N415" s="649">
        <v>472.35</v>
      </c>
      <c r="O415" s="260">
        <v>0</v>
      </c>
      <c r="P415" s="260">
        <v>0</v>
      </c>
      <c r="Q415" s="94">
        <v>0</v>
      </c>
      <c r="R415" s="559">
        <v>350</v>
      </c>
      <c r="S415" s="649">
        <v>454.12</v>
      </c>
      <c r="T415" s="260">
        <v>0</v>
      </c>
      <c r="U415" s="260">
        <v>0</v>
      </c>
      <c r="V415" s="94">
        <v>0</v>
      </c>
      <c r="W415" s="5"/>
      <c r="X415" s="650">
        <v>350</v>
      </c>
      <c r="Y415" s="651">
        <f t="shared" si="370"/>
        <v>0</v>
      </c>
      <c r="Z415" s="620">
        <v>9.6440000000000001</v>
      </c>
      <c r="AA415" s="620">
        <v>4.5170000000000003</v>
      </c>
      <c r="AB415" s="620">
        <f t="shared" si="371"/>
        <v>5.1269999999999998</v>
      </c>
      <c r="AC415" s="620">
        <f t="shared" si="372"/>
        <v>33.449000000000005</v>
      </c>
      <c r="AD415" s="653">
        <f t="shared" si="373"/>
        <v>29.369037653864996</v>
      </c>
      <c r="AE415" s="650">
        <v>350</v>
      </c>
      <c r="AF415" s="620">
        <f t="shared" si="374"/>
        <v>0</v>
      </c>
      <c r="AG415" s="620">
        <v>9.6440000000000001</v>
      </c>
      <c r="AH415" s="620">
        <v>4.5170000000000003</v>
      </c>
      <c r="AI415" s="620">
        <f t="shared" si="375"/>
        <v>5.1269999999999998</v>
      </c>
      <c r="AJ415" s="620">
        <f t="shared" si="376"/>
        <v>33.449000000000005</v>
      </c>
      <c r="AK415" s="653">
        <f t="shared" si="377"/>
        <v>29.369037653864996</v>
      </c>
      <c r="AL415" s="650">
        <v>350</v>
      </c>
      <c r="AM415" s="620">
        <f t="shared" si="378"/>
        <v>0</v>
      </c>
      <c r="AN415" s="620">
        <v>9.6440000000000001</v>
      </c>
      <c r="AO415" s="620">
        <v>4.5170000000000003</v>
      </c>
      <c r="AP415" s="620">
        <f t="shared" si="379"/>
        <v>5.1269999999999998</v>
      </c>
      <c r="AQ415" s="620">
        <f t="shared" si="380"/>
        <v>33.449000000000005</v>
      </c>
      <c r="AR415" s="698">
        <f t="shared" si="381"/>
        <v>29.369037653864996</v>
      </c>
      <c r="AS415" s="650">
        <v>350</v>
      </c>
      <c r="AT415" s="620">
        <f t="shared" si="382"/>
        <v>0</v>
      </c>
      <c r="AU415" s="620">
        <v>9.6440000000000001</v>
      </c>
      <c r="AV415" s="620">
        <v>4.5170000000000003</v>
      </c>
      <c r="AW415" s="620">
        <f t="shared" si="383"/>
        <v>5.1269999999999998</v>
      </c>
      <c r="AX415" s="620">
        <f t="shared" si="384"/>
        <v>33.449000000000005</v>
      </c>
      <c r="AY415" s="698">
        <f t="shared" si="385"/>
        <v>29.369037653864996</v>
      </c>
      <c r="AZ415" s="75"/>
      <c r="BA415" s="650">
        <v>350</v>
      </c>
      <c r="BB415" s="620">
        <v>103.50685607036536</v>
      </c>
      <c r="BC415" s="720">
        <f>(BB431-BB432)/BB413</f>
        <v>1.1103612298094441</v>
      </c>
      <c r="BD415" s="714">
        <f>D415-BB429</f>
        <v>43.800000000000011</v>
      </c>
      <c r="BE415" s="693">
        <f>BB431-BB432</f>
        <v>114.93</v>
      </c>
      <c r="BF415" s="693">
        <f t="shared" si="386"/>
        <v>38.110154006786743</v>
      </c>
      <c r="BG415" s="668">
        <f t="shared" si="387"/>
        <v>42.316037471203039</v>
      </c>
      <c r="BH415" s="650">
        <v>350</v>
      </c>
      <c r="BI415" s="620">
        <v>103.50685607036536</v>
      </c>
      <c r="BJ415" s="720">
        <f>(BI431-BI432)/BI413</f>
        <v>1.5563220265379214</v>
      </c>
      <c r="BK415" s="714">
        <f>I415-BI429</f>
        <v>31.410000000000025</v>
      </c>
      <c r="BL415" s="693">
        <f>BI431-BI432</f>
        <v>161.08999999999997</v>
      </c>
      <c r="BM415" s="693">
        <f t="shared" si="388"/>
        <v>19.498417033956191</v>
      </c>
      <c r="BN415" s="668">
        <f t="shared" si="389"/>
        <v>30.345815912568224</v>
      </c>
      <c r="BO415" s="650">
        <v>350</v>
      </c>
      <c r="BP415" s="681">
        <v>103.50685607036536</v>
      </c>
      <c r="BQ415" s="720">
        <f>(BP431-BP432)/BP413</f>
        <v>1.4550726948716644</v>
      </c>
      <c r="BR415" s="714">
        <f>N415-BP429</f>
        <v>33.670000000000016</v>
      </c>
      <c r="BS415" s="693">
        <f>BP431-BP432</f>
        <v>150.61000000000001</v>
      </c>
      <c r="BT415" s="693">
        <f t="shared" si="390"/>
        <v>22.355753270035198</v>
      </c>
      <c r="BU415" s="668">
        <f t="shared" si="391"/>
        <v>32.529246156516137</v>
      </c>
      <c r="BV415" s="650">
        <v>350</v>
      </c>
      <c r="BW415" s="620">
        <v>103.50685607036536</v>
      </c>
      <c r="BX415" s="720">
        <f>(BW431-BW432)/BW413</f>
        <v>1.2259091312148296</v>
      </c>
      <c r="BY415" s="714">
        <f>S415-BW429</f>
        <v>39.830000000000041</v>
      </c>
      <c r="BZ415" s="693">
        <f>BW431-BW432</f>
        <v>126.89</v>
      </c>
      <c r="CA415" s="693">
        <f t="shared" si="392"/>
        <v>31.389392387106973</v>
      </c>
      <c r="CB415" s="668">
        <f t="shared" si="393"/>
        <v>38.480542750639692</v>
      </c>
      <c r="CC415" s="560"/>
    </row>
    <row r="416" spans="1:81" ht="15.75">
      <c r="A416" s="564"/>
      <c r="B416" s="585" t="s">
        <v>116</v>
      </c>
      <c r="C416" s="559">
        <v>450</v>
      </c>
      <c r="D416" s="559">
        <v>445.92</v>
      </c>
      <c r="E416" s="27">
        <v>0</v>
      </c>
      <c r="F416" s="27">
        <v>0</v>
      </c>
      <c r="G416" s="94">
        <v>0</v>
      </c>
      <c r="H416" s="559">
        <v>450</v>
      </c>
      <c r="I416" s="612">
        <v>480.93</v>
      </c>
      <c r="J416" s="260">
        <v>0</v>
      </c>
      <c r="K416" s="260">
        <v>0</v>
      </c>
      <c r="L416" s="548">
        <v>0</v>
      </c>
      <c r="M416" s="559">
        <v>450</v>
      </c>
      <c r="N416" s="649">
        <v>472.36</v>
      </c>
      <c r="O416" s="260">
        <v>0</v>
      </c>
      <c r="P416" s="260">
        <v>0</v>
      </c>
      <c r="Q416" s="94">
        <v>0</v>
      </c>
      <c r="R416" s="559">
        <v>450</v>
      </c>
      <c r="S416" s="649">
        <v>454.11</v>
      </c>
      <c r="T416" s="260">
        <v>0</v>
      </c>
      <c r="U416" s="260">
        <v>0</v>
      </c>
      <c r="V416" s="94">
        <v>0</v>
      </c>
      <c r="W416" s="5"/>
      <c r="X416" s="650">
        <v>450</v>
      </c>
      <c r="Y416" s="651">
        <f t="shared" si="370"/>
        <v>0</v>
      </c>
      <c r="Z416" s="620">
        <v>9.6440000000000001</v>
      </c>
      <c r="AA416" s="620">
        <v>4.5170000000000003</v>
      </c>
      <c r="AB416" s="620">
        <f t="shared" si="371"/>
        <v>5.1269999999999998</v>
      </c>
      <c r="AC416" s="620">
        <f t="shared" si="372"/>
        <v>33.449000000000005</v>
      </c>
      <c r="AD416" s="653">
        <f t="shared" si="373"/>
        <v>48.54881734618499</v>
      </c>
      <c r="AE416" s="650">
        <v>450</v>
      </c>
      <c r="AF416" s="620">
        <f t="shared" si="374"/>
        <v>0</v>
      </c>
      <c r="AG416" s="620">
        <v>9.6440000000000001</v>
      </c>
      <c r="AH416" s="620">
        <v>4.5170000000000003</v>
      </c>
      <c r="AI416" s="620">
        <f t="shared" si="375"/>
        <v>5.1269999999999998</v>
      </c>
      <c r="AJ416" s="620">
        <f t="shared" si="376"/>
        <v>33.449000000000005</v>
      </c>
      <c r="AK416" s="653">
        <f t="shared" si="377"/>
        <v>48.54881734618499</v>
      </c>
      <c r="AL416" s="650">
        <v>450</v>
      </c>
      <c r="AM416" s="620">
        <f t="shared" si="378"/>
        <v>0</v>
      </c>
      <c r="AN416" s="620">
        <v>9.6440000000000001</v>
      </c>
      <c r="AO416" s="620">
        <v>4.5170000000000003</v>
      </c>
      <c r="AP416" s="620">
        <f t="shared" si="379"/>
        <v>5.1269999999999998</v>
      </c>
      <c r="AQ416" s="620">
        <f t="shared" si="380"/>
        <v>33.449000000000005</v>
      </c>
      <c r="AR416" s="698">
        <f t="shared" si="381"/>
        <v>48.54881734618499</v>
      </c>
      <c r="AS416" s="650">
        <v>450</v>
      </c>
      <c r="AT416" s="620">
        <f t="shared" si="382"/>
        <v>0</v>
      </c>
      <c r="AU416" s="620">
        <v>9.6440000000000001</v>
      </c>
      <c r="AV416" s="620">
        <v>4.5170000000000003</v>
      </c>
      <c r="AW416" s="620">
        <f t="shared" si="383"/>
        <v>5.1269999999999998</v>
      </c>
      <c r="AX416" s="620">
        <f t="shared" si="384"/>
        <v>33.449000000000005</v>
      </c>
      <c r="AY416" s="698">
        <f t="shared" si="385"/>
        <v>48.54881734618499</v>
      </c>
      <c r="AZ416" s="75"/>
      <c r="BA416" s="650">
        <v>450</v>
      </c>
      <c r="BB416" s="620">
        <v>103.50685607036536</v>
      </c>
      <c r="BC416" s="720">
        <f>(BB431-BB432)/BB413</f>
        <v>1.1103612298094441</v>
      </c>
      <c r="BD416" s="714">
        <f>D416-BB429</f>
        <v>42.420000000000016</v>
      </c>
      <c r="BE416" s="693">
        <f>BB431-BB432</f>
        <v>114.93</v>
      </c>
      <c r="BF416" s="693">
        <f t="shared" si="386"/>
        <v>36.909423127120867</v>
      </c>
      <c r="BG416" s="668">
        <f t="shared" si="387"/>
        <v>40.982792454987063</v>
      </c>
      <c r="BH416" s="650">
        <v>450</v>
      </c>
      <c r="BI416" s="620">
        <v>103.50685607036536</v>
      </c>
      <c r="BJ416" s="720">
        <f>(BI431-BI432)/BI413</f>
        <v>1.5563220265379214</v>
      </c>
      <c r="BK416" s="714">
        <f>I416-BI429</f>
        <v>31.400000000000034</v>
      </c>
      <c r="BL416" s="693">
        <f>BI431-BI432</f>
        <v>161.08999999999997</v>
      </c>
      <c r="BM416" s="693">
        <f t="shared" si="388"/>
        <v>19.492209323980408</v>
      </c>
      <c r="BN416" s="668">
        <f t="shared" si="389"/>
        <v>30.336154716798553</v>
      </c>
      <c r="BO416" s="650">
        <v>450</v>
      </c>
      <c r="BP416" s="681">
        <v>103.50685607036536</v>
      </c>
      <c r="BQ416" s="720">
        <f>(BP431-BP432)/BP413</f>
        <v>1.4550726948716644</v>
      </c>
      <c r="BR416" s="714">
        <f>N416-BP429</f>
        <v>33.680000000000007</v>
      </c>
      <c r="BS416" s="693">
        <f>BP431-BP432</f>
        <v>150.61000000000001</v>
      </c>
      <c r="BT416" s="693">
        <f t="shared" si="390"/>
        <v>22.362392935396059</v>
      </c>
      <c r="BU416" s="668">
        <f t="shared" si="391"/>
        <v>32.538907352285811</v>
      </c>
      <c r="BV416" s="650">
        <v>450</v>
      </c>
      <c r="BW416" s="620">
        <v>103.50685607036536</v>
      </c>
      <c r="BX416" s="720">
        <f>(BW431-BW432)/BW413</f>
        <v>1.2259091312148296</v>
      </c>
      <c r="BY416" s="714">
        <f>S416-BW429</f>
        <v>39.82000000000005</v>
      </c>
      <c r="BZ416" s="693">
        <f>BW431-BW432</f>
        <v>126.89</v>
      </c>
      <c r="CA416" s="693">
        <f t="shared" si="392"/>
        <v>31.381511545433092</v>
      </c>
      <c r="CB416" s="668">
        <f t="shared" si="393"/>
        <v>38.470881554870026</v>
      </c>
      <c r="CC416" s="560"/>
    </row>
    <row r="417" spans="1:81" ht="15.75">
      <c r="A417" s="564"/>
      <c r="B417" s="585" t="s">
        <v>116</v>
      </c>
      <c r="C417" s="559">
        <v>550</v>
      </c>
      <c r="D417" s="559">
        <v>444.61</v>
      </c>
      <c r="E417" s="652">
        <v>1.59</v>
      </c>
      <c r="F417" s="652">
        <v>0</v>
      </c>
      <c r="G417" s="653">
        <v>1.48</v>
      </c>
      <c r="H417" s="559">
        <v>550</v>
      </c>
      <c r="I417" s="559">
        <v>480.92</v>
      </c>
      <c r="J417" s="260">
        <v>0</v>
      </c>
      <c r="K417" s="260">
        <v>0</v>
      </c>
      <c r="L417" s="548">
        <v>0</v>
      </c>
      <c r="M417" s="559">
        <v>550</v>
      </c>
      <c r="N417" s="649">
        <v>472.05</v>
      </c>
      <c r="O417" s="260">
        <v>0</v>
      </c>
      <c r="P417" s="260">
        <v>0</v>
      </c>
      <c r="Q417" s="94">
        <v>0</v>
      </c>
      <c r="R417" s="559">
        <v>550</v>
      </c>
      <c r="S417" s="649">
        <v>453.12</v>
      </c>
      <c r="T417" s="260">
        <v>0</v>
      </c>
      <c r="U417" s="260">
        <v>0</v>
      </c>
      <c r="V417" s="94">
        <v>0</v>
      </c>
      <c r="W417" s="5"/>
      <c r="X417" s="650">
        <v>550</v>
      </c>
      <c r="Y417" s="651">
        <f t="shared" si="370"/>
        <v>0.10233333333333335</v>
      </c>
      <c r="Z417" s="620">
        <v>9.6440000000000001</v>
      </c>
      <c r="AA417" s="620">
        <v>4.5170000000000003</v>
      </c>
      <c r="AB417" s="620">
        <f t="shared" si="371"/>
        <v>5.0246666666666666</v>
      </c>
      <c r="AC417" s="620">
        <f t="shared" si="372"/>
        <v>33.551333333333339</v>
      </c>
      <c r="AD417" s="653">
        <f t="shared" si="373"/>
        <v>71.293443264046658</v>
      </c>
      <c r="AE417" s="650">
        <v>550</v>
      </c>
      <c r="AF417" s="620">
        <f t="shared" si="374"/>
        <v>0</v>
      </c>
      <c r="AG417" s="620">
        <v>9.6440000000000001</v>
      </c>
      <c r="AH417" s="620">
        <v>4.5170000000000003</v>
      </c>
      <c r="AI417" s="620">
        <f t="shared" si="375"/>
        <v>5.1269999999999998</v>
      </c>
      <c r="AJ417" s="620">
        <f t="shared" si="376"/>
        <v>33.449000000000005</v>
      </c>
      <c r="AK417" s="653">
        <f t="shared" si="377"/>
        <v>72.523541961584996</v>
      </c>
      <c r="AL417" s="650">
        <v>550</v>
      </c>
      <c r="AM417" s="620">
        <f t="shared" si="378"/>
        <v>0</v>
      </c>
      <c r="AN417" s="620">
        <v>9.6440000000000001</v>
      </c>
      <c r="AO417" s="620">
        <v>4.5170000000000003</v>
      </c>
      <c r="AP417" s="620">
        <f t="shared" si="379"/>
        <v>5.1269999999999998</v>
      </c>
      <c r="AQ417" s="620">
        <f t="shared" si="380"/>
        <v>33.449000000000005</v>
      </c>
      <c r="AR417" s="698">
        <f t="shared" si="381"/>
        <v>72.523541961584996</v>
      </c>
      <c r="AS417" s="650">
        <v>550</v>
      </c>
      <c r="AT417" s="620">
        <f t="shared" si="382"/>
        <v>0</v>
      </c>
      <c r="AU417" s="620">
        <v>9.6440000000000001</v>
      </c>
      <c r="AV417" s="620">
        <v>4.5170000000000003</v>
      </c>
      <c r="AW417" s="620">
        <f t="shared" si="383"/>
        <v>5.1269999999999998</v>
      </c>
      <c r="AX417" s="620">
        <f t="shared" si="384"/>
        <v>33.449000000000005</v>
      </c>
      <c r="AY417" s="698">
        <f t="shared" si="385"/>
        <v>72.523541961584996</v>
      </c>
      <c r="AZ417" s="75"/>
      <c r="BA417" s="650">
        <v>550</v>
      </c>
      <c r="BB417" s="620">
        <v>103.50685607036536</v>
      </c>
      <c r="BC417" s="720">
        <f>(BB431-BB432)/BB413</f>
        <v>1.1103612298094441</v>
      </c>
      <c r="BD417" s="714">
        <f>D417-BB429</f>
        <v>41.110000000000014</v>
      </c>
      <c r="BE417" s="693">
        <f>BB431-BB432</f>
        <v>114.93</v>
      </c>
      <c r="BF417" s="693">
        <f t="shared" si="386"/>
        <v>35.769598886278615</v>
      </c>
      <c r="BG417" s="668">
        <f t="shared" si="387"/>
        <v>39.717175809158846</v>
      </c>
      <c r="BH417" s="650">
        <v>550</v>
      </c>
      <c r="BI417" s="620">
        <v>103.50685607036536</v>
      </c>
      <c r="BJ417" s="720">
        <f>(BI431-BI432)/BI413</f>
        <v>1.5563220265379214</v>
      </c>
      <c r="BK417" s="714">
        <f>I417-BI429</f>
        <v>31.390000000000043</v>
      </c>
      <c r="BL417" s="693">
        <f>BI431-BI432</f>
        <v>161.08999999999997</v>
      </c>
      <c r="BM417" s="693">
        <f t="shared" si="388"/>
        <v>19.486001614004621</v>
      </c>
      <c r="BN417" s="668">
        <f t="shared" si="389"/>
        <v>30.32649352102888</v>
      </c>
      <c r="BO417" s="650">
        <v>550</v>
      </c>
      <c r="BP417" s="681">
        <v>103.50685607036536</v>
      </c>
      <c r="BQ417" s="720">
        <f>(BP431-BP432)/BP413</f>
        <v>1.4550726948716644</v>
      </c>
      <c r="BR417" s="714">
        <f>N417-BP429</f>
        <v>33.370000000000005</v>
      </c>
      <c r="BS417" s="693">
        <f>BP431-BP432</f>
        <v>150.61000000000001</v>
      </c>
      <c r="BT417" s="693">
        <f t="shared" si="390"/>
        <v>22.156563309209218</v>
      </c>
      <c r="BU417" s="668">
        <f t="shared" si="391"/>
        <v>32.239410283425698</v>
      </c>
      <c r="BV417" s="650">
        <v>550</v>
      </c>
      <c r="BW417" s="620">
        <v>103.50685607036536</v>
      </c>
      <c r="BX417" s="720">
        <f>(BW431-BW432)/BW413</f>
        <v>1.2259091312148296</v>
      </c>
      <c r="BY417" s="714">
        <f>S417-BW429</f>
        <v>38.830000000000041</v>
      </c>
      <c r="BZ417" s="693">
        <f>BW431-BW432</f>
        <v>126.89</v>
      </c>
      <c r="CA417" s="693">
        <f t="shared" si="392"/>
        <v>30.6013082197179</v>
      </c>
      <c r="CB417" s="668">
        <f t="shared" si="393"/>
        <v>37.514423173671595</v>
      </c>
      <c r="CC417" s="560"/>
    </row>
    <row r="418" spans="1:81" ht="15.75">
      <c r="A418" s="564"/>
      <c r="B418" s="585" t="s">
        <v>116</v>
      </c>
      <c r="C418" s="559">
        <v>650</v>
      </c>
      <c r="D418" s="559">
        <v>443.69</v>
      </c>
      <c r="E418" s="652">
        <v>0.38</v>
      </c>
      <c r="F418" s="652">
        <v>1.3</v>
      </c>
      <c r="G418" s="653">
        <v>1.72</v>
      </c>
      <c r="H418" s="559">
        <v>650</v>
      </c>
      <c r="I418" s="559">
        <v>480.93</v>
      </c>
      <c r="J418" s="260">
        <v>0</v>
      </c>
      <c r="K418" s="260">
        <v>0</v>
      </c>
      <c r="L418" s="548">
        <v>0</v>
      </c>
      <c r="M418" s="559">
        <v>650</v>
      </c>
      <c r="N418" s="649">
        <v>471.6</v>
      </c>
      <c r="O418" s="260">
        <v>0</v>
      </c>
      <c r="P418" s="260">
        <v>0</v>
      </c>
      <c r="Q418" s="94">
        <v>0</v>
      </c>
      <c r="R418" s="559">
        <v>650</v>
      </c>
      <c r="S418" s="649">
        <v>452.6</v>
      </c>
      <c r="T418" s="649">
        <v>1.47</v>
      </c>
      <c r="U418" s="649">
        <v>1.76</v>
      </c>
      <c r="V418" s="649">
        <v>1.62</v>
      </c>
      <c r="W418" s="5"/>
      <c r="X418" s="650">
        <v>650</v>
      </c>
      <c r="Y418" s="651">
        <f t="shared" si="370"/>
        <v>0.11333333333333336</v>
      </c>
      <c r="Z418" s="620">
        <v>9.6440000000000001</v>
      </c>
      <c r="AA418" s="620">
        <v>4.5170000000000003</v>
      </c>
      <c r="AB418" s="620">
        <f t="shared" si="371"/>
        <v>5.0136666666666665</v>
      </c>
      <c r="AC418" s="620">
        <f t="shared" si="372"/>
        <v>33.562333333333342</v>
      </c>
      <c r="AD418" s="653">
        <f t="shared" si="373"/>
        <v>99.389724694931672</v>
      </c>
      <c r="AE418" s="650">
        <v>650</v>
      </c>
      <c r="AF418" s="620">
        <f t="shared" si="374"/>
        <v>0</v>
      </c>
      <c r="AG418" s="620">
        <v>9.6440000000000001</v>
      </c>
      <c r="AH418" s="620">
        <v>4.5170000000000003</v>
      </c>
      <c r="AI418" s="620">
        <f t="shared" si="375"/>
        <v>5.1269999999999998</v>
      </c>
      <c r="AJ418" s="620">
        <f t="shared" si="376"/>
        <v>33.449000000000005</v>
      </c>
      <c r="AK418" s="653">
        <f t="shared" si="377"/>
        <v>101.293211500065</v>
      </c>
      <c r="AL418" s="650">
        <v>650</v>
      </c>
      <c r="AM418" s="620">
        <f t="shared" si="378"/>
        <v>0</v>
      </c>
      <c r="AN418" s="620">
        <v>9.6440000000000001</v>
      </c>
      <c r="AO418" s="620">
        <v>4.5170000000000003</v>
      </c>
      <c r="AP418" s="620">
        <f t="shared" si="379"/>
        <v>5.1269999999999998</v>
      </c>
      <c r="AQ418" s="620">
        <f t="shared" si="380"/>
        <v>33.449000000000005</v>
      </c>
      <c r="AR418" s="698">
        <f t="shared" si="381"/>
        <v>101.293211500065</v>
      </c>
      <c r="AS418" s="650">
        <v>650</v>
      </c>
      <c r="AT418" s="620">
        <f t="shared" si="382"/>
        <v>0.16166666666666665</v>
      </c>
      <c r="AU418" s="620">
        <v>9.6440000000000001</v>
      </c>
      <c r="AV418" s="620">
        <v>4.5170000000000003</v>
      </c>
      <c r="AW418" s="620">
        <f t="shared" si="383"/>
        <v>4.9653333333333327</v>
      </c>
      <c r="AX418" s="620">
        <f t="shared" si="384"/>
        <v>33.610666666666674</v>
      </c>
      <c r="AY418" s="698">
        <f t="shared" si="385"/>
        <v>98.573328244906662</v>
      </c>
      <c r="AZ418" s="75"/>
      <c r="BA418" s="650">
        <v>650</v>
      </c>
      <c r="BB418" s="620">
        <v>103.50685607036536</v>
      </c>
      <c r="BC418" s="720">
        <f>(BB431-BB432)/BB413</f>
        <v>1.1103612298094441</v>
      </c>
      <c r="BD418" s="714">
        <f>D418-BB429</f>
        <v>40.19</v>
      </c>
      <c r="BE418" s="693">
        <f>BB431-BB432</f>
        <v>114.93</v>
      </c>
      <c r="BF418" s="693">
        <f t="shared" si="386"/>
        <v>34.969111633168012</v>
      </c>
      <c r="BG418" s="668">
        <f t="shared" si="387"/>
        <v>38.828345798348174</v>
      </c>
      <c r="BH418" s="650">
        <v>650</v>
      </c>
      <c r="BI418" s="620">
        <v>103.50685607036536</v>
      </c>
      <c r="BJ418" s="720">
        <f>(BI431-BI432)/BI413</f>
        <v>1.5563220265379214</v>
      </c>
      <c r="BK418" s="714">
        <f>I418-BI429</f>
        <v>31.400000000000034</v>
      </c>
      <c r="BL418" s="693">
        <f>BI431-BI432</f>
        <v>161.08999999999997</v>
      </c>
      <c r="BM418" s="693">
        <f t="shared" si="388"/>
        <v>19.492209323980408</v>
      </c>
      <c r="BN418" s="668">
        <f t="shared" si="389"/>
        <v>30.336154716798553</v>
      </c>
      <c r="BO418" s="650">
        <v>650</v>
      </c>
      <c r="BP418" s="681">
        <v>103.50685607036536</v>
      </c>
      <c r="BQ418" s="720">
        <f>(BP431-BP432)/BP413</f>
        <v>1.4550726948716644</v>
      </c>
      <c r="BR418" s="714">
        <f>N418-BP429</f>
        <v>32.920000000000016</v>
      </c>
      <c r="BS418" s="693">
        <f>BP431-BP432</f>
        <v>150.61000000000001</v>
      </c>
      <c r="BT418" s="693">
        <f t="shared" si="390"/>
        <v>21.857778367970262</v>
      </c>
      <c r="BU418" s="668">
        <f t="shared" si="391"/>
        <v>31.804656473790057</v>
      </c>
      <c r="BV418" s="650">
        <v>650</v>
      </c>
      <c r="BW418" s="620">
        <v>103.50685607036536</v>
      </c>
      <c r="BX418" s="720">
        <f>(BW431-BW432)/BW413</f>
        <v>1.2259091312148296</v>
      </c>
      <c r="BY418" s="714">
        <f>S418-BW429</f>
        <v>38.310000000000059</v>
      </c>
      <c r="BZ418" s="693">
        <f>BW431-BW432</f>
        <v>126.89</v>
      </c>
      <c r="CA418" s="693">
        <f t="shared" si="392"/>
        <v>30.191504452675595</v>
      </c>
      <c r="CB418" s="668">
        <f t="shared" si="393"/>
        <v>37.012040993648199</v>
      </c>
      <c r="CC418" s="560"/>
    </row>
    <row r="419" spans="1:81" ht="15.75">
      <c r="A419" s="564"/>
      <c r="B419" s="585" t="s">
        <v>116</v>
      </c>
      <c r="C419" s="559">
        <v>750</v>
      </c>
      <c r="D419" s="559">
        <v>442.76</v>
      </c>
      <c r="E419" s="652">
        <v>2.83</v>
      </c>
      <c r="F419" s="652">
        <v>1.56</v>
      </c>
      <c r="G419" s="653">
        <v>1.9</v>
      </c>
      <c r="H419" s="559">
        <v>750</v>
      </c>
      <c r="I419" s="559">
        <v>480.59</v>
      </c>
      <c r="J419" s="260">
        <v>0</v>
      </c>
      <c r="K419" s="260">
        <v>0</v>
      </c>
      <c r="L419" s="548">
        <v>0</v>
      </c>
      <c r="M419" s="559">
        <v>750</v>
      </c>
      <c r="N419" s="649">
        <v>471.07</v>
      </c>
      <c r="O419" s="559">
        <v>1.66</v>
      </c>
      <c r="P419" s="559">
        <v>2.0699999999999998</v>
      </c>
      <c r="Q419" s="559">
        <v>1.87</v>
      </c>
      <c r="R419" s="559">
        <v>750</v>
      </c>
      <c r="S419" s="649">
        <v>451.8</v>
      </c>
      <c r="T419" s="649">
        <v>1.88</v>
      </c>
      <c r="U419" s="649">
        <v>2.13</v>
      </c>
      <c r="V419" s="649">
        <v>2.66</v>
      </c>
      <c r="W419" s="5"/>
      <c r="X419" s="650">
        <v>750</v>
      </c>
      <c r="Y419" s="651">
        <f t="shared" si="370"/>
        <v>0.20966666666666672</v>
      </c>
      <c r="Z419" s="620">
        <v>9.6440000000000001</v>
      </c>
      <c r="AA419" s="620">
        <v>4.5170000000000003</v>
      </c>
      <c r="AB419" s="620">
        <f t="shared" si="371"/>
        <v>4.9173333333333327</v>
      </c>
      <c r="AC419" s="620">
        <f t="shared" si="372"/>
        <v>33.658666666666669</v>
      </c>
      <c r="AD419" s="653">
        <f t="shared" si="373"/>
        <v>130.15362105599999</v>
      </c>
      <c r="AE419" s="650">
        <v>750</v>
      </c>
      <c r="AF419" s="620">
        <f t="shared" si="374"/>
        <v>0</v>
      </c>
      <c r="AG419" s="620">
        <v>9.6440000000000001</v>
      </c>
      <c r="AH419" s="620">
        <v>4.5170000000000003</v>
      </c>
      <c r="AI419" s="620">
        <f t="shared" si="375"/>
        <v>5.1269999999999998</v>
      </c>
      <c r="AJ419" s="620">
        <f t="shared" si="376"/>
        <v>33.449000000000005</v>
      </c>
      <c r="AK419" s="653">
        <f t="shared" si="377"/>
        <v>134.857825961625</v>
      </c>
      <c r="AL419" s="650">
        <v>750</v>
      </c>
      <c r="AM419" s="620">
        <f t="shared" si="378"/>
        <v>0.18666666666666665</v>
      </c>
      <c r="AN419" s="620">
        <v>9.6440000000000001</v>
      </c>
      <c r="AO419" s="620">
        <v>4.5170000000000003</v>
      </c>
      <c r="AP419" s="620">
        <f t="shared" si="379"/>
        <v>4.9403333333333332</v>
      </c>
      <c r="AQ419" s="620">
        <f t="shared" si="380"/>
        <v>33.635666666666673</v>
      </c>
      <c r="AR419" s="698">
        <f t="shared" si="381"/>
        <v>130.67303878162502</v>
      </c>
      <c r="AS419" s="650">
        <v>750</v>
      </c>
      <c r="AT419" s="620">
        <f t="shared" si="382"/>
        <v>0.22233333333333333</v>
      </c>
      <c r="AU419" s="620">
        <v>9.6440000000000001</v>
      </c>
      <c r="AV419" s="620">
        <v>4.5170000000000003</v>
      </c>
      <c r="AW419" s="620">
        <f t="shared" si="383"/>
        <v>4.9046666666666665</v>
      </c>
      <c r="AX419" s="620">
        <f t="shared" si="384"/>
        <v>33.671333333333337</v>
      </c>
      <c r="AY419" s="698">
        <f t="shared" si="385"/>
        <v>129.8672096505</v>
      </c>
      <c r="AZ419" s="75"/>
      <c r="BA419" s="650">
        <v>750</v>
      </c>
      <c r="BB419" s="620">
        <v>103.50685607036536</v>
      </c>
      <c r="BC419" s="720">
        <f>(BB431-BB432)/BB413</f>
        <v>1.1103612298094441</v>
      </c>
      <c r="BD419" s="714">
        <f>D419-BB429</f>
        <v>39.259999999999991</v>
      </c>
      <c r="BE419" s="693">
        <f>BB431-BB432</f>
        <v>114.93</v>
      </c>
      <c r="BF419" s="693">
        <f t="shared" si="386"/>
        <v>34.159923431654036</v>
      </c>
      <c r="BG419" s="668">
        <f t="shared" si="387"/>
        <v>37.929854591767821</v>
      </c>
      <c r="BH419" s="650">
        <v>750</v>
      </c>
      <c r="BI419" s="620">
        <v>103.50685607036536</v>
      </c>
      <c r="BJ419" s="720">
        <f>(BI431-BI432)/BI413</f>
        <v>1.5563220265379214</v>
      </c>
      <c r="BK419" s="714">
        <f>I419-BI429</f>
        <v>31.060000000000002</v>
      </c>
      <c r="BL419" s="693">
        <f>BI431-BI432</f>
        <v>161.08999999999997</v>
      </c>
      <c r="BM419" s="693">
        <f t="shared" si="388"/>
        <v>19.28114718480353</v>
      </c>
      <c r="BN419" s="668">
        <f t="shared" si="389"/>
        <v>30.007674060629366</v>
      </c>
      <c r="BO419" s="650">
        <v>750</v>
      </c>
      <c r="BP419" s="681">
        <v>103.50685607036536</v>
      </c>
      <c r="BQ419" s="720">
        <f>(BP431-BP432)/BP413</f>
        <v>1.4550726948716644</v>
      </c>
      <c r="BR419" s="714">
        <f>N419-BP429</f>
        <v>32.389999999999986</v>
      </c>
      <c r="BS419" s="693">
        <f>BP431-BP432</f>
        <v>150.61000000000001</v>
      </c>
      <c r="BT419" s="693">
        <f t="shared" si="390"/>
        <v>21.505876103844354</v>
      </c>
      <c r="BU419" s="668">
        <f t="shared" si="391"/>
        <v>31.292613097996934</v>
      </c>
      <c r="BV419" s="650">
        <v>750</v>
      </c>
      <c r="BW419" s="620">
        <v>103.50685607036536</v>
      </c>
      <c r="BX419" s="720">
        <f>(BW431-BW432)/BW413</f>
        <v>1.2259091312148296</v>
      </c>
      <c r="BY419" s="714">
        <f>S419-BW429</f>
        <v>37.510000000000048</v>
      </c>
      <c r="BZ419" s="693">
        <f>BW431-BW432</f>
        <v>126.89</v>
      </c>
      <c r="CA419" s="693">
        <f t="shared" si="392"/>
        <v>29.561037118764322</v>
      </c>
      <c r="CB419" s="668">
        <f t="shared" si="393"/>
        <v>36.239145332073697</v>
      </c>
      <c r="CC419" s="560"/>
    </row>
    <row r="420" spans="1:81" ht="15.75">
      <c r="A420" s="564"/>
      <c r="B420" s="585" t="s">
        <v>116</v>
      </c>
      <c r="C420" s="559">
        <v>850</v>
      </c>
      <c r="D420" s="559">
        <v>441.86</v>
      </c>
      <c r="E420" s="652">
        <v>2.84</v>
      </c>
      <c r="F420" s="652">
        <v>2.0699999999999998</v>
      </c>
      <c r="G420" s="653">
        <v>2.0099999999999998</v>
      </c>
      <c r="H420" s="559">
        <v>850</v>
      </c>
      <c r="I420" s="559">
        <v>480.01</v>
      </c>
      <c r="J420" s="260">
        <v>0</v>
      </c>
      <c r="K420" s="260">
        <v>0</v>
      </c>
      <c r="L420" s="548">
        <v>0</v>
      </c>
      <c r="M420" s="559">
        <v>850</v>
      </c>
      <c r="N420" s="649">
        <v>470.44</v>
      </c>
      <c r="O420" s="559">
        <v>2</v>
      </c>
      <c r="P420" s="559">
        <v>1.89</v>
      </c>
      <c r="Q420" s="559">
        <v>2.0499999999999998</v>
      </c>
      <c r="R420" s="559">
        <v>850</v>
      </c>
      <c r="S420" s="649">
        <v>451.05</v>
      </c>
      <c r="T420" s="649">
        <v>2.68</v>
      </c>
      <c r="U420" s="649">
        <v>2.6</v>
      </c>
      <c r="V420" s="649">
        <v>3.04</v>
      </c>
      <c r="W420" s="5"/>
      <c r="X420" s="650">
        <v>850</v>
      </c>
      <c r="Y420" s="651">
        <f t="shared" si="370"/>
        <v>0.23066666666666666</v>
      </c>
      <c r="Z420" s="620">
        <v>9.6440000000000001</v>
      </c>
      <c r="AA420" s="620">
        <v>4.5170000000000003</v>
      </c>
      <c r="AB420" s="620">
        <f t="shared" si="371"/>
        <v>4.8963333333333328</v>
      </c>
      <c r="AC420" s="620">
        <f t="shared" si="372"/>
        <v>33.67966666666667</v>
      </c>
      <c r="AD420" s="653">
        <f t="shared" si="373"/>
        <v>166.56501317921166</v>
      </c>
      <c r="AE420" s="650">
        <v>850</v>
      </c>
      <c r="AF420" s="620">
        <f t="shared" si="374"/>
        <v>0</v>
      </c>
      <c r="AG420" s="620">
        <v>9.6440000000000001</v>
      </c>
      <c r="AH420" s="620">
        <v>4.5170000000000003</v>
      </c>
      <c r="AI420" s="620">
        <f t="shared" si="375"/>
        <v>5.1269999999999998</v>
      </c>
      <c r="AJ420" s="620">
        <f t="shared" si="376"/>
        <v>33.449000000000005</v>
      </c>
      <c r="AK420" s="653">
        <f t="shared" si="377"/>
        <v>173.21738534626502</v>
      </c>
      <c r="AL420" s="650">
        <v>850</v>
      </c>
      <c r="AM420" s="620">
        <f t="shared" si="378"/>
        <v>0.19799999999999998</v>
      </c>
      <c r="AN420" s="620">
        <v>9.6440000000000001</v>
      </c>
      <c r="AO420" s="620">
        <v>4.5170000000000003</v>
      </c>
      <c r="AP420" s="620">
        <f t="shared" si="379"/>
        <v>4.9289999999999994</v>
      </c>
      <c r="AQ420" s="620">
        <f t="shared" si="380"/>
        <v>33.647000000000006</v>
      </c>
      <c r="AR420" s="698">
        <f t="shared" si="381"/>
        <v>167.51364516346499</v>
      </c>
      <c r="AS420" s="650">
        <v>850</v>
      </c>
      <c r="AT420" s="620">
        <f t="shared" si="382"/>
        <v>0.27733333333333332</v>
      </c>
      <c r="AU420" s="620">
        <v>9.6440000000000001</v>
      </c>
      <c r="AV420" s="620">
        <v>4.5170000000000003</v>
      </c>
      <c r="AW420" s="620">
        <f t="shared" si="383"/>
        <v>4.8496666666666668</v>
      </c>
      <c r="AX420" s="620">
        <f t="shared" si="384"/>
        <v>33.726333333333336</v>
      </c>
      <c r="AY420" s="698">
        <f t="shared" si="385"/>
        <v>165.20608518221167</v>
      </c>
      <c r="AZ420" s="75"/>
      <c r="BA420" s="650">
        <v>850</v>
      </c>
      <c r="BB420" s="620">
        <v>103.50685607036536</v>
      </c>
      <c r="BC420" s="720">
        <f>(BB431-BB432)/BB413</f>
        <v>1.1103612298094441</v>
      </c>
      <c r="BD420" s="714">
        <f>D420-BB429</f>
        <v>38.360000000000014</v>
      </c>
      <c r="BE420" s="693">
        <f>BB431-BB432</f>
        <v>114.93</v>
      </c>
      <c r="BF420" s="693">
        <f t="shared" si="386"/>
        <v>33.376838075350221</v>
      </c>
      <c r="BG420" s="668">
        <f t="shared" si="387"/>
        <v>37.060346972496554</v>
      </c>
      <c r="BH420" s="650">
        <v>850</v>
      </c>
      <c r="BI420" s="620">
        <v>103.50685607036536</v>
      </c>
      <c r="BJ420" s="720">
        <f>(BI431-BI432)/BI413</f>
        <v>1.5563220265379214</v>
      </c>
      <c r="BK420" s="714">
        <f>I420-BI429</f>
        <v>30.480000000000018</v>
      </c>
      <c r="BL420" s="693">
        <f>BI431-BI432</f>
        <v>161.08999999999997</v>
      </c>
      <c r="BM420" s="693">
        <f t="shared" si="388"/>
        <v>18.921100006207723</v>
      </c>
      <c r="BN420" s="668">
        <f t="shared" si="389"/>
        <v>29.447324705987882</v>
      </c>
      <c r="BO420" s="650">
        <v>850</v>
      </c>
      <c r="BP420" s="681">
        <v>103.50685607036536</v>
      </c>
      <c r="BQ420" s="720">
        <f>(BP431-BP432)/BP413</f>
        <v>1.4550726948716644</v>
      </c>
      <c r="BR420" s="714">
        <f>N420-BP429</f>
        <v>31.759999999999991</v>
      </c>
      <c r="BS420" s="693">
        <f>BP431-BP432</f>
        <v>150.61000000000001</v>
      </c>
      <c r="BT420" s="693">
        <f t="shared" si="390"/>
        <v>21.087577186109812</v>
      </c>
      <c r="BU420" s="668">
        <f t="shared" si="391"/>
        <v>30.683957764507031</v>
      </c>
      <c r="BV420" s="650">
        <v>850</v>
      </c>
      <c r="BW420" s="620">
        <v>103.50685607036536</v>
      </c>
      <c r="BX420" s="720">
        <f>(BW431-BW432)/BW413</f>
        <v>1.2259091312148296</v>
      </c>
      <c r="BY420" s="714">
        <f>S420-BW429</f>
        <v>36.760000000000048</v>
      </c>
      <c r="BZ420" s="693">
        <f>BW431-BW432</f>
        <v>126.89</v>
      </c>
      <c r="CA420" s="693">
        <f t="shared" si="392"/>
        <v>28.969973993222514</v>
      </c>
      <c r="CB420" s="668">
        <f t="shared" si="393"/>
        <v>35.514555649347621</v>
      </c>
      <c r="CC420" s="560"/>
    </row>
    <row r="421" spans="1:81" ht="15.75">
      <c r="A421" s="564"/>
      <c r="B421" s="585" t="s">
        <v>116</v>
      </c>
      <c r="C421" s="559">
        <v>950</v>
      </c>
      <c r="D421" s="559">
        <v>441.08</v>
      </c>
      <c r="E421" s="652">
        <v>2.27</v>
      </c>
      <c r="F421" s="652">
        <v>2.4700000000000002</v>
      </c>
      <c r="G421" s="653">
        <v>3.11</v>
      </c>
      <c r="H421" s="559">
        <v>950</v>
      </c>
      <c r="I421" s="559">
        <v>479.55</v>
      </c>
      <c r="J421" s="260">
        <v>0</v>
      </c>
      <c r="K421" s="260">
        <v>0</v>
      </c>
      <c r="L421" s="548">
        <v>0</v>
      </c>
      <c r="M421" s="559">
        <v>950</v>
      </c>
      <c r="N421" s="649">
        <v>469.8</v>
      </c>
      <c r="O421" s="559">
        <v>2.59</v>
      </c>
      <c r="P421" s="559">
        <v>2.5</v>
      </c>
      <c r="Q421" s="559">
        <v>2.23</v>
      </c>
      <c r="R421" s="559">
        <v>950</v>
      </c>
      <c r="S421" s="649">
        <v>450.31</v>
      </c>
      <c r="T421" s="649">
        <v>2.44</v>
      </c>
      <c r="U421" s="649">
        <v>3.09</v>
      </c>
      <c r="V421" s="649">
        <v>3.02</v>
      </c>
      <c r="W421" s="5"/>
      <c r="X421" s="650">
        <v>950</v>
      </c>
      <c r="Y421" s="651">
        <f t="shared" si="370"/>
        <v>0.26166666666666666</v>
      </c>
      <c r="Z421" s="620">
        <v>9.6440000000000001</v>
      </c>
      <c r="AA421" s="620">
        <v>4.5170000000000003</v>
      </c>
      <c r="AB421" s="620">
        <f t="shared" si="371"/>
        <v>4.8653333333333331</v>
      </c>
      <c r="AC421" s="620">
        <f t="shared" si="372"/>
        <v>33.710666666666668</v>
      </c>
      <c r="AD421" s="653">
        <f t="shared" si="373"/>
        <v>206.93517718322664</v>
      </c>
      <c r="AE421" s="650">
        <v>950</v>
      </c>
      <c r="AF421" s="620">
        <f t="shared" si="374"/>
        <v>0</v>
      </c>
      <c r="AG421" s="620">
        <v>9.6440000000000001</v>
      </c>
      <c r="AH421" s="620">
        <v>4.5170000000000003</v>
      </c>
      <c r="AI421" s="620">
        <f t="shared" si="375"/>
        <v>5.1269999999999998</v>
      </c>
      <c r="AJ421" s="620">
        <f t="shared" si="376"/>
        <v>33.449000000000005</v>
      </c>
      <c r="AK421" s="653">
        <f t="shared" si="377"/>
        <v>216.37188965398499</v>
      </c>
      <c r="AL421" s="650">
        <v>950</v>
      </c>
      <c r="AM421" s="620">
        <f t="shared" si="378"/>
        <v>0.24399999999999999</v>
      </c>
      <c r="AN421" s="620">
        <v>9.6440000000000001</v>
      </c>
      <c r="AO421" s="620">
        <v>4.5170000000000003</v>
      </c>
      <c r="AP421" s="620">
        <f t="shared" si="379"/>
        <v>4.883</v>
      </c>
      <c r="AQ421" s="620">
        <f t="shared" si="380"/>
        <v>33.693000000000005</v>
      </c>
      <c r="AR421" s="698">
        <f t="shared" si="381"/>
        <v>207.577744287705</v>
      </c>
      <c r="AS421" s="650">
        <v>950</v>
      </c>
      <c r="AT421" s="620">
        <f t="shared" si="382"/>
        <v>0.28499999999999998</v>
      </c>
      <c r="AU421" s="620">
        <v>9.6440000000000001</v>
      </c>
      <c r="AV421" s="620">
        <v>4.5170000000000003</v>
      </c>
      <c r="AW421" s="620">
        <f t="shared" si="383"/>
        <v>4.8419999999999996</v>
      </c>
      <c r="AX421" s="620">
        <f t="shared" si="384"/>
        <v>33.734000000000002</v>
      </c>
      <c r="AY421" s="698">
        <f t="shared" si="385"/>
        <v>206.08529662745997</v>
      </c>
      <c r="AZ421" s="75"/>
      <c r="BA421" s="650">
        <v>950</v>
      </c>
      <c r="BB421" s="620">
        <v>103.50685607036536</v>
      </c>
      <c r="BC421" s="720">
        <f>(BB431-BB432)/BB413</f>
        <v>1.1103612298094441</v>
      </c>
      <c r="BD421" s="714">
        <f>D421-BB429</f>
        <v>37.579999999999984</v>
      </c>
      <c r="BE421" s="693">
        <f>BB431-BB432</f>
        <v>114.93</v>
      </c>
      <c r="BF421" s="693">
        <f t="shared" si="386"/>
        <v>32.698164099886874</v>
      </c>
      <c r="BG421" s="668">
        <f t="shared" si="387"/>
        <v>36.306773702461406</v>
      </c>
      <c r="BH421" s="650">
        <v>950</v>
      </c>
      <c r="BI421" s="620">
        <v>103.50685607036536</v>
      </c>
      <c r="BJ421" s="720">
        <f>(BI431-BI432)/BI413</f>
        <v>1.5563220265379214</v>
      </c>
      <c r="BK421" s="714">
        <f>I421-BI429</f>
        <v>30.020000000000039</v>
      </c>
      <c r="BL421" s="693">
        <f>BI431-BI432</f>
        <v>161.08999999999997</v>
      </c>
      <c r="BM421" s="693">
        <f t="shared" si="388"/>
        <v>18.635545347321401</v>
      </c>
      <c r="BN421" s="668">
        <f t="shared" si="389"/>
        <v>29.002909700582574</v>
      </c>
      <c r="BO421" s="650">
        <v>950</v>
      </c>
      <c r="BP421" s="681">
        <v>103.50685607036536</v>
      </c>
      <c r="BQ421" s="720">
        <f>(BP431-BP432)/BP413</f>
        <v>1.4550726948716644</v>
      </c>
      <c r="BR421" s="714">
        <f>N421-BP429</f>
        <v>31.120000000000005</v>
      </c>
      <c r="BS421" s="693">
        <f>BP431-BP432</f>
        <v>150.61000000000001</v>
      </c>
      <c r="BT421" s="693">
        <f t="shared" si="390"/>
        <v>20.662638603014411</v>
      </c>
      <c r="BU421" s="668">
        <f t="shared" si="391"/>
        <v>30.065641235247462</v>
      </c>
      <c r="BV421" s="650">
        <v>950</v>
      </c>
      <c r="BW421" s="620">
        <v>103.50685607036536</v>
      </c>
      <c r="BX421" s="720">
        <f>(BW431-BW432)/BW413</f>
        <v>1.2259091312148296</v>
      </c>
      <c r="BY421" s="714">
        <f>S421-BW429</f>
        <v>36.020000000000039</v>
      </c>
      <c r="BZ421" s="693">
        <f>BW431-BW432</f>
        <v>126.89</v>
      </c>
      <c r="CA421" s="693">
        <f t="shared" si="392"/>
        <v>28.386791709354593</v>
      </c>
      <c r="CB421" s="668">
        <f t="shared" si="393"/>
        <v>34.799627162391218</v>
      </c>
      <c r="CC421" s="560"/>
    </row>
    <row r="422" spans="1:81" ht="15.75">
      <c r="A422" s="564"/>
      <c r="B422" s="585" t="s">
        <v>116</v>
      </c>
      <c r="C422" s="559">
        <v>1000</v>
      </c>
      <c r="D422" s="559">
        <v>440.59</v>
      </c>
      <c r="E422" s="652">
        <v>2.62</v>
      </c>
      <c r="F422" s="652">
        <v>2.5499999999999998</v>
      </c>
      <c r="G422" s="653">
        <v>2.84</v>
      </c>
      <c r="H422" s="559">
        <v>1000</v>
      </c>
      <c r="I422" s="559">
        <v>479.13</v>
      </c>
      <c r="J422" s="260">
        <v>0</v>
      </c>
      <c r="K422" s="260">
        <v>0</v>
      </c>
      <c r="L422" s="548">
        <v>0</v>
      </c>
      <c r="M422" s="559">
        <v>1000</v>
      </c>
      <c r="N422" s="559">
        <v>469.34</v>
      </c>
      <c r="O422" s="649">
        <v>2.59</v>
      </c>
      <c r="P422" s="559">
        <v>3.09</v>
      </c>
      <c r="Q422" s="559">
        <v>2.31</v>
      </c>
      <c r="R422" s="559">
        <v>1000</v>
      </c>
      <c r="S422" s="649">
        <v>449.77</v>
      </c>
      <c r="T422" s="649">
        <v>3.1</v>
      </c>
      <c r="U422" s="649">
        <v>3.6</v>
      </c>
      <c r="V422" s="649">
        <v>2.66</v>
      </c>
      <c r="W422" s="5"/>
      <c r="X422" s="650">
        <v>1000</v>
      </c>
      <c r="Y422" s="651">
        <f t="shared" si="370"/>
        <v>0.26700000000000002</v>
      </c>
      <c r="Z422" s="620">
        <v>9.6440000000000001</v>
      </c>
      <c r="AA422" s="620">
        <v>4.5170000000000003</v>
      </c>
      <c r="AB422" s="620">
        <f t="shared" si="371"/>
        <v>4.8599999999999994</v>
      </c>
      <c r="AC422" s="620">
        <f t="shared" si="372"/>
        <v>33.716000000000008</v>
      </c>
      <c r="AD422" s="653">
        <f t="shared" si="373"/>
        <v>229.07594447999998</v>
      </c>
      <c r="AE422" s="650">
        <v>1000</v>
      </c>
      <c r="AF422" s="620">
        <f t="shared" si="374"/>
        <v>0</v>
      </c>
      <c r="AG422" s="620">
        <v>9.6440000000000001</v>
      </c>
      <c r="AH422" s="620">
        <v>4.5170000000000003</v>
      </c>
      <c r="AI422" s="620">
        <f t="shared" si="375"/>
        <v>5.1269999999999998</v>
      </c>
      <c r="AJ422" s="620">
        <f t="shared" si="376"/>
        <v>33.449000000000005</v>
      </c>
      <c r="AK422" s="653">
        <f t="shared" si="377"/>
        <v>239.74724615399998</v>
      </c>
      <c r="AL422" s="650">
        <v>1000</v>
      </c>
      <c r="AM422" s="620">
        <f>AVERAGE(P422:Q422)/10</f>
        <v>0.27</v>
      </c>
      <c r="AN422" s="620">
        <v>9.6440000000000001</v>
      </c>
      <c r="AO422" s="620">
        <v>4.5170000000000003</v>
      </c>
      <c r="AP422" s="620">
        <f t="shared" si="379"/>
        <v>4.8569999999999993</v>
      </c>
      <c r="AQ422" s="620">
        <f t="shared" si="380"/>
        <v>33.719000000000008</v>
      </c>
      <c r="AR422" s="698">
        <f t="shared" si="381"/>
        <v>228.95490983399998</v>
      </c>
      <c r="AS422" s="650">
        <v>1000</v>
      </c>
      <c r="AT422" s="620">
        <f t="shared" si="382"/>
        <v>0.31199999999999994</v>
      </c>
      <c r="AU422" s="620">
        <v>9.6440000000000001</v>
      </c>
      <c r="AV422" s="620">
        <v>4.5170000000000003</v>
      </c>
      <c r="AW422" s="620">
        <f t="shared" si="383"/>
        <v>4.8149999999999995</v>
      </c>
      <c r="AX422" s="620">
        <f t="shared" si="384"/>
        <v>33.761000000000003</v>
      </c>
      <c r="AY422" s="698">
        <f t="shared" si="385"/>
        <v>227.25778256999993</v>
      </c>
      <c r="AZ422" s="75"/>
      <c r="BA422" s="650">
        <v>1000</v>
      </c>
      <c r="BB422" s="620">
        <v>103.50685607036536</v>
      </c>
      <c r="BC422" s="720">
        <f>(BB431-BB432)/BB413</f>
        <v>1.1103612298094441</v>
      </c>
      <c r="BD422" s="714">
        <f>D422-BB429</f>
        <v>37.089999999999975</v>
      </c>
      <c r="BE422" s="693">
        <f>BB431-BB432</f>
        <v>114.93</v>
      </c>
      <c r="BF422" s="693">
        <f t="shared" si="386"/>
        <v>32.27181762812144</v>
      </c>
      <c r="BG422" s="668">
        <f t="shared" si="387"/>
        <v>35.833375109747017</v>
      </c>
      <c r="BH422" s="650">
        <v>1000</v>
      </c>
      <c r="BI422" s="620">
        <v>103.50685607036536</v>
      </c>
      <c r="BJ422" s="720">
        <f>(BI431-BI432)/BI413</f>
        <v>1.5563220265379214</v>
      </c>
      <c r="BK422" s="714">
        <f>I422-BI429</f>
        <v>29.600000000000023</v>
      </c>
      <c r="BL422" s="693">
        <f>BI431-BI432</f>
        <v>161.08999999999997</v>
      </c>
      <c r="BM422" s="693">
        <f t="shared" si="388"/>
        <v>18.374821528338213</v>
      </c>
      <c r="BN422" s="668">
        <f t="shared" si="389"/>
        <v>28.597139478255954</v>
      </c>
      <c r="BO422" s="650">
        <v>1000</v>
      </c>
      <c r="BP422" s="681">
        <v>103.50685607036536</v>
      </c>
      <c r="BQ422" s="720">
        <f>(BP431-BP432)/BP413</f>
        <v>1.4550726948716644</v>
      </c>
      <c r="BR422" s="714">
        <f>N422-BP429</f>
        <v>30.659999999999968</v>
      </c>
      <c r="BS422" s="693">
        <f>BP431-BP432</f>
        <v>150.61000000000001</v>
      </c>
      <c r="BT422" s="693">
        <f t="shared" si="390"/>
        <v>20.357213996414558</v>
      </c>
      <c r="BU422" s="668">
        <f t="shared" si="391"/>
        <v>29.621226229842094</v>
      </c>
      <c r="BV422" s="650">
        <v>1000</v>
      </c>
      <c r="BW422" s="620">
        <v>103.50685607036536</v>
      </c>
      <c r="BX422" s="720">
        <f>(BW431-BW432)/BW413</f>
        <v>1.2259091312148296</v>
      </c>
      <c r="BY422" s="714">
        <f>S422-BW429</f>
        <v>35.480000000000018</v>
      </c>
      <c r="BZ422" s="693">
        <f>BW431-BW432</f>
        <v>126.89</v>
      </c>
      <c r="CA422" s="693">
        <f t="shared" si="392"/>
        <v>27.961226258964473</v>
      </c>
      <c r="CB422" s="668">
        <f t="shared" si="393"/>
        <v>34.277922590828418</v>
      </c>
      <c r="CC422" s="560"/>
    </row>
    <row r="423" spans="1:81" ht="15.75">
      <c r="A423" s="564"/>
      <c r="B423" s="585" t="s">
        <v>116</v>
      </c>
      <c r="C423" s="559">
        <v>1350</v>
      </c>
      <c r="D423" s="559">
        <v>438.37</v>
      </c>
      <c r="E423" s="652">
        <v>3.85</v>
      </c>
      <c r="F423" s="652">
        <v>2.9</v>
      </c>
      <c r="G423" s="653">
        <v>3.01</v>
      </c>
      <c r="H423" s="559">
        <v>1350</v>
      </c>
      <c r="I423" s="559">
        <v>477.98</v>
      </c>
      <c r="J423" s="620">
        <v>1.8</v>
      </c>
      <c r="K423" s="649">
        <v>1.6</v>
      </c>
      <c r="L423" s="619">
        <v>1.52</v>
      </c>
      <c r="M423" s="559">
        <v>1350</v>
      </c>
      <c r="N423" s="649">
        <v>468.31</v>
      </c>
      <c r="O423" s="559">
        <v>3.03</v>
      </c>
      <c r="P423" s="559">
        <v>3.21</v>
      </c>
      <c r="Q423" s="559">
        <v>2.79</v>
      </c>
      <c r="R423" s="559">
        <v>1350</v>
      </c>
      <c r="S423" s="649">
        <v>448.43</v>
      </c>
      <c r="T423" s="649">
        <v>4.16</v>
      </c>
      <c r="U423" s="649">
        <v>3.48</v>
      </c>
      <c r="V423" s="649">
        <v>3.22</v>
      </c>
      <c r="W423" s="5"/>
      <c r="X423" s="650">
        <v>1350</v>
      </c>
      <c r="Y423" s="651">
        <f t="shared" si="370"/>
        <v>0.32533333333333336</v>
      </c>
      <c r="Z423" s="620">
        <v>9.6440000000000001</v>
      </c>
      <c r="AA423" s="620">
        <v>4.5170000000000003</v>
      </c>
      <c r="AB423" s="620">
        <f t="shared" si="371"/>
        <v>4.8016666666666667</v>
      </c>
      <c r="AC423" s="620">
        <f t="shared" si="372"/>
        <v>33.774333333333338</v>
      </c>
      <c r="AD423" s="653">
        <f t="shared" si="373"/>
        <v>413.19351963742503</v>
      </c>
      <c r="AE423" s="650">
        <v>1350</v>
      </c>
      <c r="AF423" s="620">
        <f t="shared" si="374"/>
        <v>0.16399999999999998</v>
      </c>
      <c r="AG423" s="620">
        <v>9.6440000000000001</v>
      </c>
      <c r="AH423" s="620">
        <v>4.5170000000000003</v>
      </c>
      <c r="AI423" s="620">
        <f t="shared" si="375"/>
        <v>4.9630000000000001</v>
      </c>
      <c r="AJ423" s="620">
        <f t="shared" si="376"/>
        <v>33.613000000000007</v>
      </c>
      <c r="AK423" s="653">
        <f t="shared" si="377"/>
        <v>425.03653172074502</v>
      </c>
      <c r="AL423" s="650">
        <v>1350</v>
      </c>
      <c r="AM423" s="620">
        <f t="shared" ref="AM423:AM428" si="394">AVERAGE(O423:Q423)/10</f>
        <v>0.30100000000000005</v>
      </c>
      <c r="AN423" s="620">
        <v>9.6440000000000001</v>
      </c>
      <c r="AO423" s="620">
        <v>4.5170000000000003</v>
      </c>
      <c r="AP423" s="620">
        <f t="shared" si="379"/>
        <v>4.8259999999999996</v>
      </c>
      <c r="AQ423" s="620">
        <f t="shared" si="380"/>
        <v>33.750000000000007</v>
      </c>
      <c r="AR423" s="698">
        <f t="shared" si="381"/>
        <v>414.98825276250005</v>
      </c>
      <c r="AS423" s="650">
        <v>1350</v>
      </c>
      <c r="AT423" s="620">
        <f t="shared" si="382"/>
        <v>0.36200000000000004</v>
      </c>
      <c r="AU423" s="620">
        <v>9.6440000000000001</v>
      </c>
      <c r="AV423" s="620">
        <v>4.5170000000000003</v>
      </c>
      <c r="AW423" s="620">
        <f t="shared" si="383"/>
        <v>4.7649999999999997</v>
      </c>
      <c r="AX423" s="620">
        <f t="shared" si="384"/>
        <v>33.811000000000007</v>
      </c>
      <c r="AY423" s="698">
        <f t="shared" si="385"/>
        <v>410.48342855482503</v>
      </c>
      <c r="AZ423" s="75"/>
      <c r="BA423" s="650">
        <v>1350</v>
      </c>
      <c r="BB423" s="620">
        <v>103.50685607036536</v>
      </c>
      <c r="BC423" s="720">
        <f>(BB431-BB432)/BB413</f>
        <v>1.1103612298094441</v>
      </c>
      <c r="BD423" s="714">
        <f>D423-BB429</f>
        <v>34.870000000000005</v>
      </c>
      <c r="BE423" s="693">
        <f>BB431-BB432</f>
        <v>114.93</v>
      </c>
      <c r="BF423" s="693">
        <f t="shared" si="386"/>
        <v>30.340207082572</v>
      </c>
      <c r="BG423" s="668">
        <f t="shared" si="387"/>
        <v>33.688589648877851</v>
      </c>
      <c r="BH423" s="650">
        <v>1350</v>
      </c>
      <c r="BI423" s="620">
        <v>103.50685607036536</v>
      </c>
      <c r="BJ423" s="720">
        <f>(BI431-BI432)/BI413</f>
        <v>1.5563220265379214</v>
      </c>
      <c r="BK423" s="714">
        <f>I423-BI429</f>
        <v>28.450000000000045</v>
      </c>
      <c r="BL423" s="693">
        <f>BI431-BI432</f>
        <v>161.08999999999997</v>
      </c>
      <c r="BM423" s="693">
        <f t="shared" si="388"/>
        <v>17.660934881122383</v>
      </c>
      <c r="BN423" s="668">
        <f t="shared" si="389"/>
        <v>27.486101964742652</v>
      </c>
      <c r="BO423" s="650">
        <v>1350</v>
      </c>
      <c r="BP423" s="681">
        <v>103.50685607036536</v>
      </c>
      <c r="BQ423" s="720">
        <f>(BP431-BP432)/BP413</f>
        <v>1.4550726948716644</v>
      </c>
      <c r="BR423" s="714">
        <f>N423-BP429</f>
        <v>29.629999999999995</v>
      </c>
      <c r="BS423" s="693">
        <f>BP431-BP432</f>
        <v>150.61000000000001</v>
      </c>
      <c r="BT423" s="693">
        <f t="shared" si="390"/>
        <v>19.673328464245397</v>
      </c>
      <c r="BU423" s="668">
        <f t="shared" si="391"/>
        <v>28.626123065564972</v>
      </c>
      <c r="BV423" s="650">
        <v>1350</v>
      </c>
      <c r="BW423" s="620">
        <v>103.50685607036536</v>
      </c>
      <c r="BX423" s="720">
        <f>(BW431-BW432)/BW413</f>
        <v>1.2259091312148296</v>
      </c>
      <c r="BY423" s="714">
        <f>S423-BW429</f>
        <v>34.140000000000043</v>
      </c>
      <c r="BZ423" s="693">
        <f>BW431-BW432</f>
        <v>126.89</v>
      </c>
      <c r="CA423" s="693">
        <f t="shared" si="392"/>
        <v>26.905193474663129</v>
      </c>
      <c r="CB423" s="668">
        <f t="shared" si="393"/>
        <v>32.983322357691179</v>
      </c>
      <c r="CC423" s="560"/>
    </row>
    <row r="424" spans="1:81" ht="15.75">
      <c r="A424" s="564"/>
      <c r="B424" s="585" t="s">
        <v>116</v>
      </c>
      <c r="C424" s="559">
        <v>2500</v>
      </c>
      <c r="D424" s="559">
        <v>433.14</v>
      </c>
      <c r="E424" s="652">
        <v>7.04</v>
      </c>
      <c r="F424" s="652">
        <v>4.57</v>
      </c>
      <c r="G424" s="653">
        <v>4.26</v>
      </c>
      <c r="H424" s="559">
        <v>2500</v>
      </c>
      <c r="I424" s="559">
        <v>474.17</v>
      </c>
      <c r="J424" s="559">
        <v>1.99</v>
      </c>
      <c r="K424" s="649">
        <v>2.4700000000000002</v>
      </c>
      <c r="L424" s="588">
        <v>2.1</v>
      </c>
      <c r="M424" s="559">
        <v>2500</v>
      </c>
      <c r="N424" s="649">
        <v>465.93</v>
      </c>
      <c r="O424" s="559">
        <v>4.09</v>
      </c>
      <c r="P424" s="559">
        <v>3.85</v>
      </c>
      <c r="Q424" s="559">
        <v>4.05</v>
      </c>
      <c r="R424" s="559">
        <v>2500</v>
      </c>
      <c r="S424" s="649">
        <v>445.06</v>
      </c>
      <c r="T424" s="649">
        <v>6.14</v>
      </c>
      <c r="U424" s="649">
        <v>5.68</v>
      </c>
      <c r="V424" s="649">
        <v>5.16</v>
      </c>
      <c r="W424" s="5"/>
      <c r="X424" s="650">
        <v>2500</v>
      </c>
      <c r="Y424" s="651">
        <f t="shared" si="370"/>
        <v>0.52900000000000003</v>
      </c>
      <c r="Z424" s="620">
        <v>9.6440000000000001</v>
      </c>
      <c r="AA424" s="620">
        <v>4.5170000000000003</v>
      </c>
      <c r="AB424" s="620">
        <f t="shared" si="371"/>
        <v>4.5979999999999999</v>
      </c>
      <c r="AC424" s="620">
        <f t="shared" si="372"/>
        <v>33.978000000000009</v>
      </c>
      <c r="AD424" s="653">
        <f t="shared" si="373"/>
        <v>1365.0669994500001</v>
      </c>
      <c r="AE424" s="650">
        <v>2500</v>
      </c>
      <c r="AF424" s="620">
        <f t="shared" si="374"/>
        <v>0.2186666666666667</v>
      </c>
      <c r="AG424" s="620">
        <v>9.6440000000000001</v>
      </c>
      <c r="AH424" s="620">
        <v>4.5170000000000003</v>
      </c>
      <c r="AI424" s="620">
        <f t="shared" si="375"/>
        <v>4.9083333333333332</v>
      </c>
      <c r="AJ424" s="620">
        <f t="shared" si="376"/>
        <v>33.667666666666669</v>
      </c>
      <c r="AK424" s="653">
        <f t="shared" si="377"/>
        <v>1443.8904907291667</v>
      </c>
      <c r="AL424" s="650">
        <v>2500</v>
      </c>
      <c r="AM424" s="620">
        <f t="shared" si="394"/>
        <v>0.39966666666666661</v>
      </c>
      <c r="AN424" s="620">
        <v>9.6440000000000001</v>
      </c>
      <c r="AO424" s="620">
        <v>4.5170000000000003</v>
      </c>
      <c r="AP424" s="620">
        <f t="shared" si="379"/>
        <v>4.7273333333333332</v>
      </c>
      <c r="AQ424" s="620">
        <f t="shared" si="380"/>
        <v>33.848666666666674</v>
      </c>
      <c r="AR424" s="698">
        <f t="shared" si="381"/>
        <v>1398.1217153166667</v>
      </c>
      <c r="AS424" s="650">
        <v>2500</v>
      </c>
      <c r="AT424" s="620">
        <f t="shared" si="382"/>
        <v>0.56600000000000006</v>
      </c>
      <c r="AU424" s="620">
        <v>9.6440000000000001</v>
      </c>
      <c r="AV424" s="620">
        <v>4.5170000000000003</v>
      </c>
      <c r="AW424" s="620">
        <f t="shared" si="383"/>
        <v>4.5609999999999999</v>
      </c>
      <c r="AX424" s="620">
        <f t="shared" si="384"/>
        <v>34.015000000000008</v>
      </c>
      <c r="AY424" s="698">
        <f t="shared" si="385"/>
        <v>1355.5568510625001</v>
      </c>
      <c r="AZ424" s="75"/>
      <c r="BA424" s="650">
        <v>2500</v>
      </c>
      <c r="BB424" s="620">
        <v>103.50685607036536</v>
      </c>
      <c r="BC424" s="720">
        <f>(BB431-BB432)/BB413</f>
        <v>1.1103612298094441</v>
      </c>
      <c r="BD424" s="714">
        <f>D424-BB429</f>
        <v>29.639999999999986</v>
      </c>
      <c r="BE424" s="693">
        <f>BB431-BB432</f>
        <v>114.93</v>
      </c>
      <c r="BF424" s="693">
        <f t="shared" si="386"/>
        <v>25.789611067606355</v>
      </c>
      <c r="BG424" s="668">
        <f t="shared" si="387"/>
        <v>28.635784261334642</v>
      </c>
      <c r="BH424" s="650">
        <v>2500</v>
      </c>
      <c r="BI424" s="620">
        <v>103.50685607036536</v>
      </c>
      <c r="BJ424" s="720">
        <f>(BI431-BI432)/BI413</f>
        <v>1.5563220265379214</v>
      </c>
      <c r="BK424" s="714">
        <f>I424-BI429</f>
        <v>24.640000000000043</v>
      </c>
      <c r="BL424" s="693">
        <f>BI431-BI432</f>
        <v>161.08999999999997</v>
      </c>
      <c r="BM424" s="693">
        <f t="shared" si="388"/>
        <v>15.295797380346418</v>
      </c>
      <c r="BN424" s="668">
        <f t="shared" si="389"/>
        <v>23.805186376494166</v>
      </c>
      <c r="BO424" s="650">
        <v>2500</v>
      </c>
      <c r="BP424" s="681">
        <v>103.50685607036536</v>
      </c>
      <c r="BQ424" s="720">
        <f>(BP431-BP432)/BP413</f>
        <v>1.4550726948716644</v>
      </c>
      <c r="BR424" s="714">
        <f>N424-BP429</f>
        <v>27.25</v>
      </c>
      <c r="BS424" s="693">
        <f>BP431-BP432</f>
        <v>150.61000000000001</v>
      </c>
      <c r="BT424" s="693">
        <f t="shared" si="390"/>
        <v>18.093088108359336</v>
      </c>
      <c r="BU424" s="668">
        <f t="shared" si="391"/>
        <v>26.326758472380881</v>
      </c>
      <c r="BV424" s="650">
        <v>2500</v>
      </c>
      <c r="BW424" s="620">
        <v>103.50685607036536</v>
      </c>
      <c r="BX424" s="720">
        <f>(BW431-BW432)/BW413</f>
        <v>1.2259091312148296</v>
      </c>
      <c r="BY424" s="714">
        <f>S424-BW429</f>
        <v>30.770000000000039</v>
      </c>
      <c r="BZ424" s="693">
        <f>BW431-BW432</f>
        <v>126.89</v>
      </c>
      <c r="CA424" s="693">
        <f t="shared" si="392"/>
        <v>24.249349830561933</v>
      </c>
      <c r="CB424" s="668">
        <f t="shared" si="393"/>
        <v>29.727499383308654</v>
      </c>
      <c r="CC424" s="560"/>
    </row>
    <row r="425" spans="1:81" ht="15.75">
      <c r="A425" s="564"/>
      <c r="B425" s="585" t="s">
        <v>116</v>
      </c>
      <c r="C425" s="559">
        <v>5000</v>
      </c>
      <c r="D425" s="559">
        <v>427.33</v>
      </c>
      <c r="E425" s="652">
        <v>10.41</v>
      </c>
      <c r="F425" s="652">
        <v>7.35</v>
      </c>
      <c r="G425" s="653">
        <v>6.47</v>
      </c>
      <c r="H425" s="559">
        <v>5000</v>
      </c>
      <c r="I425" s="559">
        <v>468.8</v>
      </c>
      <c r="J425" s="559">
        <v>2.84</v>
      </c>
      <c r="K425" s="649">
        <v>3.66</v>
      </c>
      <c r="L425" s="588">
        <v>3.08</v>
      </c>
      <c r="M425" s="559">
        <v>5000</v>
      </c>
      <c r="N425" s="649">
        <v>462.56</v>
      </c>
      <c r="O425" s="559">
        <v>5.54</v>
      </c>
      <c r="P425" s="559">
        <v>5.3</v>
      </c>
      <c r="Q425" s="559">
        <v>5.54</v>
      </c>
      <c r="R425" s="559">
        <v>5000</v>
      </c>
      <c r="S425" s="649">
        <v>440.76</v>
      </c>
      <c r="T425" s="649">
        <v>8.7899999999999991</v>
      </c>
      <c r="U425" s="649">
        <v>9.1300000000000008</v>
      </c>
      <c r="V425" s="649">
        <v>8.23</v>
      </c>
      <c r="W425" s="5"/>
      <c r="X425" s="650">
        <v>5000</v>
      </c>
      <c r="Y425" s="651">
        <f t="shared" si="370"/>
        <v>0.80766666666666664</v>
      </c>
      <c r="Z425" s="620">
        <v>9.6440000000000001</v>
      </c>
      <c r="AA425" s="620">
        <v>4.5170000000000003</v>
      </c>
      <c r="AB425" s="620">
        <f t="shared" si="371"/>
        <v>4.3193333333333328</v>
      </c>
      <c r="AC425" s="620">
        <f t="shared" si="372"/>
        <v>34.256666666666675</v>
      </c>
      <c r="AD425" s="653">
        <f t="shared" si="373"/>
        <v>5171.4103796666668</v>
      </c>
      <c r="AE425" s="650">
        <v>5000</v>
      </c>
      <c r="AF425" s="620">
        <f t="shared" si="374"/>
        <v>0.31933333333333336</v>
      </c>
      <c r="AG425" s="620">
        <v>9.6440000000000001</v>
      </c>
      <c r="AH425" s="620">
        <v>4.5170000000000003</v>
      </c>
      <c r="AI425" s="620">
        <f t="shared" si="375"/>
        <v>4.8076666666666661</v>
      </c>
      <c r="AJ425" s="620">
        <f t="shared" si="376"/>
        <v>33.768333333333338</v>
      </c>
      <c r="AK425" s="653">
        <f t="shared" si="377"/>
        <v>5674.0238249166659</v>
      </c>
      <c r="AL425" s="650">
        <v>5000</v>
      </c>
      <c r="AM425" s="620">
        <f t="shared" si="394"/>
        <v>0.54600000000000004</v>
      </c>
      <c r="AN425" s="620">
        <v>9.6440000000000001</v>
      </c>
      <c r="AO425" s="620">
        <v>4.5170000000000003</v>
      </c>
      <c r="AP425" s="620">
        <f t="shared" si="379"/>
        <v>4.5809999999999995</v>
      </c>
      <c r="AQ425" s="620">
        <f t="shared" si="380"/>
        <v>33.995000000000005</v>
      </c>
      <c r="AR425" s="698">
        <f t="shared" si="381"/>
        <v>5442.8017702499992</v>
      </c>
      <c r="AS425" s="650">
        <v>5000</v>
      </c>
      <c r="AT425" s="620">
        <f t="shared" si="382"/>
        <v>0.8716666666666667</v>
      </c>
      <c r="AU425" s="620">
        <v>9.6440000000000001</v>
      </c>
      <c r="AV425" s="620">
        <v>4.5170000000000003</v>
      </c>
      <c r="AW425" s="620">
        <f t="shared" si="383"/>
        <v>4.2553333333333327</v>
      </c>
      <c r="AX425" s="620">
        <f t="shared" si="384"/>
        <v>34.320666666666675</v>
      </c>
      <c r="AY425" s="698">
        <f t="shared" si="385"/>
        <v>5104.3033972666663</v>
      </c>
      <c r="AZ425" s="75"/>
      <c r="BA425" s="650">
        <v>5000</v>
      </c>
      <c r="BB425" s="620">
        <v>103.50685607036536</v>
      </c>
      <c r="BC425" s="720">
        <f>(BB431-BB432)/BB413</f>
        <v>1.1103612298094441</v>
      </c>
      <c r="BD425" s="714">
        <f>D425-BB429</f>
        <v>23.829999999999984</v>
      </c>
      <c r="BE425" s="693">
        <f>BB431-BB432</f>
        <v>114.93</v>
      </c>
      <c r="BF425" s="693">
        <f t="shared" si="386"/>
        <v>20.734360045244919</v>
      </c>
      <c r="BG425" s="668">
        <f t="shared" si="387"/>
        <v>23.022629519149948</v>
      </c>
      <c r="BH425" s="650">
        <v>5000</v>
      </c>
      <c r="BI425" s="620">
        <v>103.50685607036536</v>
      </c>
      <c r="BJ425" s="720">
        <f>(BI431-BI432)/BI413</f>
        <v>1.5563220265379214</v>
      </c>
      <c r="BK425" s="714">
        <f>I425-BI429</f>
        <v>19.270000000000039</v>
      </c>
      <c r="BL425" s="693">
        <f>BI431-BI432</f>
        <v>161.08999999999997</v>
      </c>
      <c r="BM425" s="693">
        <f t="shared" si="388"/>
        <v>11.962257123347223</v>
      </c>
      <c r="BN425" s="668">
        <f t="shared" si="389"/>
        <v>18.617124248175436</v>
      </c>
      <c r="BO425" s="650">
        <v>5000</v>
      </c>
      <c r="BP425" s="681">
        <v>103.50685607036536</v>
      </c>
      <c r="BQ425" s="720">
        <f>(BP431-BP432)/BP413</f>
        <v>1.4550726948716644</v>
      </c>
      <c r="BR425" s="714">
        <f>N425-BP429</f>
        <v>23.879999999999995</v>
      </c>
      <c r="BS425" s="693">
        <f>BP431-BP432</f>
        <v>150.61000000000001</v>
      </c>
      <c r="BT425" s="693">
        <f t="shared" si="390"/>
        <v>15.855520881747557</v>
      </c>
      <c r="BU425" s="668">
        <f t="shared" si="391"/>
        <v>23.070935497998367</v>
      </c>
      <c r="BV425" s="650">
        <v>5000</v>
      </c>
      <c r="BW425" s="620">
        <v>103.50685607036536</v>
      </c>
      <c r="BX425" s="720">
        <f>(BW431-BW432)/BW413</f>
        <v>1.2259091312148296</v>
      </c>
      <c r="BY425" s="714">
        <f>S425-BW429</f>
        <v>26.470000000000027</v>
      </c>
      <c r="BZ425" s="693">
        <f>BW431-BW432</f>
        <v>126.89</v>
      </c>
      <c r="CA425" s="693">
        <f t="shared" si="392"/>
        <v>20.860587910788894</v>
      </c>
      <c r="CB425" s="668">
        <f t="shared" si="393"/>
        <v>25.57318520234579</v>
      </c>
      <c r="CC425" s="560"/>
    </row>
    <row r="426" spans="1:81" ht="15.75">
      <c r="A426" s="564"/>
      <c r="B426" s="585" t="s">
        <v>116</v>
      </c>
      <c r="C426" s="559">
        <v>7000</v>
      </c>
      <c r="D426" s="559">
        <v>424.26</v>
      </c>
      <c r="E426" s="652">
        <v>11.7</v>
      </c>
      <c r="F426" s="652">
        <v>8.5299999999999994</v>
      </c>
      <c r="G426" s="653">
        <v>8.16</v>
      </c>
      <c r="H426" s="559">
        <v>7000</v>
      </c>
      <c r="I426" s="655">
        <v>466.28</v>
      </c>
      <c r="J426" s="559">
        <v>3.32</v>
      </c>
      <c r="K426" s="649">
        <v>3.44</v>
      </c>
      <c r="L426" s="588">
        <v>3.54</v>
      </c>
      <c r="M426" s="559">
        <v>7000</v>
      </c>
      <c r="N426" s="649">
        <v>460.06</v>
      </c>
      <c r="O426" s="649">
        <v>6.13</v>
      </c>
      <c r="P426" s="559">
        <v>6</v>
      </c>
      <c r="Q426" s="559">
        <v>6.81</v>
      </c>
      <c r="R426" s="559">
        <v>7000</v>
      </c>
      <c r="S426" s="649">
        <v>437.92</v>
      </c>
      <c r="T426" s="649">
        <v>10.08</v>
      </c>
      <c r="U426" s="649">
        <v>9.4600000000000009</v>
      </c>
      <c r="V426" s="649">
        <v>9.84</v>
      </c>
      <c r="W426" s="5"/>
      <c r="X426" s="650">
        <v>7000</v>
      </c>
      <c r="Y426" s="651">
        <f t="shared" si="370"/>
        <v>0.94633333333333325</v>
      </c>
      <c r="Z426" s="620">
        <v>9.6440000000000001</v>
      </c>
      <c r="AA426" s="620">
        <v>4.5170000000000003</v>
      </c>
      <c r="AB426" s="620">
        <f t="shared" si="371"/>
        <v>4.1806666666666663</v>
      </c>
      <c r="AC426" s="620">
        <f t="shared" si="372"/>
        <v>34.39533333333334</v>
      </c>
      <c r="AD426" s="653">
        <f t="shared" si="373"/>
        <v>9850.2741044026661</v>
      </c>
      <c r="AE426" s="650">
        <v>7000</v>
      </c>
      <c r="AF426" s="620">
        <f t="shared" si="374"/>
        <v>0.34333333333333338</v>
      </c>
      <c r="AG426" s="620">
        <v>9.6440000000000001</v>
      </c>
      <c r="AH426" s="620">
        <v>4.5170000000000003</v>
      </c>
      <c r="AI426" s="620">
        <f t="shared" si="375"/>
        <v>4.7836666666666661</v>
      </c>
      <c r="AJ426" s="620">
        <f t="shared" si="376"/>
        <v>33.792333333333339</v>
      </c>
      <c r="AK426" s="653">
        <f t="shared" si="377"/>
        <v>11073.434513572667</v>
      </c>
      <c r="AL426" s="650">
        <v>7000</v>
      </c>
      <c r="AM426" s="620">
        <f t="shared" si="394"/>
        <v>0.6313333333333333</v>
      </c>
      <c r="AN426" s="620">
        <v>9.6440000000000001</v>
      </c>
      <c r="AO426" s="620">
        <v>4.5170000000000003</v>
      </c>
      <c r="AP426" s="620">
        <f t="shared" si="379"/>
        <v>4.4956666666666667</v>
      </c>
      <c r="AQ426" s="620">
        <f t="shared" si="380"/>
        <v>34.080333333333336</v>
      </c>
      <c r="AR426" s="698">
        <f t="shared" si="381"/>
        <v>10495.452998692666</v>
      </c>
      <c r="AS426" s="650">
        <v>7000</v>
      </c>
      <c r="AT426" s="620">
        <f t="shared" si="382"/>
        <v>0.97933333333333328</v>
      </c>
      <c r="AU426" s="620">
        <v>9.6440000000000001</v>
      </c>
      <c r="AV426" s="620">
        <v>4.5170000000000003</v>
      </c>
      <c r="AW426" s="620">
        <f t="shared" si="383"/>
        <v>4.1476666666666668</v>
      </c>
      <c r="AX426" s="620">
        <f t="shared" si="384"/>
        <v>34.428333333333342</v>
      </c>
      <c r="AY426" s="698">
        <f t="shared" si="385"/>
        <v>9781.8972575566695</v>
      </c>
      <c r="AZ426" s="75"/>
      <c r="BA426" s="650">
        <v>7000</v>
      </c>
      <c r="BB426" s="620">
        <v>103.50685607036536</v>
      </c>
      <c r="BC426" s="720">
        <f>(BB431-BB432)/BB413</f>
        <v>1.1103612298094441</v>
      </c>
      <c r="BD426" s="714">
        <f>D426-BB429</f>
        <v>20.759999999999991</v>
      </c>
      <c r="BE426" s="693">
        <f>BB431-BB432</f>
        <v>114.93</v>
      </c>
      <c r="BF426" s="693">
        <f t="shared" si="386"/>
        <v>18.063168885408501</v>
      </c>
      <c r="BG426" s="668">
        <f t="shared" si="387"/>
        <v>20.056642417857869</v>
      </c>
      <c r="BH426" s="650">
        <v>7000</v>
      </c>
      <c r="BI426" s="620">
        <v>103.50685607036536</v>
      </c>
      <c r="BJ426" s="720">
        <f>(BI431-BI432)/BI413</f>
        <v>1.5563220265379214</v>
      </c>
      <c r="BK426" s="714">
        <f>I426-BI429</f>
        <v>16.75</v>
      </c>
      <c r="BL426" s="693">
        <f>BI431-BI432</f>
        <v>161.08999999999997</v>
      </c>
      <c r="BM426" s="693">
        <f t="shared" si="388"/>
        <v>10.397914209448137</v>
      </c>
      <c r="BN426" s="668">
        <f t="shared" si="389"/>
        <v>16.182502914215775</v>
      </c>
      <c r="BO426" s="650">
        <v>7000</v>
      </c>
      <c r="BP426" s="681">
        <v>103.50685607036536</v>
      </c>
      <c r="BQ426" s="720">
        <f>(BP431-BP432)/BP413</f>
        <v>1.4550726948716644</v>
      </c>
      <c r="BR426" s="714">
        <f>N426-BP429</f>
        <v>21.379999999999995</v>
      </c>
      <c r="BS426" s="693">
        <f>BP431-BP432</f>
        <v>150.61000000000001</v>
      </c>
      <c r="BT426" s="693">
        <f t="shared" si="390"/>
        <v>14.195604541531104</v>
      </c>
      <c r="BU426" s="668">
        <f t="shared" si="391"/>
        <v>20.655636555578102</v>
      </c>
      <c r="BV426" s="650">
        <v>7000</v>
      </c>
      <c r="BW426" s="620">
        <v>103.50685607036536</v>
      </c>
      <c r="BX426" s="720">
        <f>(BW431-BW432)/BW413</f>
        <v>1.2259091312148296</v>
      </c>
      <c r="BY426" s="714">
        <f>S426-BW429</f>
        <v>23.630000000000052</v>
      </c>
      <c r="BZ426" s="693">
        <f>BW431-BW432</f>
        <v>126.89</v>
      </c>
      <c r="CA426" s="693">
        <f t="shared" si="392"/>
        <v>18.622428875403934</v>
      </c>
      <c r="CB426" s="668">
        <f t="shared" si="393"/>
        <v>22.829405603756392</v>
      </c>
      <c r="CC426" s="560"/>
    </row>
    <row r="427" spans="1:81" ht="15.75">
      <c r="A427" s="564"/>
      <c r="B427" s="585" t="s">
        <v>116</v>
      </c>
      <c r="C427" s="559">
        <v>9000</v>
      </c>
      <c r="D427" s="559">
        <v>422.13</v>
      </c>
      <c r="E427" s="27">
        <v>9.64</v>
      </c>
      <c r="F427" s="27">
        <v>9.14</v>
      </c>
      <c r="G427" s="94">
        <v>12.99</v>
      </c>
      <c r="H427" s="559">
        <v>9000</v>
      </c>
      <c r="I427" s="559">
        <v>464.46</v>
      </c>
      <c r="J427" s="559">
        <v>3.41</v>
      </c>
      <c r="K427" s="649">
        <v>4.33</v>
      </c>
      <c r="L427" s="588">
        <v>4.01</v>
      </c>
      <c r="M427" s="559">
        <v>9000</v>
      </c>
      <c r="N427" s="649">
        <v>458.07</v>
      </c>
      <c r="O427" s="649">
        <v>7.4</v>
      </c>
      <c r="P427" s="559">
        <v>6.99</v>
      </c>
      <c r="Q427" s="559">
        <v>7.33</v>
      </c>
      <c r="R427" s="559">
        <v>9000</v>
      </c>
      <c r="S427" s="649">
        <v>435.62</v>
      </c>
      <c r="T427" s="649">
        <v>11.8</v>
      </c>
      <c r="U427" s="649">
        <v>11.08</v>
      </c>
      <c r="V427" s="649">
        <v>11.32</v>
      </c>
      <c r="W427" s="5"/>
      <c r="X427" s="650">
        <v>9000</v>
      </c>
      <c r="Y427" s="651">
        <f t="shared" si="370"/>
        <v>1.0590000000000002</v>
      </c>
      <c r="Z427" s="620">
        <v>9.6440000000000001</v>
      </c>
      <c r="AA427" s="620">
        <v>4.5170000000000003</v>
      </c>
      <c r="AB427" s="620">
        <f t="shared" si="371"/>
        <v>4.0679999999999996</v>
      </c>
      <c r="AC427" s="620">
        <f t="shared" si="372"/>
        <v>34.508000000000003</v>
      </c>
      <c r="AD427" s="653">
        <f t="shared" si="373"/>
        <v>15896.185565471998</v>
      </c>
      <c r="AE427" s="650">
        <v>9000</v>
      </c>
      <c r="AF427" s="620">
        <f t="shared" si="374"/>
        <v>0.39166666666666666</v>
      </c>
      <c r="AG427" s="620">
        <v>9.6440000000000001</v>
      </c>
      <c r="AH427" s="620">
        <v>4.5170000000000003</v>
      </c>
      <c r="AI427" s="620">
        <f t="shared" si="375"/>
        <v>4.7353333333333332</v>
      </c>
      <c r="AJ427" s="620">
        <f t="shared" si="376"/>
        <v>33.840666666666671</v>
      </c>
      <c r="AK427" s="653">
        <f t="shared" si="377"/>
        <v>18146.031315624001</v>
      </c>
      <c r="AL427" s="650">
        <v>9000</v>
      </c>
      <c r="AM427" s="620">
        <f t="shared" si="394"/>
        <v>0.72399999999999998</v>
      </c>
      <c r="AN427" s="620">
        <v>9.6440000000000001</v>
      </c>
      <c r="AO427" s="620">
        <v>4.5170000000000003</v>
      </c>
      <c r="AP427" s="620">
        <f t="shared" si="379"/>
        <v>4.4029999999999996</v>
      </c>
      <c r="AQ427" s="620">
        <f t="shared" si="380"/>
        <v>34.173000000000002</v>
      </c>
      <c r="AR427" s="698">
        <f t="shared" si="381"/>
        <v>17038.210612121995</v>
      </c>
      <c r="AS427" s="650">
        <v>9000</v>
      </c>
      <c r="AT427" s="620">
        <f t="shared" si="382"/>
        <v>1.1400000000000001</v>
      </c>
      <c r="AU427" s="620">
        <v>9.6440000000000001</v>
      </c>
      <c r="AV427" s="620">
        <v>4.5170000000000003</v>
      </c>
      <c r="AW427" s="620">
        <f t="shared" si="383"/>
        <v>3.9870000000000001</v>
      </c>
      <c r="AX427" s="620">
        <f t="shared" si="384"/>
        <v>34.589000000000006</v>
      </c>
      <c r="AY427" s="698">
        <f t="shared" si="385"/>
        <v>15616.238468634001</v>
      </c>
      <c r="AZ427" s="75"/>
      <c r="BA427" s="650">
        <v>9000</v>
      </c>
      <c r="BB427" s="620">
        <v>103.50685607036536</v>
      </c>
      <c r="BC427" s="720">
        <f>(BB431-BB432)/BB413</f>
        <v>1.1103612298094441</v>
      </c>
      <c r="BD427" s="714">
        <f>D427-BB429</f>
        <v>18.629999999999995</v>
      </c>
      <c r="BE427" s="693">
        <f>BB431-BB432</f>
        <v>114.93</v>
      </c>
      <c r="BF427" s="693">
        <f t="shared" si="386"/>
        <v>16.209866875489425</v>
      </c>
      <c r="BG427" s="668">
        <f t="shared" si="387"/>
        <v>17.99880771891581</v>
      </c>
      <c r="BH427" s="650">
        <v>9000</v>
      </c>
      <c r="BI427" s="620">
        <v>103.50685607036536</v>
      </c>
      <c r="BJ427" s="720">
        <f>(BI431-BI432)/BI413</f>
        <v>1.5563220265379214</v>
      </c>
      <c r="BK427" s="714">
        <f>I427-BI429</f>
        <v>14.930000000000007</v>
      </c>
      <c r="BL427" s="693">
        <f>BI431-BI432</f>
        <v>161.08999999999997</v>
      </c>
      <c r="BM427" s="693">
        <f t="shared" si="388"/>
        <v>9.2681109938543731</v>
      </c>
      <c r="BN427" s="668">
        <f t="shared" si="389"/>
        <v>14.424165284133826</v>
      </c>
      <c r="BO427" s="650">
        <v>9000</v>
      </c>
      <c r="BP427" s="681">
        <v>103.50685607036536</v>
      </c>
      <c r="BQ427" s="720">
        <f>(BP431-BP432)/BP413</f>
        <v>1.4550726948716644</v>
      </c>
      <c r="BR427" s="714">
        <f>N427-BP429</f>
        <v>19.389999999999986</v>
      </c>
      <c r="BS427" s="693">
        <f>BP431-BP432</f>
        <v>150.61000000000001</v>
      </c>
      <c r="BT427" s="693">
        <f t="shared" si="390"/>
        <v>12.8743111347188</v>
      </c>
      <c r="BU427" s="668">
        <f t="shared" si="391"/>
        <v>18.73305859741156</v>
      </c>
      <c r="BV427" s="650">
        <v>9000</v>
      </c>
      <c r="BW427" s="620">
        <v>103.50685607036536</v>
      </c>
      <c r="BX427" s="720">
        <f>(BW431-BW432)/BW413</f>
        <v>1.2259091312148296</v>
      </c>
      <c r="BY427" s="714">
        <f>S427-BW429</f>
        <v>21.330000000000041</v>
      </c>
      <c r="BZ427" s="693">
        <f>BW431-BW432</f>
        <v>126.89</v>
      </c>
      <c r="CA427" s="693">
        <f t="shared" si="392"/>
        <v>16.809835290409048</v>
      </c>
      <c r="CB427" s="668">
        <f t="shared" si="393"/>
        <v>20.607330576729737</v>
      </c>
      <c r="CC427" s="560"/>
    </row>
    <row r="428" spans="1:81" ht="15.75">
      <c r="A428" s="564"/>
      <c r="B428" s="599" t="s">
        <v>116</v>
      </c>
      <c r="C428" s="605">
        <v>10000</v>
      </c>
      <c r="D428" s="605">
        <v>420.76</v>
      </c>
      <c r="E428" s="656">
        <v>10.88</v>
      </c>
      <c r="F428" s="656">
        <v>14.26</v>
      </c>
      <c r="G428" s="657">
        <v>9.69</v>
      </c>
      <c r="H428" s="605">
        <v>10000</v>
      </c>
      <c r="I428" s="605">
        <v>463.61</v>
      </c>
      <c r="J428" s="605">
        <v>3.99</v>
      </c>
      <c r="K428" s="658">
        <v>4.95</v>
      </c>
      <c r="L428" s="646">
        <v>5.46</v>
      </c>
      <c r="M428" s="605">
        <v>10000</v>
      </c>
      <c r="N428" s="649">
        <v>456.97</v>
      </c>
      <c r="O428" s="649">
        <v>8.0500000000000007</v>
      </c>
      <c r="P428" s="559">
        <v>8.6</v>
      </c>
      <c r="Q428" s="559">
        <v>7.34</v>
      </c>
      <c r="R428" s="605">
        <v>10000</v>
      </c>
      <c r="S428" s="649">
        <v>434.29</v>
      </c>
      <c r="T428" s="649">
        <v>12.59</v>
      </c>
      <c r="U428" s="649">
        <v>12.9</v>
      </c>
      <c r="V428" s="649">
        <v>13.04</v>
      </c>
      <c r="W428" s="5"/>
      <c r="X428" s="660">
        <v>10000</v>
      </c>
      <c r="Y428" s="608">
        <f t="shared" si="370"/>
        <v>1.161</v>
      </c>
      <c r="Z428" s="609">
        <v>9.6440000000000001</v>
      </c>
      <c r="AA428" s="609">
        <v>4.5170000000000003</v>
      </c>
      <c r="AB428" s="609">
        <f t="shared" si="371"/>
        <v>3.9659999999999993</v>
      </c>
      <c r="AC428" s="609">
        <f t="shared" si="372"/>
        <v>34.610000000000007</v>
      </c>
      <c r="AD428" s="702">
        <f t="shared" si="373"/>
        <v>19189.403747999997</v>
      </c>
      <c r="AE428" s="660">
        <v>10000</v>
      </c>
      <c r="AF428" s="609">
        <f t="shared" si="374"/>
        <v>0.48000000000000009</v>
      </c>
      <c r="AG428" s="609">
        <v>9.6440000000000001</v>
      </c>
      <c r="AH428" s="609">
        <v>4.5170000000000003</v>
      </c>
      <c r="AI428" s="609">
        <f t="shared" si="375"/>
        <v>4.6469999999999994</v>
      </c>
      <c r="AJ428" s="609">
        <f t="shared" si="376"/>
        <v>33.929000000000002</v>
      </c>
      <c r="AK428" s="702">
        <f t="shared" si="377"/>
        <v>22041.995207399996</v>
      </c>
      <c r="AL428" s="660">
        <v>10000</v>
      </c>
      <c r="AM428" s="609">
        <f t="shared" si="394"/>
        <v>0.79966666666666664</v>
      </c>
      <c r="AN428" s="609">
        <v>9.6440000000000001</v>
      </c>
      <c r="AO428" s="609">
        <v>4.5170000000000003</v>
      </c>
      <c r="AP428" s="609">
        <f t="shared" si="379"/>
        <v>4.3273333333333328</v>
      </c>
      <c r="AQ428" s="609">
        <f t="shared" si="380"/>
        <v>34.248666666666672</v>
      </c>
      <c r="AR428" s="699">
        <f t="shared" si="381"/>
        <v>20719.114485066664</v>
      </c>
      <c r="AS428" s="660">
        <v>10000</v>
      </c>
      <c r="AT428" s="609">
        <f t="shared" si="382"/>
        <v>1.2843333333333333</v>
      </c>
      <c r="AU428" s="609">
        <v>9.6440000000000001</v>
      </c>
      <c r="AV428" s="609">
        <v>4.5170000000000003</v>
      </c>
      <c r="AW428" s="609">
        <f t="shared" si="383"/>
        <v>3.8426666666666662</v>
      </c>
      <c r="AX428" s="609">
        <f t="shared" si="384"/>
        <v>34.733333333333341</v>
      </c>
      <c r="AY428" s="699">
        <f t="shared" si="385"/>
        <v>18658.913386666667</v>
      </c>
      <c r="AZ428" s="75"/>
      <c r="BA428" s="660">
        <v>10000</v>
      </c>
      <c r="BB428" s="609">
        <v>103.50685607036536</v>
      </c>
      <c r="BC428" s="720">
        <f>(BB431-BB432)/BB413</f>
        <v>1.1103612298094441</v>
      </c>
      <c r="BD428" s="714">
        <f>D428-BB429</f>
        <v>17.259999999999991</v>
      </c>
      <c r="BE428" s="682">
        <f>BB431-BB432</f>
        <v>114.93</v>
      </c>
      <c r="BF428" s="682">
        <f t="shared" si="386"/>
        <v>15.017836944226911</v>
      </c>
      <c r="BG428" s="683">
        <f t="shared" si="387"/>
        <v>16.675223898469497</v>
      </c>
      <c r="BH428" s="660">
        <v>10000</v>
      </c>
      <c r="BI428" s="609">
        <v>103.50685607036536</v>
      </c>
      <c r="BJ428" s="720">
        <f>(BI431-BI432)/BI413</f>
        <v>1.5563220265379214</v>
      </c>
      <c r="BK428" s="714">
        <f>I428-BI429</f>
        <v>14.080000000000041</v>
      </c>
      <c r="BL428" s="682">
        <f>BI431-BI432</f>
        <v>161.08999999999997</v>
      </c>
      <c r="BM428" s="682">
        <f t="shared" si="388"/>
        <v>8.7404556459122507</v>
      </c>
      <c r="BN428" s="683">
        <f t="shared" si="389"/>
        <v>13.602963643710972</v>
      </c>
      <c r="BO428" s="660">
        <v>10000</v>
      </c>
      <c r="BP428" s="684">
        <v>103.50685607036536</v>
      </c>
      <c r="BQ428" s="720">
        <f>(BP431-BP432)/BP413</f>
        <v>1.4550726948716644</v>
      </c>
      <c r="BR428" s="714">
        <f>N428-BP429</f>
        <v>18.29000000000002</v>
      </c>
      <c r="BS428" s="682">
        <f>BP431-BP432</f>
        <v>150.61000000000001</v>
      </c>
      <c r="BT428" s="682">
        <f t="shared" si="390"/>
        <v>12.143947945023584</v>
      </c>
      <c r="BU428" s="683">
        <f t="shared" si="391"/>
        <v>17.670327062746676</v>
      </c>
      <c r="BV428" s="660">
        <v>10000</v>
      </c>
      <c r="BW428" s="609">
        <v>103.50685607036536</v>
      </c>
      <c r="BX428" s="720">
        <f>(BW431-BW432)/BW413</f>
        <v>1.2259091312148296</v>
      </c>
      <c r="BY428" s="714">
        <f>S428-BW429</f>
        <v>20.000000000000057</v>
      </c>
      <c r="BZ428" s="682">
        <f>BW431-BW432</f>
        <v>126.89</v>
      </c>
      <c r="CA428" s="682">
        <f t="shared" si="392"/>
        <v>15.761683347781588</v>
      </c>
      <c r="CB428" s="683">
        <f t="shared" si="393"/>
        <v>19.322391539362172</v>
      </c>
      <c r="CC428" s="560"/>
    </row>
    <row r="429" spans="1:81" ht="45">
      <c r="A429" s="560"/>
      <c r="B429" s="560"/>
      <c r="C429" s="559"/>
      <c r="D429" s="559"/>
      <c r="E429" s="560"/>
      <c r="F429" s="560"/>
      <c r="G429" s="560"/>
      <c r="H429" s="560"/>
      <c r="I429" s="560"/>
      <c r="J429" s="560"/>
      <c r="K429" s="560"/>
      <c r="L429" s="560"/>
      <c r="M429" s="560"/>
      <c r="N429" s="661"/>
      <c r="O429" s="559"/>
      <c r="P429" s="559"/>
      <c r="Q429" s="559"/>
      <c r="R429" s="560"/>
      <c r="S429" s="661"/>
      <c r="T429" s="560"/>
      <c r="U429" s="560"/>
      <c r="V429" s="560"/>
      <c r="X429" s="560"/>
      <c r="Y429" s="560"/>
      <c r="Z429" s="560"/>
      <c r="AA429" s="560"/>
      <c r="AB429" s="560"/>
      <c r="AC429" s="560"/>
      <c r="AD429" s="560"/>
      <c r="AE429" s="559"/>
      <c r="AF429" s="559"/>
      <c r="AG429" s="559"/>
      <c r="AH429" s="559"/>
      <c r="AI429" s="559"/>
      <c r="AJ429" s="559"/>
      <c r="AK429" s="559"/>
      <c r="AL429" s="560"/>
      <c r="AM429" s="560"/>
      <c r="AN429" s="559"/>
      <c r="AO429" s="559"/>
      <c r="AP429" s="560"/>
      <c r="AQ429" s="560"/>
      <c r="AR429" s="560"/>
      <c r="AS429" s="560"/>
      <c r="AT429" s="560"/>
      <c r="AU429" s="560"/>
      <c r="AV429" s="560"/>
      <c r="AW429" s="560"/>
      <c r="AX429" s="560"/>
      <c r="AY429" s="560"/>
      <c r="AZ429" s="791" t="s">
        <v>144</v>
      </c>
      <c r="BA429" s="709" t="s">
        <v>1047</v>
      </c>
      <c r="BB429" s="565">
        <f>BB430+BB431</f>
        <v>403.5</v>
      </c>
      <c r="BC429" s="559"/>
      <c r="BD429" s="559"/>
      <c r="BE429" s="559"/>
      <c r="BF429" s="559"/>
      <c r="BG429" s="559"/>
      <c r="BH429" s="709" t="s">
        <v>1047</v>
      </c>
      <c r="BI429" s="719">
        <f>BI430+BI431</f>
        <v>449.53</v>
      </c>
      <c r="BJ429" s="559"/>
      <c r="BK429" s="569"/>
      <c r="BL429" s="569"/>
      <c r="BM429" s="569"/>
      <c r="BN429" s="569"/>
      <c r="BO429" s="709" t="s">
        <v>1047</v>
      </c>
      <c r="BP429" s="697">
        <f>BP430+BP431</f>
        <v>438.68</v>
      </c>
      <c r="BQ429" s="560"/>
      <c r="BR429" s="559"/>
      <c r="BS429" s="559"/>
      <c r="BT429" s="559"/>
      <c r="BU429" s="559"/>
      <c r="BV429" s="709" t="s">
        <v>1047</v>
      </c>
      <c r="BW429" s="697">
        <f>BW430+BW431</f>
        <v>414.28999999999996</v>
      </c>
      <c r="BX429" s="560"/>
      <c r="BY429" s="560"/>
      <c r="BZ429" s="560"/>
      <c r="CA429" s="560"/>
      <c r="CB429" s="560"/>
      <c r="CC429" s="560"/>
    </row>
    <row r="430" spans="1:81">
      <c r="A430" s="560"/>
      <c r="B430" s="560"/>
      <c r="C430" s="559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59"/>
      <c r="P430" s="559"/>
      <c r="Q430" s="559"/>
      <c r="R430" s="560"/>
      <c r="S430" s="560"/>
      <c r="T430" s="560"/>
      <c r="U430" s="560"/>
      <c r="V430" s="560"/>
      <c r="X430" s="560"/>
      <c r="Y430" s="560"/>
      <c r="Z430" s="560"/>
      <c r="AA430" s="560"/>
      <c r="AB430" s="560"/>
      <c r="AC430" s="560"/>
      <c r="AD430" s="560"/>
      <c r="AE430" s="559"/>
      <c r="AF430" s="559"/>
      <c r="AG430" s="559"/>
      <c r="AH430" s="559"/>
      <c r="AI430" s="559"/>
      <c r="AJ430" s="559"/>
      <c r="AK430" s="559"/>
      <c r="AL430" s="560"/>
      <c r="AM430" s="560"/>
      <c r="AN430" s="559"/>
      <c r="AO430" s="559"/>
      <c r="AP430" s="560"/>
      <c r="AQ430" s="560"/>
      <c r="AR430" s="560"/>
      <c r="AS430" s="560"/>
      <c r="AT430" s="560"/>
      <c r="AU430" s="560"/>
      <c r="AV430" s="560"/>
      <c r="AW430" s="560"/>
      <c r="AX430" s="560"/>
      <c r="AY430" s="560"/>
      <c r="AZ430" s="791"/>
      <c r="BA430" s="655" t="s">
        <v>1048</v>
      </c>
      <c r="BB430" s="569">
        <v>215.47</v>
      </c>
      <c r="BC430" s="559"/>
      <c r="BD430" s="559"/>
      <c r="BE430" s="559"/>
      <c r="BF430" s="559"/>
      <c r="BG430" s="559"/>
      <c r="BH430" s="655" t="s">
        <v>1048</v>
      </c>
      <c r="BI430" s="718">
        <v>215.14</v>
      </c>
      <c r="BJ430" s="559"/>
      <c r="BK430" s="569"/>
      <c r="BL430" s="569"/>
      <c r="BM430" s="569"/>
      <c r="BN430" s="569"/>
      <c r="BO430" s="655" t="s">
        <v>1048</v>
      </c>
      <c r="BP430" s="559">
        <v>215.1</v>
      </c>
      <c r="BQ430" s="560"/>
      <c r="BR430" s="559"/>
      <c r="BS430" s="559"/>
      <c r="BT430" s="620"/>
      <c r="BU430" s="620"/>
      <c r="BV430" s="655" t="s">
        <v>1048</v>
      </c>
      <c r="BW430" s="559">
        <v>214.88</v>
      </c>
      <c r="BX430" s="560"/>
      <c r="BY430" s="560"/>
      <c r="BZ430" s="560"/>
      <c r="CA430" s="560"/>
      <c r="CB430" s="560"/>
      <c r="CC430" s="560"/>
    </row>
    <row r="431" spans="1:81">
      <c r="A431" s="560"/>
      <c r="B431" s="560"/>
      <c r="C431" s="559"/>
      <c r="D431" s="560"/>
      <c r="E431" s="560"/>
      <c r="F431" s="560"/>
      <c r="G431" s="560"/>
      <c r="H431" s="560"/>
      <c r="I431" s="560"/>
      <c r="J431" s="560"/>
      <c r="K431" s="560"/>
      <c r="L431" s="560"/>
      <c r="M431" s="560"/>
      <c r="N431" s="560"/>
      <c r="O431" s="559"/>
      <c r="P431" s="559"/>
      <c r="Q431" s="559"/>
      <c r="R431" s="560"/>
      <c r="S431" s="560"/>
      <c r="T431" s="560"/>
      <c r="U431" s="560"/>
      <c r="V431" s="560"/>
      <c r="X431" s="560"/>
      <c r="Y431" s="560"/>
      <c r="Z431" s="560"/>
      <c r="AA431" s="560"/>
      <c r="AB431" s="560"/>
      <c r="AC431" s="560"/>
      <c r="AD431" s="560"/>
      <c r="AE431" s="559"/>
      <c r="AF431" s="559"/>
      <c r="AG431" s="559"/>
      <c r="AH431" s="559"/>
      <c r="AI431" s="559"/>
      <c r="AJ431" s="559"/>
      <c r="AK431" s="559"/>
      <c r="AL431" s="560"/>
      <c r="AM431" s="560"/>
      <c r="AN431" s="559"/>
      <c r="AO431" s="559"/>
      <c r="AP431" s="560"/>
      <c r="AQ431" s="560"/>
      <c r="AR431" s="560"/>
      <c r="AS431" s="560"/>
      <c r="AT431" s="560"/>
      <c r="AU431" s="560"/>
      <c r="AV431" s="560"/>
      <c r="AW431" s="560"/>
      <c r="AX431" s="560"/>
      <c r="AY431" s="560"/>
      <c r="AZ431" s="791"/>
      <c r="BA431" s="655" t="s">
        <v>1049</v>
      </c>
      <c r="BB431" s="565">
        <v>188.03</v>
      </c>
      <c r="BC431" s="559"/>
      <c r="BD431" s="559"/>
      <c r="BE431" s="559"/>
      <c r="BF431" s="559"/>
      <c r="BG431" s="559"/>
      <c r="BH431" s="655" t="s">
        <v>1049</v>
      </c>
      <c r="BI431" s="565">
        <v>234.39</v>
      </c>
      <c r="BJ431" s="559"/>
      <c r="BK431" s="569"/>
      <c r="BL431" s="569"/>
      <c r="BM431" s="569"/>
      <c r="BN431" s="569"/>
      <c r="BO431" s="655" t="s">
        <v>1049</v>
      </c>
      <c r="BP431" s="697">
        <v>223.58</v>
      </c>
      <c r="BQ431" s="560"/>
      <c r="BR431" s="559"/>
      <c r="BS431" s="559"/>
      <c r="BT431" s="620"/>
      <c r="BU431" s="620"/>
      <c r="BV431" s="655" t="s">
        <v>1049</v>
      </c>
      <c r="BW431" s="697">
        <v>199.41</v>
      </c>
      <c r="BX431" s="560"/>
      <c r="BY431" s="560"/>
      <c r="BZ431" s="560"/>
      <c r="CA431" s="560"/>
      <c r="CB431" s="560"/>
      <c r="CC431" s="560"/>
    </row>
    <row r="432" spans="1:81">
      <c r="A432" s="560"/>
      <c r="B432" s="560"/>
      <c r="C432" s="559"/>
      <c r="D432" s="560"/>
      <c r="E432" s="560"/>
      <c r="F432" s="560"/>
      <c r="G432" s="560"/>
      <c r="H432" s="560"/>
      <c r="I432" s="560"/>
      <c r="J432" s="560"/>
      <c r="K432" s="560"/>
      <c r="L432" s="560"/>
      <c r="M432" s="560"/>
      <c r="N432" s="560"/>
      <c r="O432" s="559"/>
      <c r="P432" s="559"/>
      <c r="Q432" s="559"/>
      <c r="R432" s="560"/>
      <c r="S432" s="560"/>
      <c r="T432" s="560"/>
      <c r="U432" s="560"/>
      <c r="V432" s="560"/>
      <c r="X432" s="560"/>
      <c r="Y432" s="560"/>
      <c r="Z432" s="560"/>
      <c r="AA432" s="560"/>
      <c r="AB432" s="560"/>
      <c r="AC432" s="560"/>
      <c r="AD432" s="560"/>
      <c r="AE432" s="559"/>
      <c r="AF432" s="559"/>
      <c r="AG432" s="559"/>
      <c r="AH432" s="559"/>
      <c r="AI432" s="559"/>
      <c r="AJ432" s="559"/>
      <c r="AK432" s="559"/>
      <c r="AL432" s="560"/>
      <c r="AM432" s="560"/>
      <c r="AN432" s="559"/>
      <c r="AO432" s="559"/>
      <c r="AP432" s="560"/>
      <c r="AQ432" s="560"/>
      <c r="AR432" s="560"/>
      <c r="AS432" s="560"/>
      <c r="AT432" s="560"/>
      <c r="AU432" s="560"/>
      <c r="AV432" s="560"/>
      <c r="AW432" s="560"/>
      <c r="AX432" s="560"/>
      <c r="AY432" s="560"/>
      <c r="AZ432" s="791"/>
      <c r="BA432" s="655" t="s">
        <v>1050</v>
      </c>
      <c r="BB432" s="569">
        <v>73.099999999999994</v>
      </c>
      <c r="BC432" s="559"/>
      <c r="BD432" s="560"/>
      <c r="BE432" s="560"/>
      <c r="BF432" s="560"/>
      <c r="BG432" s="560"/>
      <c r="BH432" s="655" t="s">
        <v>1050</v>
      </c>
      <c r="BI432" s="569">
        <v>73.3</v>
      </c>
      <c r="BJ432" s="559"/>
      <c r="BK432" s="560"/>
      <c r="BL432" s="560"/>
      <c r="BM432" s="560"/>
      <c r="BN432" s="560"/>
      <c r="BO432" s="655" t="s">
        <v>1050</v>
      </c>
      <c r="BP432" s="559">
        <v>72.97</v>
      </c>
      <c r="BQ432" s="560"/>
      <c r="BR432" s="560"/>
      <c r="BS432" s="560"/>
      <c r="BT432" s="560"/>
      <c r="BU432" s="560"/>
      <c r="BV432" s="655" t="s">
        <v>1050</v>
      </c>
      <c r="BW432" s="559">
        <v>72.52</v>
      </c>
      <c r="BX432" s="560"/>
      <c r="BY432" s="560"/>
      <c r="BZ432" s="560"/>
      <c r="CA432" s="560"/>
      <c r="CB432" s="560"/>
      <c r="CC432" s="560"/>
    </row>
    <row r="433" spans="1:81" ht="18.75">
      <c r="A433" s="557" t="s">
        <v>999</v>
      </c>
      <c r="B433" s="558"/>
      <c r="C433" s="639"/>
      <c r="D433" s="639"/>
      <c r="E433" s="562"/>
      <c r="F433" s="639"/>
      <c r="G433" s="560"/>
      <c r="H433" s="560"/>
      <c r="I433" s="560"/>
      <c r="J433" s="560"/>
      <c r="K433" s="560"/>
      <c r="L433" s="560"/>
      <c r="M433" s="560"/>
      <c r="N433" s="560"/>
      <c r="O433" s="559"/>
      <c r="P433" s="559"/>
      <c r="Q433" s="559"/>
      <c r="R433" s="560"/>
      <c r="S433" s="560"/>
      <c r="T433" s="560"/>
      <c r="U433" s="560"/>
      <c r="V433" s="560"/>
      <c r="X433" s="560"/>
      <c r="Y433" s="560"/>
      <c r="Z433" s="560"/>
      <c r="AA433" s="560"/>
      <c r="AB433" s="560"/>
      <c r="AC433" s="560"/>
      <c r="AD433" s="560"/>
      <c r="AE433" s="559"/>
      <c r="AF433" s="559"/>
      <c r="AG433" s="559"/>
      <c r="AH433" s="559"/>
      <c r="AI433" s="559"/>
      <c r="AJ433" s="559"/>
      <c r="AK433" s="559"/>
      <c r="AL433" s="560"/>
      <c r="AM433" s="560"/>
      <c r="AN433" s="559"/>
      <c r="AO433" s="559"/>
      <c r="AP433" s="560"/>
      <c r="AQ433" s="560"/>
      <c r="AR433" s="560"/>
      <c r="AS433" s="560"/>
      <c r="AT433" s="560"/>
      <c r="AU433" s="560"/>
      <c r="AV433" s="560"/>
      <c r="AW433" s="560"/>
      <c r="AX433" s="560"/>
      <c r="AY433" s="560"/>
      <c r="AZ433" s="547"/>
      <c r="BA433" s="560"/>
      <c r="BB433" s="560"/>
      <c r="BC433" s="559"/>
      <c r="BD433" s="560"/>
      <c r="BE433" s="560"/>
      <c r="BF433" s="560"/>
      <c r="BG433" s="560"/>
      <c r="BH433" s="560"/>
      <c r="BI433" s="560"/>
      <c r="BJ433" s="559"/>
      <c r="BK433" s="560"/>
      <c r="BL433" s="560"/>
      <c r="BM433" s="560"/>
      <c r="BN433" s="560"/>
      <c r="BO433" s="560"/>
      <c r="BP433" s="560"/>
      <c r="BQ433" s="560"/>
      <c r="BR433" s="560"/>
      <c r="BS433" s="560"/>
      <c r="BT433" s="560"/>
      <c r="BU433" s="560"/>
      <c r="BV433" s="560"/>
      <c r="BW433" s="560"/>
      <c r="BX433" s="560"/>
      <c r="BY433" s="560"/>
      <c r="BZ433" s="560"/>
      <c r="CA433" s="560"/>
      <c r="CB433" s="560"/>
      <c r="CC433" s="560"/>
    </row>
    <row r="434" spans="1:81" ht="18.75">
      <c r="A434" s="792" t="s">
        <v>998</v>
      </c>
      <c r="B434" s="792"/>
      <c r="C434" s="792"/>
      <c r="D434" s="792"/>
      <c r="E434" s="613"/>
      <c r="F434" s="613"/>
      <c r="G434" s="613"/>
      <c r="H434" s="613"/>
      <c r="I434" s="613"/>
      <c r="J434" s="613"/>
      <c r="K434" s="613"/>
      <c r="L434" s="613"/>
      <c r="M434" s="613"/>
      <c r="N434" s="613"/>
      <c r="O434" s="614"/>
      <c r="P434" s="614"/>
      <c r="Q434" s="614"/>
      <c r="R434" s="613"/>
      <c r="S434" s="613"/>
      <c r="T434" s="613"/>
      <c r="U434" s="613"/>
      <c r="V434" s="613"/>
      <c r="W434" s="90"/>
      <c r="X434" s="613"/>
      <c r="Y434" s="613"/>
      <c r="Z434" s="613"/>
      <c r="AA434" s="613"/>
      <c r="AB434" s="613"/>
      <c r="AC434" s="613"/>
      <c r="AD434" s="613"/>
      <c r="AE434" s="614"/>
      <c r="AF434" s="614"/>
      <c r="AG434" s="614"/>
      <c r="AH434" s="614"/>
      <c r="AI434" s="614"/>
      <c r="AJ434" s="614"/>
      <c r="AK434" s="614"/>
      <c r="AL434" s="613"/>
      <c r="AM434" s="613"/>
      <c r="AN434" s="614"/>
      <c r="AO434" s="614"/>
      <c r="AP434" s="613"/>
      <c r="AQ434" s="613"/>
      <c r="AR434" s="613"/>
      <c r="AS434" s="613"/>
      <c r="AT434" s="613"/>
      <c r="AU434" s="613"/>
      <c r="AV434" s="613"/>
      <c r="AW434" s="613"/>
      <c r="AX434" s="613"/>
      <c r="AY434" s="613"/>
      <c r="AZ434" s="89"/>
      <c r="BA434" s="613"/>
      <c r="BB434" s="613"/>
      <c r="BC434" s="614"/>
      <c r="BD434" s="613"/>
      <c r="BE434" s="613"/>
      <c r="BF434" s="613"/>
      <c r="BG434" s="613"/>
      <c r="BH434" s="613"/>
      <c r="BI434" s="613"/>
      <c r="BJ434" s="614"/>
      <c r="BK434" s="613"/>
      <c r="BL434" s="613"/>
      <c r="BM434" s="613"/>
      <c r="BN434" s="613"/>
      <c r="BO434" s="613"/>
      <c r="BP434" s="613"/>
      <c r="BQ434" s="613"/>
      <c r="BR434" s="613"/>
      <c r="BS434" s="613"/>
      <c r="BT434" s="613"/>
      <c r="BU434" s="613"/>
      <c r="BV434" s="613"/>
      <c r="BW434" s="613"/>
      <c r="BX434" s="613"/>
      <c r="BY434" s="613"/>
      <c r="BZ434" s="613"/>
      <c r="CA434" s="613"/>
      <c r="CB434" s="613"/>
      <c r="CC434" s="560"/>
    </row>
    <row r="435" spans="1:81">
      <c r="A435" s="560"/>
      <c r="B435" s="560"/>
      <c r="C435" s="559"/>
      <c r="D435" s="560"/>
      <c r="E435" s="560"/>
      <c r="F435" s="560"/>
      <c r="G435" s="560"/>
      <c r="H435" s="560"/>
      <c r="I435" s="560"/>
      <c r="J435" s="560"/>
      <c r="K435" s="560"/>
      <c r="L435" s="560"/>
      <c r="M435" s="560"/>
      <c r="N435" s="560"/>
      <c r="O435" s="559"/>
      <c r="P435" s="559"/>
      <c r="Q435" s="559"/>
      <c r="R435" s="560"/>
      <c r="S435" s="560"/>
      <c r="T435" s="560"/>
      <c r="U435" s="560"/>
      <c r="V435" s="560"/>
      <c r="X435" s="560"/>
      <c r="Y435" s="560"/>
      <c r="Z435" s="560"/>
      <c r="AA435" s="560"/>
      <c r="AB435" s="560"/>
      <c r="AC435" s="560"/>
      <c r="AD435" s="560"/>
      <c r="AE435" s="559"/>
      <c r="AF435" s="559"/>
      <c r="AG435" s="559"/>
      <c r="AH435" s="559"/>
      <c r="AI435" s="559"/>
      <c r="AJ435" s="559"/>
      <c r="AK435" s="559"/>
      <c r="AL435" s="560"/>
      <c r="AM435" s="560"/>
      <c r="AN435" s="559"/>
      <c r="AO435" s="559"/>
      <c r="AP435" s="560"/>
      <c r="AQ435" s="560"/>
      <c r="AR435" s="560"/>
      <c r="AS435" s="560"/>
      <c r="AT435" s="560"/>
      <c r="AU435" s="560"/>
      <c r="AV435" s="560"/>
      <c r="AW435" s="560"/>
      <c r="AX435" s="560"/>
      <c r="AY435" s="560"/>
      <c r="AZ435" s="547"/>
      <c r="BA435" s="560"/>
      <c r="BB435" s="560"/>
      <c r="BC435" s="559"/>
      <c r="BD435" s="560"/>
      <c r="BE435" s="560"/>
      <c r="BF435" s="560"/>
      <c r="BG435" s="560"/>
      <c r="BH435" s="560"/>
      <c r="BI435" s="560"/>
      <c r="BJ435" s="559"/>
      <c r="BK435" s="560"/>
      <c r="BL435" s="560"/>
      <c r="BM435" s="560"/>
      <c r="BN435" s="560"/>
      <c r="BO435" s="560"/>
      <c r="BP435" s="560"/>
      <c r="BQ435" s="560"/>
      <c r="BR435" s="560"/>
      <c r="BS435" s="560"/>
      <c r="BT435" s="560"/>
      <c r="BU435" s="560"/>
      <c r="BV435" s="560"/>
      <c r="BW435" s="560"/>
      <c r="BX435" s="560"/>
      <c r="BY435" s="560"/>
      <c r="BZ435" s="560"/>
      <c r="CA435" s="560"/>
      <c r="CB435" s="560"/>
      <c r="CC435" s="560"/>
    </row>
    <row r="436" spans="1:81">
      <c r="A436" s="565" t="s">
        <v>134</v>
      </c>
      <c r="B436" s="640" t="s">
        <v>124</v>
      </c>
      <c r="C436" s="641" t="s">
        <v>119</v>
      </c>
      <c r="D436" s="642" t="s">
        <v>111</v>
      </c>
      <c r="E436" s="569"/>
      <c r="F436" s="569"/>
      <c r="G436" s="570"/>
      <c r="H436" s="640" t="s">
        <v>124</v>
      </c>
      <c r="I436" s="642" t="s">
        <v>119</v>
      </c>
      <c r="J436" s="642" t="s">
        <v>111</v>
      </c>
      <c r="K436" s="569"/>
      <c r="L436" s="569"/>
      <c r="M436" s="571" t="s">
        <v>124</v>
      </c>
      <c r="N436" s="568" t="s">
        <v>119</v>
      </c>
      <c r="O436" s="567" t="s">
        <v>111</v>
      </c>
      <c r="P436" s="562"/>
      <c r="Q436" s="588"/>
      <c r="R436" s="571" t="s">
        <v>124</v>
      </c>
      <c r="S436" s="568" t="s">
        <v>119</v>
      </c>
      <c r="T436" s="568" t="s">
        <v>111</v>
      </c>
      <c r="U436" s="665"/>
      <c r="V436" s="570"/>
      <c r="W436" s="447" t="s">
        <v>133</v>
      </c>
      <c r="X436" s="571" t="s">
        <v>124</v>
      </c>
      <c r="Y436" s="642" t="s">
        <v>119</v>
      </c>
      <c r="Z436" s="642" t="s">
        <v>111</v>
      </c>
      <c r="AA436" s="569"/>
      <c r="AB436" s="569"/>
      <c r="AC436" s="569"/>
      <c r="AD436" s="570"/>
      <c r="AE436" s="640" t="s">
        <v>124</v>
      </c>
      <c r="AF436" s="642" t="s">
        <v>119</v>
      </c>
      <c r="AG436" s="642" t="s">
        <v>111</v>
      </c>
      <c r="AH436" s="569"/>
      <c r="AI436" s="569"/>
      <c r="AJ436" s="569"/>
      <c r="AK436" s="570"/>
      <c r="AL436" s="571" t="s">
        <v>124</v>
      </c>
      <c r="AM436" s="642" t="s">
        <v>119</v>
      </c>
      <c r="AN436" s="642" t="s">
        <v>111</v>
      </c>
      <c r="AO436" s="569"/>
      <c r="AP436" s="569"/>
      <c r="AQ436" s="569"/>
      <c r="AR436" s="700"/>
      <c r="AS436" s="571" t="s">
        <v>124</v>
      </c>
      <c r="AT436" s="642" t="s">
        <v>119</v>
      </c>
      <c r="AU436" s="642" t="s">
        <v>111</v>
      </c>
      <c r="AV436" s="569"/>
      <c r="AW436" s="569"/>
      <c r="AX436" s="569"/>
      <c r="AY436" s="700"/>
      <c r="AZ436" s="447" t="s">
        <v>141</v>
      </c>
      <c r="BA436" s="571" t="s">
        <v>124</v>
      </c>
      <c r="BB436" s="642" t="s">
        <v>119</v>
      </c>
      <c r="BC436" s="642" t="s">
        <v>111</v>
      </c>
      <c r="BD436" s="569"/>
      <c r="BE436" s="569"/>
      <c r="BF436" s="569"/>
      <c r="BG436" s="569"/>
      <c r="BH436" s="640" t="s">
        <v>124</v>
      </c>
      <c r="BI436" s="641" t="s">
        <v>119</v>
      </c>
      <c r="BJ436" s="641" t="s">
        <v>111</v>
      </c>
      <c r="BK436" s="569"/>
      <c r="BL436" s="569"/>
      <c r="BM436" s="569"/>
      <c r="BN436" s="569"/>
      <c r="BO436" s="571" t="s">
        <v>124</v>
      </c>
      <c r="BP436" s="642" t="s">
        <v>119</v>
      </c>
      <c r="BQ436" s="642" t="s">
        <v>111</v>
      </c>
      <c r="BR436" s="560"/>
      <c r="BS436" s="569"/>
      <c r="BT436" s="569"/>
      <c r="BU436" s="569"/>
      <c r="BV436" s="672" t="s">
        <v>124</v>
      </c>
      <c r="BW436" s="641" t="s">
        <v>119</v>
      </c>
      <c r="BX436" s="641" t="s">
        <v>111</v>
      </c>
      <c r="BY436" s="559"/>
      <c r="BZ436" s="559"/>
      <c r="CA436" s="559"/>
      <c r="CB436" s="570"/>
      <c r="CC436" s="560"/>
    </row>
    <row r="437" spans="1:81">
      <c r="A437" s="565"/>
      <c r="B437" s="572"/>
      <c r="C437" s="573" t="s">
        <v>797</v>
      </c>
      <c r="D437" s="574" t="s">
        <v>112</v>
      </c>
      <c r="E437" s="569"/>
      <c r="F437" s="569"/>
      <c r="G437" s="570"/>
      <c r="H437" s="572"/>
      <c r="I437" s="573" t="s">
        <v>797</v>
      </c>
      <c r="J437" s="643" t="s">
        <v>114</v>
      </c>
      <c r="K437" s="569"/>
      <c r="L437" s="569"/>
      <c r="M437" s="578"/>
      <c r="N437" s="573" t="s">
        <v>10</v>
      </c>
      <c r="O437" s="615" t="s">
        <v>4</v>
      </c>
      <c r="P437" s="562"/>
      <c r="Q437" s="588"/>
      <c r="R437" s="578"/>
      <c r="S437" s="573" t="s">
        <v>10</v>
      </c>
      <c r="T437" s="575" t="s">
        <v>114</v>
      </c>
      <c r="U437" s="802"/>
      <c r="V437" s="803"/>
      <c r="W437" s="80"/>
      <c r="X437" s="578"/>
      <c r="Y437" s="573" t="s">
        <v>797</v>
      </c>
      <c r="Z437" s="574" t="s">
        <v>112</v>
      </c>
      <c r="AA437" s="569"/>
      <c r="AB437" s="569"/>
      <c r="AC437" s="569"/>
      <c r="AD437" s="570"/>
      <c r="AE437" s="572"/>
      <c r="AF437" s="573" t="s">
        <v>797</v>
      </c>
      <c r="AG437" s="643" t="s">
        <v>114</v>
      </c>
      <c r="AH437" s="569"/>
      <c r="AI437" s="569"/>
      <c r="AJ437" s="569"/>
      <c r="AK437" s="570"/>
      <c r="AL437" s="572"/>
      <c r="AM437" s="573" t="s">
        <v>10</v>
      </c>
      <c r="AN437" s="645" t="s">
        <v>4</v>
      </c>
      <c r="AO437" s="569"/>
      <c r="AP437" s="569"/>
      <c r="AQ437" s="569"/>
      <c r="AR437" s="700"/>
      <c r="AS437" s="572"/>
      <c r="AT437" s="573" t="s">
        <v>10</v>
      </c>
      <c r="AU437" s="643" t="s">
        <v>114</v>
      </c>
      <c r="AV437" s="795"/>
      <c r="AW437" s="795"/>
      <c r="AX437" s="569"/>
      <c r="AY437" s="700"/>
      <c r="AZ437" s="80"/>
      <c r="BA437" s="578"/>
      <c r="BB437" s="573" t="s">
        <v>797</v>
      </c>
      <c r="BC437" s="574" t="s">
        <v>112</v>
      </c>
      <c r="BD437" s="569"/>
      <c r="BE437" s="569"/>
      <c r="BF437" s="569"/>
      <c r="BG437" s="570"/>
      <c r="BH437" s="572"/>
      <c r="BI437" s="573" t="s">
        <v>797</v>
      </c>
      <c r="BJ437" s="643" t="s">
        <v>114</v>
      </c>
      <c r="BK437" s="569"/>
      <c r="BL437" s="569"/>
      <c r="BM437" s="569"/>
      <c r="BN437" s="570"/>
      <c r="BO437" s="572"/>
      <c r="BP437" s="573" t="s">
        <v>10</v>
      </c>
      <c r="BQ437" s="645" t="s">
        <v>4</v>
      </c>
      <c r="BR437" s="569"/>
      <c r="BS437" s="569"/>
      <c r="BT437" s="569"/>
      <c r="BU437" s="700"/>
      <c r="BV437" s="572"/>
      <c r="BW437" s="573" t="s">
        <v>10</v>
      </c>
      <c r="BX437" s="643" t="s">
        <v>114</v>
      </c>
      <c r="BY437" s="795"/>
      <c r="BZ437" s="795"/>
      <c r="CA437" s="569"/>
      <c r="CB437" s="700"/>
      <c r="CC437" s="560"/>
    </row>
    <row r="438" spans="1:81" ht="63">
      <c r="A438" s="564"/>
      <c r="B438" s="579" t="s">
        <v>122</v>
      </c>
      <c r="C438" s="580" t="s">
        <v>121</v>
      </c>
      <c r="D438" s="581" t="s">
        <v>125</v>
      </c>
      <c r="E438" s="796" t="s">
        <v>1013</v>
      </c>
      <c r="F438" s="796"/>
      <c r="G438" s="797"/>
      <c r="H438" s="582" t="s">
        <v>121</v>
      </c>
      <c r="I438" s="581" t="s">
        <v>125</v>
      </c>
      <c r="J438" s="796" t="s">
        <v>1013</v>
      </c>
      <c r="K438" s="796"/>
      <c r="L438" s="797"/>
      <c r="M438" s="582" t="s">
        <v>121</v>
      </c>
      <c r="N438" s="581" t="s">
        <v>125</v>
      </c>
      <c r="O438" s="796" t="s">
        <v>1013</v>
      </c>
      <c r="P438" s="796"/>
      <c r="Q438" s="797"/>
      <c r="R438" s="582" t="s">
        <v>121</v>
      </c>
      <c r="S438" s="581" t="s">
        <v>125</v>
      </c>
      <c r="T438" s="796" t="s">
        <v>1013</v>
      </c>
      <c r="U438" s="796"/>
      <c r="V438" s="797"/>
      <c r="W438" s="5"/>
      <c r="X438" s="582" t="s">
        <v>121</v>
      </c>
      <c r="Y438" s="584" t="s">
        <v>126</v>
      </c>
      <c r="Z438" s="583" t="s">
        <v>127</v>
      </c>
      <c r="AA438" s="583" t="s">
        <v>128</v>
      </c>
      <c r="AB438" s="583" t="s">
        <v>129</v>
      </c>
      <c r="AC438" s="583" t="s">
        <v>130</v>
      </c>
      <c r="AD438" s="701" t="s">
        <v>131</v>
      </c>
      <c r="AE438" s="582" t="s">
        <v>121</v>
      </c>
      <c r="AF438" s="583" t="s">
        <v>126</v>
      </c>
      <c r="AG438" s="583" t="s">
        <v>127</v>
      </c>
      <c r="AH438" s="583" t="s">
        <v>128</v>
      </c>
      <c r="AI438" s="583" t="s">
        <v>129</v>
      </c>
      <c r="AJ438" s="583" t="s">
        <v>130</v>
      </c>
      <c r="AK438" s="701" t="s">
        <v>131</v>
      </c>
      <c r="AL438" s="582" t="s">
        <v>121</v>
      </c>
      <c r="AM438" s="583" t="s">
        <v>126</v>
      </c>
      <c r="AN438" s="583" t="s">
        <v>127</v>
      </c>
      <c r="AO438" s="583" t="s">
        <v>128</v>
      </c>
      <c r="AP438" s="583" t="s">
        <v>129</v>
      </c>
      <c r="AQ438" s="583" t="s">
        <v>130</v>
      </c>
      <c r="AR438" s="696" t="s">
        <v>131</v>
      </c>
      <c r="AS438" s="582" t="s">
        <v>121</v>
      </c>
      <c r="AT438" s="583" t="s">
        <v>126</v>
      </c>
      <c r="AU438" s="695" t="s">
        <v>127</v>
      </c>
      <c r="AV438" s="695" t="s">
        <v>128</v>
      </c>
      <c r="AW438" s="583" t="s">
        <v>129</v>
      </c>
      <c r="AX438" s="583" t="s">
        <v>130</v>
      </c>
      <c r="AY438" s="696" t="s">
        <v>131</v>
      </c>
      <c r="AZ438" s="75"/>
      <c r="BA438" s="648" t="s">
        <v>121</v>
      </c>
      <c r="BB438" s="583" t="s">
        <v>143</v>
      </c>
      <c r="BC438" s="583" t="s">
        <v>888</v>
      </c>
      <c r="BD438" s="583" t="s">
        <v>1045</v>
      </c>
      <c r="BE438" s="583" t="s">
        <v>1044</v>
      </c>
      <c r="BF438" s="666" t="s">
        <v>1051</v>
      </c>
      <c r="BG438" s="666" t="s">
        <v>1052</v>
      </c>
      <c r="BH438" s="648" t="s">
        <v>121</v>
      </c>
      <c r="BI438" s="583" t="s">
        <v>143</v>
      </c>
      <c r="BJ438" s="583" t="s">
        <v>888</v>
      </c>
      <c r="BK438" s="583" t="s">
        <v>1045</v>
      </c>
      <c r="BL438" s="583" t="s">
        <v>1044</v>
      </c>
      <c r="BM438" s="666" t="s">
        <v>1051</v>
      </c>
      <c r="BN438" s="666" t="s">
        <v>1052</v>
      </c>
      <c r="BO438" s="648" t="s">
        <v>121</v>
      </c>
      <c r="BP438" s="583" t="s">
        <v>143</v>
      </c>
      <c r="BQ438" s="583" t="s">
        <v>888</v>
      </c>
      <c r="BR438" s="583" t="s">
        <v>1045</v>
      </c>
      <c r="BS438" s="583" t="s">
        <v>1044</v>
      </c>
      <c r="BT438" s="666" t="s">
        <v>1051</v>
      </c>
      <c r="BU438" s="666" t="s">
        <v>1052</v>
      </c>
      <c r="BV438" s="648" t="s">
        <v>121</v>
      </c>
      <c r="BW438" s="583" t="s">
        <v>143</v>
      </c>
      <c r="BX438" s="583" t="s">
        <v>888</v>
      </c>
      <c r="BY438" s="583" t="s">
        <v>1045</v>
      </c>
      <c r="BZ438" s="583" t="s">
        <v>1044</v>
      </c>
      <c r="CA438" s="666" t="s">
        <v>1051</v>
      </c>
      <c r="CB438" s="666" t="s">
        <v>1052</v>
      </c>
      <c r="CC438" s="560"/>
    </row>
    <row r="439" spans="1:81" ht="15.75">
      <c r="A439" s="564"/>
      <c r="B439" s="585" t="s">
        <v>120</v>
      </c>
      <c r="C439" s="559">
        <v>0</v>
      </c>
      <c r="D439" s="612">
        <v>410.52</v>
      </c>
      <c r="E439" s="27">
        <v>0</v>
      </c>
      <c r="F439" s="27">
        <v>0</v>
      </c>
      <c r="G439" s="94">
        <v>2.91</v>
      </c>
      <c r="H439" s="559">
        <v>0</v>
      </c>
      <c r="I439" s="612">
        <v>431.22</v>
      </c>
      <c r="J439" s="260">
        <v>1.58</v>
      </c>
      <c r="K439" s="260">
        <v>1.52</v>
      </c>
      <c r="L439" s="550">
        <v>0</v>
      </c>
      <c r="M439" s="650">
        <v>0</v>
      </c>
      <c r="N439" s="639">
        <v>441.87</v>
      </c>
      <c r="O439" s="550">
        <v>0</v>
      </c>
      <c r="P439" s="550">
        <v>0</v>
      </c>
      <c r="Q439" s="94">
        <v>0</v>
      </c>
      <c r="R439" s="650">
        <v>0</v>
      </c>
      <c r="S439" s="639">
        <v>449.02</v>
      </c>
      <c r="T439" s="550">
        <v>0</v>
      </c>
      <c r="U439" s="550">
        <v>0</v>
      </c>
      <c r="V439" s="94">
        <v>0</v>
      </c>
      <c r="W439" s="5"/>
      <c r="X439" s="650">
        <v>0</v>
      </c>
      <c r="Y439" s="651">
        <f t="shared" ref="Y439:Y454" si="395">AVERAGE(E439:G439)/10</f>
        <v>9.7000000000000003E-2</v>
      </c>
      <c r="Z439" s="620">
        <v>9.6440000000000001</v>
      </c>
      <c r="AA439" s="620">
        <v>4.5170000000000003</v>
      </c>
      <c r="AB439" s="620">
        <f t="shared" ref="AB439:AB454" si="396">Z439-(AA439+Y439)</f>
        <v>5.0299999999999994</v>
      </c>
      <c r="AC439" s="620">
        <f t="shared" ref="AC439:AC454" si="397">3*Z439+AA439+Y439</f>
        <v>33.546000000000006</v>
      </c>
      <c r="AD439" s="653">
        <f t="shared" ref="AD439:AD454" si="398">1.398*(10^-6)*(X439^2)*AB439*AC439</f>
        <v>0</v>
      </c>
      <c r="AE439" s="650">
        <v>0</v>
      </c>
      <c r="AF439" s="620">
        <f t="shared" ref="AF439:AF454" si="399">AVERAGE(J439:L439)/10</f>
        <v>0.10333333333333335</v>
      </c>
      <c r="AG439" s="620">
        <v>9.6440000000000001</v>
      </c>
      <c r="AH439" s="620">
        <v>4.5170000000000003</v>
      </c>
      <c r="AI439" s="620">
        <f t="shared" ref="AI439:AI454" si="400">AG439-(AH439+AF439)</f>
        <v>5.0236666666666663</v>
      </c>
      <c r="AJ439" s="620">
        <f t="shared" ref="AJ439:AJ454" si="401">3*AG439+AH439+AF439</f>
        <v>33.552333333333337</v>
      </c>
      <c r="AK439" s="653">
        <f t="shared" ref="AK439:AK454" si="402">1.398*(10^-6)*(AE439^2)*AI439*AJ439</f>
        <v>0</v>
      </c>
      <c r="AL439" s="650">
        <v>0</v>
      </c>
      <c r="AM439" s="620">
        <f t="shared" ref="AM439:AM447" si="403">AVERAGE(O439:Q439)/10</f>
        <v>0</v>
      </c>
      <c r="AN439" s="620">
        <v>9.6440000000000001</v>
      </c>
      <c r="AO439" s="620">
        <v>4.5170000000000003</v>
      </c>
      <c r="AP439" s="620">
        <f t="shared" ref="AP439:AP454" si="404">AN439-(AO439+AM439)</f>
        <v>5.1269999999999998</v>
      </c>
      <c r="AQ439" s="620">
        <f t="shared" ref="AQ439:AQ454" si="405">3*AN439+AO439+AM439</f>
        <v>33.449000000000005</v>
      </c>
      <c r="AR439" s="698">
        <f t="shared" ref="AR439:AR454" si="406">1.398*(10^-6)*(AL439^2)*AP439*AQ439</f>
        <v>0</v>
      </c>
      <c r="AS439" s="650">
        <v>0</v>
      </c>
      <c r="AT439" s="620">
        <f t="shared" ref="AT439:AT454" si="407">AVERAGE(T439:V439)/10</f>
        <v>0</v>
      </c>
      <c r="AU439" s="620">
        <v>9.6440000000000001</v>
      </c>
      <c r="AV439" s="620">
        <v>4.5170000000000003</v>
      </c>
      <c r="AW439" s="620">
        <f t="shared" ref="AW439:AW454" si="408">AU439-(AV439+AT439)</f>
        <v>5.1269999999999998</v>
      </c>
      <c r="AX439" s="620">
        <f t="shared" ref="AX439:AX454" si="409">3*AU439+AV439+AT439</f>
        <v>33.449000000000005</v>
      </c>
      <c r="AY439" s="698">
        <f t="shared" ref="AY439:AY454" si="410">1.398*(10^-6)*(AS439^2)*AW439*AX439</f>
        <v>0</v>
      </c>
      <c r="AZ439" s="75"/>
      <c r="BA439" s="650">
        <v>0</v>
      </c>
      <c r="BB439" s="620">
        <v>103.50685607036536</v>
      </c>
      <c r="BC439" s="720">
        <f>(BB457-BB458)/BB439</f>
        <v>0.64691366873784373</v>
      </c>
      <c r="BD439" s="714">
        <f>D439-BB455</f>
        <v>55.779999999999973</v>
      </c>
      <c r="BE439" s="693">
        <f>BB457-BB458</f>
        <v>66.960000000000008</v>
      </c>
      <c r="BF439" s="693">
        <f t="shared" ref="BF439:BF454" si="411">BD439/BE439*100</f>
        <v>83.303464755077599</v>
      </c>
      <c r="BG439" s="668">
        <f t="shared" ref="BG439:BG454" si="412">BF439*BC439</f>
        <v>53.890150003280908</v>
      </c>
      <c r="BH439" s="650">
        <v>0</v>
      </c>
      <c r="BI439" s="620">
        <v>103.50685607036536</v>
      </c>
      <c r="BJ439" s="720">
        <f>(BI457-BI458)/BI439</f>
        <v>0.89453011631476909</v>
      </c>
      <c r="BK439" s="714">
        <f>I439-BI455</f>
        <v>50.870000000000005</v>
      </c>
      <c r="BL439" s="693">
        <f>BI457-BI458</f>
        <v>92.589999999999989</v>
      </c>
      <c r="BM439" s="693">
        <f t="shared" ref="BM439:BM454" si="413">BK439/BL439*100</f>
        <v>54.94113835187386</v>
      </c>
      <c r="BN439" s="668">
        <f t="shared" ref="BN439:BN454" si="414">BM439*BJ439</f>
        <v>49.146502880367542</v>
      </c>
      <c r="BO439" s="650">
        <v>0</v>
      </c>
      <c r="BP439" s="681">
        <v>103.50685607036536</v>
      </c>
      <c r="BQ439" s="720">
        <f>(BP457-BP458)/BP439</f>
        <v>1.0252460950785538</v>
      </c>
      <c r="BR439" s="714">
        <f>N439-BP455</f>
        <v>47.779999999999973</v>
      </c>
      <c r="BS439" s="693">
        <f>BP457-BP458</f>
        <v>106.11999999999999</v>
      </c>
      <c r="BT439" s="693">
        <f t="shared" ref="BT439:BT454" si="415">BR439/BS439*100</f>
        <v>45.024500565397638</v>
      </c>
      <c r="BU439" s="668">
        <f t="shared" ref="BU439:BU454" si="416">BT439*BQ439</f>
        <v>46.161193387536066</v>
      </c>
      <c r="BV439" s="650">
        <v>0</v>
      </c>
      <c r="BW439" s="620">
        <v>103.50685607036536</v>
      </c>
      <c r="BX439" s="720">
        <f>(BW457-BW458)/BW439</f>
        <v>1.1442720269610245</v>
      </c>
      <c r="BY439" s="714">
        <f>S439-BW455</f>
        <v>43.789999999999964</v>
      </c>
      <c r="BZ439" s="693">
        <f>BW457-BW458</f>
        <v>118.44</v>
      </c>
      <c r="CA439" s="693">
        <f t="shared" ref="CA439:CA454" si="417">BY439/BZ439*100</f>
        <v>36.972306653157688</v>
      </c>
      <c r="CB439" s="668">
        <f t="shared" ref="CB439:CB454" si="418">CA439*BX439</f>
        <v>42.306376275433315</v>
      </c>
      <c r="CC439" s="560"/>
    </row>
    <row r="440" spans="1:81" ht="15.75">
      <c r="A440" s="564"/>
      <c r="B440" s="585" t="s">
        <v>116</v>
      </c>
      <c r="C440" s="559">
        <v>300</v>
      </c>
      <c r="D440" s="612">
        <v>395.5</v>
      </c>
      <c r="E440" s="27">
        <v>2.34</v>
      </c>
      <c r="F440" s="27">
        <v>4.6900000000000004</v>
      </c>
      <c r="G440" s="94">
        <v>1.75</v>
      </c>
      <c r="H440" s="559">
        <v>300</v>
      </c>
      <c r="I440" s="559">
        <v>421.3</v>
      </c>
      <c r="J440" s="260">
        <v>2.82</v>
      </c>
      <c r="K440" s="260">
        <v>1.3</v>
      </c>
      <c r="L440" s="550">
        <v>2.1</v>
      </c>
      <c r="M440" s="650">
        <v>300</v>
      </c>
      <c r="N440" s="639">
        <v>436.06</v>
      </c>
      <c r="O440" s="550">
        <v>0.94</v>
      </c>
      <c r="P440" s="550">
        <v>0</v>
      </c>
      <c r="Q440" s="94">
        <v>0</v>
      </c>
      <c r="R440" s="650">
        <v>300</v>
      </c>
      <c r="S440" s="639">
        <v>448.92</v>
      </c>
      <c r="T440" s="550">
        <v>0</v>
      </c>
      <c r="U440" s="550">
        <v>0</v>
      </c>
      <c r="V440" s="94">
        <v>0</v>
      </c>
      <c r="W440" s="5"/>
      <c r="X440" s="650">
        <v>300</v>
      </c>
      <c r="Y440" s="651">
        <f t="shared" si="395"/>
        <v>0.29266666666666674</v>
      </c>
      <c r="Z440" s="620">
        <v>9.6440000000000001</v>
      </c>
      <c r="AA440" s="620">
        <v>4.5170000000000003</v>
      </c>
      <c r="AB440" s="620">
        <f t="shared" si="396"/>
        <v>4.8343333333333334</v>
      </c>
      <c r="AC440" s="620">
        <f t="shared" si="397"/>
        <v>33.741666666666674</v>
      </c>
      <c r="AD440" s="653">
        <f t="shared" si="398"/>
        <v>20.523565126499999</v>
      </c>
      <c r="AE440" s="650">
        <v>300</v>
      </c>
      <c r="AF440" s="620">
        <f t="shared" si="399"/>
        <v>0.20733333333333337</v>
      </c>
      <c r="AG440" s="620">
        <v>9.6440000000000001</v>
      </c>
      <c r="AH440" s="620">
        <v>4.5170000000000003</v>
      </c>
      <c r="AI440" s="620">
        <f t="shared" si="400"/>
        <v>4.9196666666666662</v>
      </c>
      <c r="AJ440" s="620">
        <f t="shared" si="401"/>
        <v>33.656333333333336</v>
      </c>
      <c r="AK440" s="653">
        <f t="shared" si="402"/>
        <v>20.833016564579996</v>
      </c>
      <c r="AL440" s="650">
        <v>300</v>
      </c>
      <c r="AM440" s="620">
        <f t="shared" si="403"/>
        <v>3.1333333333333331E-2</v>
      </c>
      <c r="AN440" s="620">
        <v>9.6440000000000001</v>
      </c>
      <c r="AO440" s="620">
        <v>4.5170000000000003</v>
      </c>
      <c r="AP440" s="620">
        <f t="shared" si="404"/>
        <v>5.0956666666666663</v>
      </c>
      <c r="AQ440" s="620">
        <f t="shared" si="405"/>
        <v>33.480333333333341</v>
      </c>
      <c r="AR440" s="698">
        <f t="shared" si="406"/>
        <v>21.465473106659999</v>
      </c>
      <c r="AS440" s="650">
        <v>300</v>
      </c>
      <c r="AT440" s="620">
        <f t="shared" si="407"/>
        <v>0</v>
      </c>
      <c r="AU440" s="620">
        <v>9.6440000000000001</v>
      </c>
      <c r="AV440" s="620">
        <v>4.5170000000000003</v>
      </c>
      <c r="AW440" s="620">
        <f t="shared" si="408"/>
        <v>5.1269999999999998</v>
      </c>
      <c r="AX440" s="620">
        <f t="shared" si="409"/>
        <v>33.449000000000005</v>
      </c>
      <c r="AY440" s="698">
        <f t="shared" si="410"/>
        <v>21.577252153859998</v>
      </c>
      <c r="AZ440" s="75"/>
      <c r="BA440" s="650">
        <v>300</v>
      </c>
      <c r="BB440" s="620">
        <v>103.50685607036536</v>
      </c>
      <c r="BC440" s="720">
        <f>(BB457-BB458)/BB439</f>
        <v>0.64691366873784373</v>
      </c>
      <c r="BD440" s="714">
        <f>D440-BB455</f>
        <v>40.759999999999991</v>
      </c>
      <c r="BE440" s="693">
        <f>BB457-BB458</f>
        <v>66.960000000000008</v>
      </c>
      <c r="BF440" s="693">
        <f t="shared" si="411"/>
        <v>60.872162485065694</v>
      </c>
      <c r="BG440" s="668">
        <f t="shared" si="412"/>
        <v>39.379033957219988</v>
      </c>
      <c r="BH440" s="650">
        <v>300</v>
      </c>
      <c r="BI440" s="620">
        <v>103.50685607036536</v>
      </c>
      <c r="BJ440" s="720">
        <f>(BI457-BI458)/BI439</f>
        <v>0.89453011631476909</v>
      </c>
      <c r="BK440" s="714">
        <f>I440-BI455</f>
        <v>40.949999999999989</v>
      </c>
      <c r="BL440" s="693">
        <f>BI457-BI458</f>
        <v>92.589999999999989</v>
      </c>
      <c r="BM440" s="693">
        <f t="shared" si="413"/>
        <v>44.22723836267415</v>
      </c>
      <c r="BN440" s="668">
        <f t="shared" si="414"/>
        <v>39.562596676843924</v>
      </c>
      <c r="BO440" s="650">
        <v>300</v>
      </c>
      <c r="BP440" s="681">
        <v>103.50685607036536</v>
      </c>
      <c r="BQ440" s="720">
        <f>(BP457-BP458)/BP439</f>
        <v>1.0252460950785538</v>
      </c>
      <c r="BR440" s="714">
        <f>N440-BP455</f>
        <v>41.96999999999997</v>
      </c>
      <c r="BS440" s="693">
        <f>BP457-BP458</f>
        <v>106.11999999999999</v>
      </c>
      <c r="BT440" s="693">
        <f t="shared" si="415"/>
        <v>39.549566528458321</v>
      </c>
      <c r="BU440" s="668">
        <f t="shared" si="416"/>
        <v>40.548038645351369</v>
      </c>
      <c r="BV440" s="650">
        <v>300</v>
      </c>
      <c r="BW440" s="620">
        <v>103.50685607036536</v>
      </c>
      <c r="BX440" s="720">
        <f>(BW457-BW458)/BW439</f>
        <v>1.1442720269610245</v>
      </c>
      <c r="BY440" s="714">
        <f>S440-BW455</f>
        <v>43.69</v>
      </c>
      <c r="BZ440" s="693">
        <f>BW457-BW458</f>
        <v>118.44</v>
      </c>
      <c r="CA440" s="693">
        <f t="shared" si="417"/>
        <v>36.887875717662951</v>
      </c>
      <c r="CB440" s="668">
        <f t="shared" si="418"/>
        <v>42.209764317736543</v>
      </c>
      <c r="CC440" s="560"/>
    </row>
    <row r="441" spans="1:81" ht="15.75">
      <c r="A441" s="564"/>
      <c r="B441" s="585" t="s">
        <v>116</v>
      </c>
      <c r="C441" s="559">
        <v>350</v>
      </c>
      <c r="D441" s="559">
        <v>394.62</v>
      </c>
      <c r="E441" s="27">
        <v>2.99</v>
      </c>
      <c r="F441" s="27">
        <v>4.6399999999999997</v>
      </c>
      <c r="G441" s="94">
        <v>2.06</v>
      </c>
      <c r="H441" s="559">
        <v>350</v>
      </c>
      <c r="I441" s="559">
        <v>419.62</v>
      </c>
      <c r="J441" s="260">
        <v>2.57</v>
      </c>
      <c r="K441" s="260">
        <v>2.7</v>
      </c>
      <c r="L441" s="550">
        <v>1.6</v>
      </c>
      <c r="M441" s="650">
        <v>350</v>
      </c>
      <c r="N441" s="639">
        <v>435.43</v>
      </c>
      <c r="O441" s="550">
        <v>2.4300000000000002</v>
      </c>
      <c r="P441" s="550">
        <v>0</v>
      </c>
      <c r="Q441" s="94">
        <v>0</v>
      </c>
      <c r="R441" s="650">
        <v>350</v>
      </c>
      <c r="S441" s="639">
        <v>448.24</v>
      </c>
      <c r="T441" s="550">
        <v>0</v>
      </c>
      <c r="U441" s="550">
        <v>0</v>
      </c>
      <c r="V441" s="94">
        <v>0</v>
      </c>
      <c r="W441" s="5"/>
      <c r="X441" s="650">
        <v>350</v>
      </c>
      <c r="Y441" s="651">
        <f t="shared" si="395"/>
        <v>0.32300000000000001</v>
      </c>
      <c r="Z441" s="620">
        <v>9.6440000000000001</v>
      </c>
      <c r="AA441" s="620">
        <v>4.5170000000000003</v>
      </c>
      <c r="AB441" s="620">
        <f t="shared" si="396"/>
        <v>4.8039999999999994</v>
      </c>
      <c r="AC441" s="620">
        <f t="shared" si="397"/>
        <v>33.772000000000006</v>
      </c>
      <c r="AD441" s="653">
        <f t="shared" si="398"/>
        <v>27.784529023439994</v>
      </c>
      <c r="AE441" s="650">
        <v>350</v>
      </c>
      <c r="AF441" s="620">
        <f t="shared" si="399"/>
        <v>0.22899999999999995</v>
      </c>
      <c r="AG441" s="620">
        <v>9.6440000000000001</v>
      </c>
      <c r="AH441" s="620">
        <v>4.5170000000000003</v>
      </c>
      <c r="AI441" s="620">
        <f t="shared" si="400"/>
        <v>4.8979999999999997</v>
      </c>
      <c r="AJ441" s="620">
        <f t="shared" si="401"/>
        <v>33.678000000000004</v>
      </c>
      <c r="AK441" s="653">
        <f t="shared" si="402"/>
        <v>28.249341809219999</v>
      </c>
      <c r="AL441" s="650">
        <v>350</v>
      </c>
      <c r="AM441" s="620">
        <f t="shared" si="403"/>
        <v>8.1000000000000003E-2</v>
      </c>
      <c r="AN441" s="620">
        <v>9.6440000000000001</v>
      </c>
      <c r="AO441" s="620">
        <v>4.5170000000000003</v>
      </c>
      <c r="AP441" s="620">
        <f t="shared" si="404"/>
        <v>5.0459999999999994</v>
      </c>
      <c r="AQ441" s="620">
        <f t="shared" si="405"/>
        <v>33.530000000000008</v>
      </c>
      <c r="AR441" s="698">
        <f t="shared" si="406"/>
        <v>28.975041036899999</v>
      </c>
      <c r="AS441" s="650">
        <v>350</v>
      </c>
      <c r="AT441" s="620">
        <f t="shared" si="407"/>
        <v>0</v>
      </c>
      <c r="AU441" s="620">
        <v>9.6440000000000001</v>
      </c>
      <c r="AV441" s="620">
        <v>4.5170000000000003</v>
      </c>
      <c r="AW441" s="620">
        <f t="shared" si="408"/>
        <v>5.1269999999999998</v>
      </c>
      <c r="AX441" s="620">
        <f t="shared" si="409"/>
        <v>33.449000000000005</v>
      </c>
      <c r="AY441" s="698">
        <f t="shared" si="410"/>
        <v>29.369037653864996</v>
      </c>
      <c r="AZ441" s="75"/>
      <c r="BA441" s="650">
        <v>350</v>
      </c>
      <c r="BB441" s="620">
        <v>103.50685607036536</v>
      </c>
      <c r="BC441" s="720">
        <f>(BB457-BB458)/BB439</f>
        <v>0.64691366873784373</v>
      </c>
      <c r="BD441" s="714">
        <f>D441-BB455</f>
        <v>39.879999999999995</v>
      </c>
      <c r="BE441" s="693">
        <f>BB457-BB458</f>
        <v>66.960000000000008</v>
      </c>
      <c r="BF441" s="693">
        <f t="shared" si="411"/>
        <v>59.557945041815998</v>
      </c>
      <c r="BG441" s="668">
        <f t="shared" si="412"/>
        <v>38.528848729488054</v>
      </c>
      <c r="BH441" s="650">
        <v>350</v>
      </c>
      <c r="BI441" s="620">
        <v>103.50685607036536</v>
      </c>
      <c r="BJ441" s="720">
        <f>(BI457-BI458)/BI439</f>
        <v>0.89453011631476909</v>
      </c>
      <c r="BK441" s="714">
        <f>I441-BI455</f>
        <v>39.269999999999982</v>
      </c>
      <c r="BL441" s="693">
        <f>BI457-BI458</f>
        <v>92.589999999999989</v>
      </c>
      <c r="BM441" s="693">
        <f t="shared" si="413"/>
        <v>42.412787558051612</v>
      </c>
      <c r="BN441" s="668">
        <f t="shared" si="414"/>
        <v>37.939515787537502</v>
      </c>
      <c r="BO441" s="650">
        <v>350</v>
      </c>
      <c r="BP441" s="681">
        <v>103.50685607036536</v>
      </c>
      <c r="BQ441" s="720">
        <f>(BP457-BP458)/BP439</f>
        <v>1.0252460950785538</v>
      </c>
      <c r="BR441" s="714">
        <f>N441-BP455</f>
        <v>41.339999999999975</v>
      </c>
      <c r="BS441" s="693">
        <f>BP457-BP458</f>
        <v>106.11999999999999</v>
      </c>
      <c r="BT441" s="693">
        <f t="shared" si="415"/>
        <v>38.955898982284189</v>
      </c>
      <c r="BU441" s="668">
        <f t="shared" si="416"/>
        <v>39.939383311861476</v>
      </c>
      <c r="BV441" s="650">
        <v>350</v>
      </c>
      <c r="BW441" s="620">
        <v>103.50685607036536</v>
      </c>
      <c r="BX441" s="720">
        <f>(BW457-BW458)/BW439</f>
        <v>1.1442720269610245</v>
      </c>
      <c r="BY441" s="714">
        <f>S441-BW455</f>
        <v>43.009999999999991</v>
      </c>
      <c r="BZ441" s="693">
        <f>BW457-BW458</f>
        <v>118.44</v>
      </c>
      <c r="CA441" s="693">
        <f t="shared" si="417"/>
        <v>36.31374535629854</v>
      </c>
      <c r="CB441" s="668">
        <f t="shared" si="418"/>
        <v>41.552803005398218</v>
      </c>
      <c r="CC441" s="560"/>
    </row>
    <row r="442" spans="1:81" ht="15.75">
      <c r="A442" s="564"/>
      <c r="B442" s="585" t="s">
        <v>116</v>
      </c>
      <c r="C442" s="559">
        <v>450</v>
      </c>
      <c r="D442" s="559">
        <v>391.23</v>
      </c>
      <c r="E442" s="27">
        <v>3.19</v>
      </c>
      <c r="F442" s="27">
        <v>5.41</v>
      </c>
      <c r="G442" s="94">
        <v>2.2400000000000002</v>
      </c>
      <c r="H442" s="559">
        <v>450</v>
      </c>
      <c r="I442" s="612">
        <v>417.28</v>
      </c>
      <c r="J442" s="260">
        <v>2.39</v>
      </c>
      <c r="K442" s="260">
        <v>2.97</v>
      </c>
      <c r="L442" s="550">
        <v>1.86</v>
      </c>
      <c r="M442" s="650">
        <v>450</v>
      </c>
      <c r="N442" s="639">
        <v>432.46</v>
      </c>
      <c r="O442" s="550">
        <v>0.96</v>
      </c>
      <c r="P442" s="550">
        <v>0.85</v>
      </c>
      <c r="Q442" s="94">
        <v>2.44</v>
      </c>
      <c r="R442" s="650">
        <v>450</v>
      </c>
      <c r="S442" s="639">
        <v>447.52</v>
      </c>
      <c r="T442" s="550">
        <v>2.93</v>
      </c>
      <c r="U442" s="550">
        <v>0</v>
      </c>
      <c r="V442" s="94">
        <v>0</v>
      </c>
      <c r="W442" s="5"/>
      <c r="X442" s="650">
        <v>450</v>
      </c>
      <c r="Y442" s="651">
        <f t="shared" si="395"/>
        <v>0.36133333333333334</v>
      </c>
      <c r="Z442" s="620">
        <v>9.6440000000000001</v>
      </c>
      <c r="AA442" s="620">
        <v>4.5170000000000003</v>
      </c>
      <c r="AB442" s="620">
        <f t="shared" si="396"/>
        <v>4.7656666666666663</v>
      </c>
      <c r="AC442" s="620">
        <f t="shared" si="397"/>
        <v>33.81033333333334</v>
      </c>
      <c r="AD442" s="653">
        <f t="shared" si="398"/>
        <v>45.614751565184996</v>
      </c>
      <c r="AE442" s="650">
        <v>450</v>
      </c>
      <c r="AF442" s="620">
        <f t="shared" si="399"/>
        <v>0.24066666666666667</v>
      </c>
      <c r="AG442" s="620">
        <v>9.6440000000000001</v>
      </c>
      <c r="AH442" s="620">
        <v>4.5170000000000003</v>
      </c>
      <c r="AI442" s="620">
        <f t="shared" si="400"/>
        <v>4.886333333333333</v>
      </c>
      <c r="AJ442" s="620">
        <f t="shared" si="401"/>
        <v>33.689666666666675</v>
      </c>
      <c r="AK442" s="653">
        <f t="shared" si="402"/>
        <v>46.602799165304994</v>
      </c>
      <c r="AL442" s="650">
        <v>450</v>
      </c>
      <c r="AM442" s="620">
        <f t="shared" si="403"/>
        <v>0.14166666666666666</v>
      </c>
      <c r="AN442" s="620">
        <v>9.6440000000000001</v>
      </c>
      <c r="AO442" s="620">
        <v>4.5170000000000003</v>
      </c>
      <c r="AP442" s="620">
        <f t="shared" si="404"/>
        <v>4.9853333333333332</v>
      </c>
      <c r="AQ442" s="620">
        <f t="shared" si="405"/>
        <v>33.590666666666671</v>
      </c>
      <c r="AR442" s="698">
        <f t="shared" si="406"/>
        <v>47.407278436559992</v>
      </c>
      <c r="AS442" s="650">
        <v>450</v>
      </c>
      <c r="AT442" s="620">
        <f t="shared" si="407"/>
        <v>9.7666666666666666E-2</v>
      </c>
      <c r="AU442" s="620">
        <v>9.6440000000000001</v>
      </c>
      <c r="AV442" s="620">
        <v>4.5170000000000003</v>
      </c>
      <c r="AW442" s="620">
        <f t="shared" si="408"/>
        <v>5.0293333333333328</v>
      </c>
      <c r="AX442" s="620">
        <f t="shared" si="409"/>
        <v>33.546666666666674</v>
      </c>
      <c r="AY442" s="698">
        <f t="shared" si="410"/>
        <v>47.763043545599992</v>
      </c>
      <c r="AZ442" s="75"/>
      <c r="BA442" s="650">
        <v>450</v>
      </c>
      <c r="BB442" s="620">
        <v>103.50685607036536</v>
      </c>
      <c r="BC442" s="720">
        <f>(BB457-BB458)/BB439</f>
        <v>0.64691366873784373</v>
      </c>
      <c r="BD442" s="714">
        <f>D442-BB455</f>
        <v>36.490000000000009</v>
      </c>
      <c r="BE442" s="693">
        <f>BB457-BB458</f>
        <v>66.960000000000008</v>
      </c>
      <c r="BF442" s="693">
        <f t="shared" si="411"/>
        <v>54.495221027479104</v>
      </c>
      <c r="BG442" s="668">
        <f t="shared" si="412"/>
        <v>35.253703363566196</v>
      </c>
      <c r="BH442" s="650">
        <v>450</v>
      </c>
      <c r="BI442" s="620">
        <v>103.50685607036536</v>
      </c>
      <c r="BJ442" s="720">
        <f>(BI457-BI458)/BI439</f>
        <v>0.89453011631476909</v>
      </c>
      <c r="BK442" s="714">
        <f>I442-BI455</f>
        <v>36.92999999999995</v>
      </c>
      <c r="BL442" s="693">
        <f>BI457-BI458</f>
        <v>92.589999999999989</v>
      </c>
      <c r="BM442" s="693">
        <f t="shared" si="413"/>
        <v>39.885516794470192</v>
      </c>
      <c r="BN442" s="668">
        <f t="shared" si="414"/>
        <v>35.678795977432095</v>
      </c>
      <c r="BO442" s="650">
        <v>450</v>
      </c>
      <c r="BP442" s="681">
        <v>103.50685607036536</v>
      </c>
      <c r="BQ442" s="720">
        <f>(BP457-BP458)/BP439</f>
        <v>1.0252460950785538</v>
      </c>
      <c r="BR442" s="714">
        <f>N442-BP455</f>
        <v>38.369999999999948</v>
      </c>
      <c r="BS442" s="693">
        <f>BP457-BP458</f>
        <v>106.11999999999999</v>
      </c>
      <c r="BT442" s="693">
        <f t="shared" si="415"/>
        <v>36.157180550320348</v>
      </c>
      <c r="BU442" s="668">
        <f t="shared" si="416"/>
        <v>37.07000816826617</v>
      </c>
      <c r="BV442" s="650">
        <v>450</v>
      </c>
      <c r="BW442" s="620">
        <v>103.50685607036536</v>
      </c>
      <c r="BX442" s="720">
        <f>(BW457-BW458)/BW439</f>
        <v>1.1442720269610245</v>
      </c>
      <c r="BY442" s="714">
        <f>S442-BW455</f>
        <v>42.289999999999964</v>
      </c>
      <c r="BZ442" s="693">
        <f>BW457-BW458</f>
        <v>118.44</v>
      </c>
      <c r="CA442" s="693">
        <f t="shared" si="417"/>
        <v>35.705842620736206</v>
      </c>
      <c r="CB442" s="668">
        <f t="shared" si="418"/>
        <v>40.857196909981155</v>
      </c>
      <c r="CC442" s="560"/>
    </row>
    <row r="443" spans="1:81" ht="15.75">
      <c r="A443" s="564"/>
      <c r="B443" s="585" t="s">
        <v>116</v>
      </c>
      <c r="C443" s="559">
        <v>550</v>
      </c>
      <c r="D443" s="559">
        <v>388.21</v>
      </c>
      <c r="E443" s="652">
        <v>3.69</v>
      </c>
      <c r="F443" s="652">
        <v>5.71</v>
      </c>
      <c r="G443" s="653">
        <v>2.46</v>
      </c>
      <c r="H443" s="559">
        <v>550</v>
      </c>
      <c r="I443" s="559">
        <v>414.54</v>
      </c>
      <c r="J443" s="260">
        <v>3.4</v>
      </c>
      <c r="K443" s="260">
        <v>3.7</v>
      </c>
      <c r="L443" s="550">
        <v>2.67</v>
      </c>
      <c r="M443" s="650">
        <v>550</v>
      </c>
      <c r="N443" s="639">
        <v>429.78</v>
      </c>
      <c r="O443" s="550">
        <v>2.69</v>
      </c>
      <c r="P443" s="550">
        <v>1.54</v>
      </c>
      <c r="Q443" s="94">
        <v>1.53</v>
      </c>
      <c r="R443" s="650">
        <v>550</v>
      </c>
      <c r="S443" s="639">
        <v>445.57</v>
      </c>
      <c r="T443" s="550">
        <v>1.01</v>
      </c>
      <c r="U443" s="550">
        <v>1.28</v>
      </c>
      <c r="V443" s="94">
        <v>3.21</v>
      </c>
      <c r="W443" s="5"/>
      <c r="X443" s="650">
        <v>550</v>
      </c>
      <c r="Y443" s="651">
        <f t="shared" si="395"/>
        <v>0.39533333333333331</v>
      </c>
      <c r="Z443" s="620">
        <v>9.6440000000000001</v>
      </c>
      <c r="AA443" s="620">
        <v>4.5170000000000003</v>
      </c>
      <c r="AB443" s="620">
        <f t="shared" si="396"/>
        <v>4.7316666666666665</v>
      </c>
      <c r="AC443" s="620">
        <f t="shared" si="397"/>
        <v>33.844333333333338</v>
      </c>
      <c r="AD443" s="653">
        <f t="shared" si="398"/>
        <v>67.722449234091656</v>
      </c>
      <c r="AE443" s="650">
        <v>550</v>
      </c>
      <c r="AF443" s="620">
        <f t="shared" si="399"/>
        <v>0.32566666666666666</v>
      </c>
      <c r="AG443" s="620">
        <v>9.6440000000000001</v>
      </c>
      <c r="AH443" s="620">
        <v>4.5170000000000003</v>
      </c>
      <c r="AI443" s="620">
        <f t="shared" si="400"/>
        <v>4.801333333333333</v>
      </c>
      <c r="AJ443" s="620">
        <f t="shared" si="401"/>
        <v>33.774666666666668</v>
      </c>
      <c r="AK443" s="653">
        <f t="shared" si="402"/>
        <v>68.578104951546649</v>
      </c>
      <c r="AL443" s="650">
        <v>550</v>
      </c>
      <c r="AM443" s="620">
        <f t="shared" si="403"/>
        <v>0.192</v>
      </c>
      <c r="AN443" s="620">
        <v>9.6440000000000001</v>
      </c>
      <c r="AO443" s="620">
        <v>4.5170000000000003</v>
      </c>
      <c r="AP443" s="620">
        <f t="shared" si="404"/>
        <v>4.9349999999999996</v>
      </c>
      <c r="AQ443" s="620">
        <f t="shared" si="405"/>
        <v>33.641000000000005</v>
      </c>
      <c r="AR443" s="698">
        <f t="shared" si="406"/>
        <v>70.208323779824994</v>
      </c>
      <c r="AS443" s="650">
        <v>550</v>
      </c>
      <c r="AT443" s="620">
        <f t="shared" si="407"/>
        <v>0.18333333333333332</v>
      </c>
      <c r="AU443" s="620">
        <v>9.6440000000000001</v>
      </c>
      <c r="AV443" s="620">
        <v>4.5170000000000003</v>
      </c>
      <c r="AW443" s="620">
        <f t="shared" si="408"/>
        <v>4.9436666666666662</v>
      </c>
      <c r="AX443" s="620">
        <f t="shared" si="409"/>
        <v>33.632333333333335</v>
      </c>
      <c r="AY443" s="698">
        <f t="shared" si="410"/>
        <v>70.313502089251656</v>
      </c>
      <c r="AZ443" s="75"/>
      <c r="BA443" s="650">
        <v>550</v>
      </c>
      <c r="BB443" s="620">
        <v>103.50685607036536</v>
      </c>
      <c r="BC443" s="720">
        <f>(BB457-BB458)/BB439</f>
        <v>0.64691366873784373</v>
      </c>
      <c r="BD443" s="714">
        <f>D443-BB455</f>
        <v>33.46999999999997</v>
      </c>
      <c r="BE443" s="693">
        <f>BB457-BB458</f>
        <v>66.960000000000008</v>
      </c>
      <c r="BF443" s="693">
        <f t="shared" si="411"/>
        <v>49.985065710872114</v>
      </c>
      <c r="BG443" s="668">
        <f t="shared" si="412"/>
        <v>32.336022241122471</v>
      </c>
      <c r="BH443" s="650">
        <v>550</v>
      </c>
      <c r="BI443" s="620">
        <v>103.50685607036536</v>
      </c>
      <c r="BJ443" s="720">
        <f>(BI457-BI458)/BI439</f>
        <v>0.89453011631476909</v>
      </c>
      <c r="BK443" s="714">
        <f>I443-BI455</f>
        <v>34.19</v>
      </c>
      <c r="BL443" s="693">
        <f>BI457-BI458</f>
        <v>92.589999999999989</v>
      </c>
      <c r="BM443" s="693">
        <f t="shared" si="413"/>
        <v>36.926233934550169</v>
      </c>
      <c r="BN443" s="668">
        <f t="shared" si="414"/>
        <v>33.031628336539534</v>
      </c>
      <c r="BO443" s="650">
        <v>550</v>
      </c>
      <c r="BP443" s="681">
        <v>103.50685607036536</v>
      </c>
      <c r="BQ443" s="720">
        <f>(BP457-BP458)/BP439</f>
        <v>1.0252460950785538</v>
      </c>
      <c r="BR443" s="714">
        <f>N443-BP455</f>
        <v>35.689999999999941</v>
      </c>
      <c r="BS443" s="693">
        <f>BP457-BP458</f>
        <v>106.11999999999999</v>
      </c>
      <c r="BT443" s="693">
        <f t="shared" si="415"/>
        <v>33.631737655484308</v>
      </c>
      <c r="BU443" s="668">
        <f t="shared" si="416"/>
        <v>34.480807701991644</v>
      </c>
      <c r="BV443" s="650">
        <v>550</v>
      </c>
      <c r="BW443" s="620">
        <v>103.50685607036536</v>
      </c>
      <c r="BX443" s="720">
        <f>(BW457-BW458)/BW439</f>
        <v>1.1442720269610245</v>
      </c>
      <c r="BY443" s="714">
        <f>S443-BW455</f>
        <v>40.339999999999975</v>
      </c>
      <c r="BZ443" s="693">
        <f>BW457-BW458</f>
        <v>118.44</v>
      </c>
      <c r="CA443" s="693">
        <f t="shared" si="417"/>
        <v>34.059439378588294</v>
      </c>
      <c r="CB443" s="668">
        <f t="shared" si="418"/>
        <v>38.973263734893365</v>
      </c>
      <c r="CC443" s="560"/>
    </row>
    <row r="444" spans="1:81" ht="15.75">
      <c r="A444" s="564"/>
      <c r="B444" s="585" t="s">
        <v>116</v>
      </c>
      <c r="C444" s="559">
        <v>650</v>
      </c>
      <c r="D444" s="559">
        <v>386.36</v>
      </c>
      <c r="E444" s="652">
        <v>5.5</v>
      </c>
      <c r="F444" s="652">
        <v>4.4400000000000004</v>
      </c>
      <c r="G444" s="653">
        <v>4.34</v>
      </c>
      <c r="H444" s="559">
        <v>650</v>
      </c>
      <c r="I444" s="559">
        <v>412.88</v>
      </c>
      <c r="J444" s="260">
        <v>4.42</v>
      </c>
      <c r="K444" s="260">
        <v>3.14</v>
      </c>
      <c r="L444" s="550">
        <v>3.09</v>
      </c>
      <c r="M444" s="650">
        <v>650</v>
      </c>
      <c r="N444" s="639">
        <v>428.06</v>
      </c>
      <c r="O444" s="550">
        <v>2.68</v>
      </c>
      <c r="P444" s="550">
        <v>1.51</v>
      </c>
      <c r="Q444" s="94">
        <v>1.81</v>
      </c>
      <c r="R444" s="650">
        <v>650</v>
      </c>
      <c r="S444" s="639">
        <v>444.84</v>
      </c>
      <c r="T444" s="639">
        <v>0</v>
      </c>
      <c r="U444" s="639">
        <v>0</v>
      </c>
      <c r="V444" s="654">
        <v>0</v>
      </c>
      <c r="W444" s="5"/>
      <c r="X444" s="650">
        <v>650</v>
      </c>
      <c r="Y444" s="651">
        <f t="shared" si="395"/>
        <v>0.47600000000000009</v>
      </c>
      <c r="Z444" s="620">
        <v>9.6440000000000001</v>
      </c>
      <c r="AA444" s="620">
        <v>4.5170000000000003</v>
      </c>
      <c r="AB444" s="620">
        <f t="shared" si="396"/>
        <v>4.6509999999999998</v>
      </c>
      <c r="AC444" s="620">
        <f t="shared" si="397"/>
        <v>33.925000000000004</v>
      </c>
      <c r="AD444" s="653">
        <f t="shared" si="398"/>
        <v>93.19660253962499</v>
      </c>
      <c r="AE444" s="650">
        <v>650</v>
      </c>
      <c r="AF444" s="620">
        <f t="shared" si="399"/>
        <v>0.35500000000000004</v>
      </c>
      <c r="AG444" s="620">
        <v>9.6440000000000001</v>
      </c>
      <c r="AH444" s="620">
        <v>4.5170000000000003</v>
      </c>
      <c r="AI444" s="620">
        <f t="shared" si="400"/>
        <v>4.7719999999999994</v>
      </c>
      <c r="AJ444" s="620">
        <f t="shared" si="401"/>
        <v>33.804000000000002</v>
      </c>
      <c r="AK444" s="653">
        <f t="shared" si="402"/>
        <v>95.280145730639987</v>
      </c>
      <c r="AL444" s="650">
        <v>650</v>
      </c>
      <c r="AM444" s="620">
        <f t="shared" si="403"/>
        <v>0.2</v>
      </c>
      <c r="AN444" s="620">
        <v>9.6440000000000001</v>
      </c>
      <c r="AO444" s="620">
        <v>4.5170000000000003</v>
      </c>
      <c r="AP444" s="620">
        <f t="shared" si="404"/>
        <v>4.9269999999999996</v>
      </c>
      <c r="AQ444" s="620">
        <f t="shared" si="405"/>
        <v>33.649000000000008</v>
      </c>
      <c r="AR444" s="698">
        <f t="shared" si="406"/>
        <v>97.923879118065003</v>
      </c>
      <c r="AS444" s="650">
        <v>650</v>
      </c>
      <c r="AT444" s="620">
        <f t="shared" si="407"/>
        <v>0</v>
      </c>
      <c r="AU444" s="620">
        <v>9.6440000000000001</v>
      </c>
      <c r="AV444" s="620">
        <v>4.5170000000000003</v>
      </c>
      <c r="AW444" s="620">
        <f t="shared" si="408"/>
        <v>5.1269999999999998</v>
      </c>
      <c r="AX444" s="620">
        <f t="shared" si="409"/>
        <v>33.449000000000005</v>
      </c>
      <c r="AY444" s="698">
        <f t="shared" si="410"/>
        <v>101.293211500065</v>
      </c>
      <c r="AZ444" s="75"/>
      <c r="BA444" s="650">
        <v>650</v>
      </c>
      <c r="BB444" s="620">
        <v>103.50685607036536</v>
      </c>
      <c r="BC444" s="720">
        <f>(BB457-BB458)/BB439</f>
        <v>0.64691366873784373</v>
      </c>
      <c r="BD444" s="714">
        <f>D444-BB455</f>
        <v>31.620000000000005</v>
      </c>
      <c r="BE444" s="693">
        <f>BB457-BB458</f>
        <v>66.960000000000008</v>
      </c>
      <c r="BF444" s="693">
        <f t="shared" si="411"/>
        <v>47.222222222222221</v>
      </c>
      <c r="BG444" s="668">
        <f t="shared" si="412"/>
        <v>30.54870102373151</v>
      </c>
      <c r="BH444" s="650">
        <v>650</v>
      </c>
      <c r="BI444" s="620">
        <v>103.50685607036536</v>
      </c>
      <c r="BJ444" s="720">
        <f>(BI457-BI458)/BI439</f>
        <v>0.89453011631476909</v>
      </c>
      <c r="BK444" s="714">
        <f>I444-BI455</f>
        <v>32.529999999999973</v>
      </c>
      <c r="BL444" s="693">
        <f>BI457-BI458</f>
        <v>92.589999999999989</v>
      </c>
      <c r="BM444" s="693">
        <f t="shared" si="413"/>
        <v>35.133383734744548</v>
      </c>
      <c r="BN444" s="668">
        <f t="shared" si="414"/>
        <v>31.427869838772455</v>
      </c>
      <c r="BO444" s="650">
        <v>650</v>
      </c>
      <c r="BP444" s="681">
        <v>103.50685607036536</v>
      </c>
      <c r="BQ444" s="720">
        <f>(BP457-BP458)/BP439</f>
        <v>1.0252460950785538</v>
      </c>
      <c r="BR444" s="714">
        <f>N444-BP455</f>
        <v>33.96999999999997</v>
      </c>
      <c r="BS444" s="693">
        <f>BP457-BP458</f>
        <v>106.11999999999999</v>
      </c>
      <c r="BT444" s="693">
        <f t="shared" si="415"/>
        <v>32.010931021485085</v>
      </c>
      <c r="BU444" s="668">
        <f t="shared" si="416"/>
        <v>32.819082029606527</v>
      </c>
      <c r="BV444" s="650">
        <v>650</v>
      </c>
      <c r="BW444" s="620">
        <v>103.50685607036536</v>
      </c>
      <c r="BX444" s="720">
        <f>(BW457-BW458)/BW439</f>
        <v>1.1442720269610245</v>
      </c>
      <c r="BY444" s="714">
        <f>S444-BW455</f>
        <v>39.609999999999957</v>
      </c>
      <c r="BZ444" s="693">
        <f>BW457-BW458</f>
        <v>118.44</v>
      </c>
      <c r="CA444" s="693">
        <f t="shared" si="417"/>
        <v>33.443093549476494</v>
      </c>
      <c r="CB444" s="668">
        <f t="shared" si="418"/>
        <v>38.267996443706629</v>
      </c>
      <c r="CC444" s="560"/>
    </row>
    <row r="445" spans="1:81" ht="15.75">
      <c r="A445" s="564"/>
      <c r="B445" s="585" t="s">
        <v>116</v>
      </c>
      <c r="C445" s="559">
        <v>750</v>
      </c>
      <c r="D445" s="559">
        <v>384.8</v>
      </c>
      <c r="E445" s="652">
        <v>4.43</v>
      </c>
      <c r="F445" s="652">
        <v>6.64</v>
      </c>
      <c r="G445" s="653">
        <v>4.8499999999999996</v>
      </c>
      <c r="H445" s="559">
        <v>750</v>
      </c>
      <c r="I445" s="559">
        <v>411.37</v>
      </c>
      <c r="J445" s="260">
        <v>3.95</v>
      </c>
      <c r="K445" s="260">
        <v>4.6100000000000003</v>
      </c>
      <c r="L445" s="550">
        <v>3.37</v>
      </c>
      <c r="M445" s="650">
        <v>750</v>
      </c>
      <c r="N445" s="639">
        <v>426.47</v>
      </c>
      <c r="O445" s="562">
        <v>3.05</v>
      </c>
      <c r="P445" s="562">
        <v>2.04</v>
      </c>
      <c r="Q445" s="588">
        <v>2.02</v>
      </c>
      <c r="R445" s="650">
        <v>750</v>
      </c>
      <c r="S445" s="639">
        <v>443.8</v>
      </c>
      <c r="T445" s="639">
        <v>1.81</v>
      </c>
      <c r="U445" s="639">
        <v>2.16</v>
      </c>
      <c r="V445" s="654">
        <v>4.0599999999999996</v>
      </c>
      <c r="W445" s="5"/>
      <c r="X445" s="650">
        <v>750</v>
      </c>
      <c r="Y445" s="651">
        <f t="shared" si="395"/>
        <v>0.53066666666666662</v>
      </c>
      <c r="Z445" s="620">
        <v>9.6440000000000001</v>
      </c>
      <c r="AA445" s="620">
        <v>4.5170000000000003</v>
      </c>
      <c r="AB445" s="620">
        <f t="shared" si="396"/>
        <v>4.5963333333333329</v>
      </c>
      <c r="AC445" s="620">
        <f t="shared" si="397"/>
        <v>33.979666666666674</v>
      </c>
      <c r="AD445" s="653">
        <f t="shared" si="398"/>
        <v>122.81752160362501</v>
      </c>
      <c r="AE445" s="650">
        <v>750</v>
      </c>
      <c r="AF445" s="620">
        <f t="shared" si="399"/>
        <v>0.39766666666666667</v>
      </c>
      <c r="AG445" s="620">
        <v>9.6440000000000001</v>
      </c>
      <c r="AH445" s="620">
        <v>4.5170000000000003</v>
      </c>
      <c r="AI445" s="620">
        <f t="shared" si="400"/>
        <v>4.7293333333333329</v>
      </c>
      <c r="AJ445" s="620">
        <f t="shared" si="401"/>
        <v>33.846666666666671</v>
      </c>
      <c r="AK445" s="653">
        <f t="shared" si="402"/>
        <v>125.87675181</v>
      </c>
      <c r="AL445" s="650">
        <v>750</v>
      </c>
      <c r="AM445" s="620">
        <f t="shared" si="403"/>
        <v>0.23699999999999996</v>
      </c>
      <c r="AN445" s="620">
        <v>9.6440000000000001</v>
      </c>
      <c r="AO445" s="620">
        <v>4.5170000000000003</v>
      </c>
      <c r="AP445" s="620">
        <f t="shared" si="404"/>
        <v>4.8899999999999997</v>
      </c>
      <c r="AQ445" s="620">
        <f t="shared" si="405"/>
        <v>33.686000000000007</v>
      </c>
      <c r="AR445" s="698">
        <f t="shared" si="406"/>
        <v>129.53526014249999</v>
      </c>
      <c r="AS445" s="650">
        <v>750</v>
      </c>
      <c r="AT445" s="620">
        <f t="shared" si="407"/>
        <v>0.26766666666666661</v>
      </c>
      <c r="AU445" s="620">
        <v>9.6440000000000001</v>
      </c>
      <c r="AV445" s="620">
        <v>4.5170000000000003</v>
      </c>
      <c r="AW445" s="620">
        <f t="shared" si="408"/>
        <v>4.8593333333333328</v>
      </c>
      <c r="AX445" s="620">
        <f t="shared" si="409"/>
        <v>33.716666666666669</v>
      </c>
      <c r="AY445" s="698">
        <f t="shared" si="410"/>
        <v>128.84009066249999</v>
      </c>
      <c r="AZ445" s="75"/>
      <c r="BA445" s="650">
        <v>750</v>
      </c>
      <c r="BB445" s="620">
        <v>103.50685607036536</v>
      </c>
      <c r="BC445" s="720">
        <f>(BB457-BB458)/BB439</f>
        <v>0.64691366873784373</v>
      </c>
      <c r="BD445" s="714">
        <f>D445-BB455</f>
        <v>30.060000000000002</v>
      </c>
      <c r="BE445" s="693">
        <f>BB457-BB458</f>
        <v>66.960000000000008</v>
      </c>
      <c r="BF445" s="693">
        <f t="shared" si="411"/>
        <v>44.892473118279568</v>
      </c>
      <c r="BG445" s="668">
        <f t="shared" si="412"/>
        <v>29.041554483661262</v>
      </c>
      <c r="BH445" s="650">
        <v>750</v>
      </c>
      <c r="BI445" s="620">
        <v>103.50685607036536</v>
      </c>
      <c r="BJ445" s="720">
        <f>(BI457-BI458)/BI439</f>
        <v>0.89453011631476909</v>
      </c>
      <c r="BK445" s="714">
        <f>I445-BI455</f>
        <v>31.019999999999982</v>
      </c>
      <c r="BL445" s="693">
        <f>BI457-BI458</f>
        <v>92.589999999999989</v>
      </c>
      <c r="BM445" s="693">
        <f t="shared" si="413"/>
        <v>33.50253807106597</v>
      </c>
      <c r="BN445" s="668">
        <f t="shared" si="414"/>
        <v>29.969029277550622</v>
      </c>
      <c r="BO445" s="650">
        <v>750</v>
      </c>
      <c r="BP445" s="681">
        <v>103.50685607036536</v>
      </c>
      <c r="BQ445" s="720">
        <f>(BP457-BP458)/BP439</f>
        <v>1.0252460950785538</v>
      </c>
      <c r="BR445" s="714">
        <f>N445-BP455</f>
        <v>32.379999999999995</v>
      </c>
      <c r="BS445" s="693">
        <f>BP457-BP458</f>
        <v>106.11999999999999</v>
      </c>
      <c r="BT445" s="693">
        <f t="shared" si="415"/>
        <v>30.512627214474179</v>
      </c>
      <c r="BU445" s="668">
        <f t="shared" si="416"/>
        <v>31.282951902227261</v>
      </c>
      <c r="BV445" s="650">
        <v>750</v>
      </c>
      <c r="BW445" s="620">
        <v>103.50685607036536</v>
      </c>
      <c r="BX445" s="720">
        <f>(BW457-BW458)/BW439</f>
        <v>1.1442720269610245</v>
      </c>
      <c r="BY445" s="714">
        <f>S445-BW455</f>
        <v>38.569999999999993</v>
      </c>
      <c r="BZ445" s="693">
        <f>BW457-BW458</f>
        <v>118.44</v>
      </c>
      <c r="CA445" s="693">
        <f t="shared" si="417"/>
        <v>32.565011820330966</v>
      </c>
      <c r="CB445" s="668">
        <f t="shared" si="418"/>
        <v>37.263232083659837</v>
      </c>
      <c r="CC445" s="560"/>
    </row>
    <row r="446" spans="1:81" ht="15.75">
      <c r="A446" s="564"/>
      <c r="B446" s="585" t="s">
        <v>116</v>
      </c>
      <c r="C446" s="559">
        <v>850</v>
      </c>
      <c r="D446" s="559">
        <v>383.49</v>
      </c>
      <c r="E446" s="652">
        <v>5.47</v>
      </c>
      <c r="F446" s="652">
        <v>7.27</v>
      </c>
      <c r="G446" s="653">
        <v>5.62</v>
      </c>
      <c r="H446" s="559">
        <v>850</v>
      </c>
      <c r="I446" s="559">
        <v>409.95</v>
      </c>
      <c r="J446" s="260">
        <v>4.4400000000000004</v>
      </c>
      <c r="K446" s="260">
        <v>5.27</v>
      </c>
      <c r="L446" s="550">
        <v>4.12</v>
      </c>
      <c r="M446" s="650">
        <v>850</v>
      </c>
      <c r="N446" s="639">
        <v>425.14</v>
      </c>
      <c r="O446" s="562">
        <v>3.9</v>
      </c>
      <c r="P446" s="562">
        <v>2.81</v>
      </c>
      <c r="Q446" s="588">
        <v>2.73</v>
      </c>
      <c r="R446" s="650">
        <v>850</v>
      </c>
      <c r="S446" s="639">
        <v>439.5</v>
      </c>
      <c r="T446" s="639">
        <v>2.75</v>
      </c>
      <c r="U446" s="639">
        <v>3.43</v>
      </c>
      <c r="V446" s="654">
        <v>5.48</v>
      </c>
      <c r="W446" s="5"/>
      <c r="X446" s="650">
        <v>850</v>
      </c>
      <c r="Y446" s="651">
        <f t="shared" si="395"/>
        <v>0.61199999999999999</v>
      </c>
      <c r="Z446" s="620">
        <v>9.6440000000000001</v>
      </c>
      <c r="AA446" s="620">
        <v>4.5170000000000003</v>
      </c>
      <c r="AB446" s="620">
        <f t="shared" si="396"/>
        <v>4.5149999999999997</v>
      </c>
      <c r="AC446" s="620">
        <f t="shared" si="397"/>
        <v>34.061000000000007</v>
      </c>
      <c r="AD446" s="653">
        <f t="shared" si="398"/>
        <v>155.33172734782502</v>
      </c>
      <c r="AE446" s="650">
        <v>850</v>
      </c>
      <c r="AF446" s="620">
        <f t="shared" si="399"/>
        <v>0.46100000000000002</v>
      </c>
      <c r="AG446" s="620">
        <v>9.6440000000000001</v>
      </c>
      <c r="AH446" s="620">
        <v>4.5170000000000003</v>
      </c>
      <c r="AI446" s="620">
        <f t="shared" si="400"/>
        <v>4.6659999999999995</v>
      </c>
      <c r="AJ446" s="620">
        <f t="shared" si="401"/>
        <v>33.910000000000004</v>
      </c>
      <c r="AK446" s="653">
        <f t="shared" si="402"/>
        <v>159.81500292329997</v>
      </c>
      <c r="AL446" s="650">
        <v>850</v>
      </c>
      <c r="AM446" s="620">
        <f t="shared" si="403"/>
        <v>0.31466666666666665</v>
      </c>
      <c r="AN446" s="620">
        <v>9.6440000000000001</v>
      </c>
      <c r="AO446" s="620">
        <v>4.5170000000000003</v>
      </c>
      <c r="AP446" s="620">
        <f t="shared" si="404"/>
        <v>4.8123333333333331</v>
      </c>
      <c r="AQ446" s="620">
        <f t="shared" si="405"/>
        <v>33.763666666666673</v>
      </c>
      <c r="AR446" s="698">
        <f t="shared" si="406"/>
        <v>164.11577525213167</v>
      </c>
      <c r="AS446" s="650">
        <v>850</v>
      </c>
      <c r="AT446" s="620">
        <f t="shared" si="407"/>
        <v>0.38866666666666666</v>
      </c>
      <c r="AU446" s="620">
        <v>9.6440000000000001</v>
      </c>
      <c r="AV446" s="620">
        <v>4.5170000000000003</v>
      </c>
      <c r="AW446" s="620">
        <f t="shared" si="408"/>
        <v>4.7383333333333333</v>
      </c>
      <c r="AX446" s="620">
        <f t="shared" si="409"/>
        <v>33.837666666666671</v>
      </c>
      <c r="AY446" s="698">
        <f t="shared" si="410"/>
        <v>161.94630370569166</v>
      </c>
      <c r="AZ446" s="75"/>
      <c r="BA446" s="650">
        <v>850</v>
      </c>
      <c r="BB446" s="620">
        <v>103.50685607036536</v>
      </c>
      <c r="BC446" s="720">
        <f>(BB457-BB458)/BB439</f>
        <v>0.64691366873784373</v>
      </c>
      <c r="BD446" s="714">
        <f>D446-BB455</f>
        <v>28.75</v>
      </c>
      <c r="BE446" s="693">
        <f>BB457-BB458</f>
        <v>66.960000000000008</v>
      </c>
      <c r="BF446" s="693">
        <f t="shared" si="411"/>
        <v>42.93608124253285</v>
      </c>
      <c r="BG446" s="668">
        <f t="shared" si="412"/>
        <v>27.775937837833041</v>
      </c>
      <c r="BH446" s="650">
        <v>850</v>
      </c>
      <c r="BI446" s="620">
        <v>103.50685607036536</v>
      </c>
      <c r="BJ446" s="720">
        <f>(BI457-BI458)/BI439</f>
        <v>0.89453011631476909</v>
      </c>
      <c r="BK446" s="714">
        <f>I446-BI455</f>
        <v>29.599999999999966</v>
      </c>
      <c r="BL446" s="693">
        <f>BI457-BI458</f>
        <v>92.589999999999989</v>
      </c>
      <c r="BM446" s="693">
        <f t="shared" si="413"/>
        <v>31.968895129063579</v>
      </c>
      <c r="BN446" s="668">
        <f t="shared" si="414"/>
        <v>28.597139478255897</v>
      </c>
      <c r="BO446" s="650">
        <v>850</v>
      </c>
      <c r="BP446" s="681">
        <v>103.50685607036536</v>
      </c>
      <c r="BQ446" s="720">
        <f>(BP457-BP458)/BP439</f>
        <v>1.0252460950785538</v>
      </c>
      <c r="BR446" s="714">
        <f>N446-BP455</f>
        <v>31.049999999999955</v>
      </c>
      <c r="BS446" s="693">
        <f>BP457-BP458</f>
        <v>106.11999999999999</v>
      </c>
      <c r="BT446" s="693">
        <f t="shared" si="415"/>
        <v>29.259329061439836</v>
      </c>
      <c r="BU446" s="668">
        <f t="shared" si="416"/>
        <v>29.998012864859639</v>
      </c>
      <c r="BV446" s="650">
        <v>850</v>
      </c>
      <c r="BW446" s="620">
        <v>103.50685607036536</v>
      </c>
      <c r="BX446" s="720">
        <f>(BW457-BW458)/BW439</f>
        <v>1.1442720269610245</v>
      </c>
      <c r="BY446" s="714">
        <f>S446-BW455</f>
        <v>34.269999999999982</v>
      </c>
      <c r="BZ446" s="693">
        <f>BW457-BW458</f>
        <v>118.44</v>
      </c>
      <c r="CA446" s="693">
        <f t="shared" si="417"/>
        <v>28.934481594056049</v>
      </c>
      <c r="CB446" s="668">
        <f t="shared" si="418"/>
        <v>33.108917902696966</v>
      </c>
      <c r="CC446" s="560"/>
    </row>
    <row r="447" spans="1:81" ht="15.75">
      <c r="A447" s="564"/>
      <c r="B447" s="585" t="s">
        <v>116</v>
      </c>
      <c r="C447" s="559">
        <v>950</v>
      </c>
      <c r="D447" s="559">
        <v>382.44</v>
      </c>
      <c r="E447" s="652">
        <v>6.83</v>
      </c>
      <c r="F447" s="652">
        <v>5.05</v>
      </c>
      <c r="G447" s="653">
        <v>5.65</v>
      </c>
      <c r="H447" s="559">
        <v>950</v>
      </c>
      <c r="I447" s="559">
        <v>408.72</v>
      </c>
      <c r="J447" s="260">
        <v>4.49</v>
      </c>
      <c r="K447" s="260">
        <v>4.3</v>
      </c>
      <c r="L447" s="550">
        <v>3.61</v>
      </c>
      <c r="M447" s="650">
        <v>950</v>
      </c>
      <c r="N447" s="639">
        <v>423.98</v>
      </c>
      <c r="O447" s="562">
        <v>3.05</v>
      </c>
      <c r="P447" s="562">
        <v>3.66</v>
      </c>
      <c r="Q447" s="588">
        <v>2.37</v>
      </c>
      <c r="R447" s="650">
        <v>950</v>
      </c>
      <c r="S447" s="639">
        <v>437.87</v>
      </c>
      <c r="T447" s="639">
        <v>2.61</v>
      </c>
      <c r="U447" s="639">
        <v>3.12</v>
      </c>
      <c r="V447" s="654">
        <v>5.13</v>
      </c>
      <c r="W447" s="5"/>
      <c r="X447" s="650">
        <v>950</v>
      </c>
      <c r="Y447" s="651">
        <f t="shared" si="395"/>
        <v>0.58433333333333337</v>
      </c>
      <c r="Z447" s="620">
        <v>9.6440000000000001</v>
      </c>
      <c r="AA447" s="620">
        <v>4.5170000000000003</v>
      </c>
      <c r="AB447" s="620">
        <f t="shared" si="396"/>
        <v>4.5426666666666664</v>
      </c>
      <c r="AC447" s="620">
        <f t="shared" si="397"/>
        <v>34.033333333333339</v>
      </c>
      <c r="AD447" s="653">
        <f t="shared" si="398"/>
        <v>195.06068254066665</v>
      </c>
      <c r="AE447" s="650">
        <v>950</v>
      </c>
      <c r="AF447" s="620">
        <f t="shared" si="399"/>
        <v>0.41333333333333327</v>
      </c>
      <c r="AG447" s="620">
        <v>9.6440000000000001</v>
      </c>
      <c r="AH447" s="620">
        <v>4.5170000000000003</v>
      </c>
      <c r="AI447" s="620">
        <f t="shared" si="400"/>
        <v>4.7136666666666667</v>
      </c>
      <c r="AJ447" s="620">
        <f t="shared" si="401"/>
        <v>33.862333333333339</v>
      </c>
      <c r="AK447" s="653">
        <f t="shared" si="402"/>
        <v>201.38639607945166</v>
      </c>
      <c r="AL447" s="650">
        <v>950</v>
      </c>
      <c r="AM447" s="620">
        <f t="shared" si="403"/>
        <v>0.30266666666666669</v>
      </c>
      <c r="AN447" s="620">
        <v>9.6440000000000001</v>
      </c>
      <c r="AO447" s="620">
        <v>4.5170000000000003</v>
      </c>
      <c r="AP447" s="620">
        <f t="shared" si="404"/>
        <v>4.8243333333333327</v>
      </c>
      <c r="AQ447" s="620">
        <f t="shared" si="405"/>
        <v>33.751666666666672</v>
      </c>
      <c r="AR447" s="698">
        <f t="shared" si="406"/>
        <v>205.44090174749164</v>
      </c>
      <c r="AS447" s="650">
        <v>950</v>
      </c>
      <c r="AT447" s="620">
        <f t="shared" si="407"/>
        <v>0.36199999999999999</v>
      </c>
      <c r="AU447" s="620">
        <v>9.6440000000000001</v>
      </c>
      <c r="AV447" s="620">
        <v>4.5170000000000003</v>
      </c>
      <c r="AW447" s="620">
        <f t="shared" si="408"/>
        <v>4.7649999999999997</v>
      </c>
      <c r="AX447" s="620">
        <f t="shared" si="409"/>
        <v>33.811000000000007</v>
      </c>
      <c r="AY447" s="698">
        <f t="shared" si="410"/>
        <v>203.270943358425</v>
      </c>
      <c r="AZ447" s="75"/>
      <c r="BA447" s="650">
        <v>950</v>
      </c>
      <c r="BB447" s="620">
        <v>103.50685607036536</v>
      </c>
      <c r="BC447" s="720">
        <f>(BB457-BB458)/BB439</f>
        <v>0.64691366873784373</v>
      </c>
      <c r="BD447" s="714">
        <f>D447-BB455</f>
        <v>27.699999999999989</v>
      </c>
      <c r="BE447" s="693">
        <f>BB457-BB458</f>
        <v>66.960000000000008</v>
      </c>
      <c r="BF447" s="693">
        <f t="shared" si="411"/>
        <v>41.367980884109897</v>
      </c>
      <c r="BG447" s="668">
        <f t="shared" si="412"/>
        <v>26.761512282016522</v>
      </c>
      <c r="BH447" s="650">
        <v>950</v>
      </c>
      <c r="BI447" s="620">
        <v>103.50685607036536</v>
      </c>
      <c r="BJ447" s="720">
        <f>(BI457-BI458)/BI439</f>
        <v>0.89453011631476909</v>
      </c>
      <c r="BK447" s="714">
        <f>I447-BI455</f>
        <v>28.370000000000005</v>
      </c>
      <c r="BL447" s="693">
        <f>BI457-BI458</f>
        <v>92.589999999999989</v>
      </c>
      <c r="BM447" s="693">
        <f t="shared" si="413"/>
        <v>30.64045793282213</v>
      </c>
      <c r="BN447" s="668">
        <f t="shared" si="414"/>
        <v>27.408812398585169</v>
      </c>
      <c r="BO447" s="650">
        <v>950</v>
      </c>
      <c r="BP447" s="681">
        <v>103.50685607036536</v>
      </c>
      <c r="BQ447" s="720">
        <f>(BP457-BP458)/BP439</f>
        <v>1.0252460950785538</v>
      </c>
      <c r="BR447" s="714">
        <f>N447-BP455</f>
        <v>29.889999999999986</v>
      </c>
      <c r="BS447" s="693">
        <f>BP457-BP458</f>
        <v>106.11999999999999</v>
      </c>
      <c r="BT447" s="693">
        <f t="shared" si="415"/>
        <v>28.166226912928749</v>
      </c>
      <c r="BU447" s="668">
        <f t="shared" si="416"/>
        <v>28.87731415557667</v>
      </c>
      <c r="BV447" s="650">
        <v>950</v>
      </c>
      <c r="BW447" s="620">
        <v>103.50685607036536</v>
      </c>
      <c r="BX447" s="720">
        <f>(BW457-BW458)/BW439</f>
        <v>1.1442720269610245</v>
      </c>
      <c r="BY447" s="714">
        <f>S447-BW455</f>
        <v>32.639999999999986</v>
      </c>
      <c r="BZ447" s="693">
        <f>BW457-BW458</f>
        <v>118.44</v>
      </c>
      <c r="CA447" s="693">
        <f t="shared" si="417"/>
        <v>27.558257345491377</v>
      </c>
      <c r="CB447" s="668">
        <f t="shared" si="418"/>
        <v>31.534142992238959</v>
      </c>
      <c r="CC447" s="560"/>
    </row>
    <row r="448" spans="1:81" ht="15.75">
      <c r="A448" s="564"/>
      <c r="B448" s="585" t="s">
        <v>116</v>
      </c>
      <c r="C448" s="559">
        <v>1000</v>
      </c>
      <c r="D448" s="559">
        <v>381.84</v>
      </c>
      <c r="E448" s="652">
        <v>5.48</v>
      </c>
      <c r="F448" s="652">
        <v>7.64</v>
      </c>
      <c r="G448" s="653">
        <v>6.23</v>
      </c>
      <c r="H448" s="559">
        <v>1000</v>
      </c>
      <c r="I448" s="559">
        <v>407.99</v>
      </c>
      <c r="J448" s="260">
        <v>5.35</v>
      </c>
      <c r="K448" s="260">
        <v>5.95</v>
      </c>
      <c r="L448" s="550">
        <v>4.6500000000000004</v>
      </c>
      <c r="M448" s="650">
        <v>1000</v>
      </c>
      <c r="N448" s="562">
        <v>423.36</v>
      </c>
      <c r="O448" s="639">
        <v>4.34</v>
      </c>
      <c r="P448" s="562">
        <v>3.16</v>
      </c>
      <c r="Q448" s="588">
        <v>3.24</v>
      </c>
      <c r="R448" s="650">
        <v>1000</v>
      </c>
      <c r="S448" s="639">
        <v>437.07</v>
      </c>
      <c r="T448" s="639">
        <v>3.54</v>
      </c>
      <c r="U448" s="639">
        <v>3.68</v>
      </c>
      <c r="V448" s="654">
        <v>5.87</v>
      </c>
      <c r="W448" s="5"/>
      <c r="X448" s="650">
        <v>1000</v>
      </c>
      <c r="Y448" s="651">
        <f t="shared" si="395"/>
        <v>0.64500000000000002</v>
      </c>
      <c r="Z448" s="620">
        <v>9.6440000000000001</v>
      </c>
      <c r="AA448" s="620">
        <v>4.5170000000000003</v>
      </c>
      <c r="AB448" s="620">
        <f t="shared" si="396"/>
        <v>4.4819999999999993</v>
      </c>
      <c r="AC448" s="620">
        <f t="shared" si="397"/>
        <v>34.094000000000008</v>
      </c>
      <c r="AD448" s="653">
        <f t="shared" si="398"/>
        <v>213.62741258399996</v>
      </c>
      <c r="AE448" s="650">
        <v>1000</v>
      </c>
      <c r="AF448" s="620">
        <f t="shared" si="399"/>
        <v>0.53166666666666673</v>
      </c>
      <c r="AG448" s="620">
        <v>9.6440000000000001</v>
      </c>
      <c r="AH448" s="620">
        <v>4.5170000000000003</v>
      </c>
      <c r="AI448" s="620">
        <f t="shared" si="400"/>
        <v>4.5953333333333326</v>
      </c>
      <c r="AJ448" s="620">
        <f t="shared" si="401"/>
        <v>33.980666666666671</v>
      </c>
      <c r="AK448" s="653">
        <f t="shared" si="402"/>
        <v>218.30118133066659</v>
      </c>
      <c r="AL448" s="650">
        <v>1000</v>
      </c>
      <c r="AM448" s="620">
        <f>AVERAGE(P448:Q448)/10</f>
        <v>0.32</v>
      </c>
      <c r="AN448" s="620">
        <v>9.6440000000000001</v>
      </c>
      <c r="AO448" s="620">
        <v>4.5170000000000003</v>
      </c>
      <c r="AP448" s="620">
        <f t="shared" si="404"/>
        <v>4.8069999999999995</v>
      </c>
      <c r="AQ448" s="620">
        <f t="shared" si="405"/>
        <v>33.769000000000005</v>
      </c>
      <c r="AR448" s="698">
        <f t="shared" si="406"/>
        <v>226.93396103399996</v>
      </c>
      <c r="AS448" s="650">
        <v>1000</v>
      </c>
      <c r="AT448" s="620">
        <f t="shared" si="407"/>
        <v>0.43633333333333335</v>
      </c>
      <c r="AU448" s="620">
        <v>9.6440000000000001</v>
      </c>
      <c r="AV448" s="620">
        <v>4.5170000000000003</v>
      </c>
      <c r="AW448" s="620">
        <f t="shared" si="408"/>
        <v>4.6906666666666661</v>
      </c>
      <c r="AX448" s="620">
        <f t="shared" si="409"/>
        <v>33.885333333333335</v>
      </c>
      <c r="AY448" s="698">
        <f t="shared" si="410"/>
        <v>222.20483537066659</v>
      </c>
      <c r="AZ448" s="75"/>
      <c r="BA448" s="650">
        <v>1000</v>
      </c>
      <c r="BB448" s="620">
        <v>103.50685607036536</v>
      </c>
      <c r="BC448" s="720">
        <f>(BB457-BB458)/BB439</f>
        <v>0.64691366873784373</v>
      </c>
      <c r="BD448" s="714">
        <f>D448-BB455</f>
        <v>27.099999999999966</v>
      </c>
      <c r="BE448" s="693">
        <f>BB457-BB458</f>
        <v>66.960000000000008</v>
      </c>
      <c r="BF448" s="693">
        <f t="shared" si="411"/>
        <v>40.471923536439611</v>
      </c>
      <c r="BG448" s="668">
        <f t="shared" si="412"/>
        <v>26.181840535835637</v>
      </c>
      <c r="BH448" s="650">
        <v>1000</v>
      </c>
      <c r="BI448" s="620">
        <v>103.50685607036536</v>
      </c>
      <c r="BJ448" s="720">
        <f>(BI457-BI458)/BI439</f>
        <v>0.89453011631476909</v>
      </c>
      <c r="BK448" s="714">
        <f>I448-BI455</f>
        <v>27.639999999999986</v>
      </c>
      <c r="BL448" s="693">
        <f>BI457-BI458</f>
        <v>92.589999999999989</v>
      </c>
      <c r="BM448" s="693">
        <f t="shared" si="413"/>
        <v>29.852035857003983</v>
      </c>
      <c r="BN448" s="668">
        <f t="shared" si="414"/>
        <v>26.70354510739843</v>
      </c>
      <c r="BO448" s="650">
        <v>1000</v>
      </c>
      <c r="BP448" s="681">
        <v>103.50685607036536</v>
      </c>
      <c r="BQ448" s="720">
        <f>(BP457-BP458)/BP439</f>
        <v>1.0252460950785538</v>
      </c>
      <c r="BR448" s="714">
        <f>N448-BP455</f>
        <v>29.269999999999982</v>
      </c>
      <c r="BS448" s="693">
        <f>BP457-BP458</f>
        <v>106.11999999999999</v>
      </c>
      <c r="BT448" s="693">
        <f t="shared" si="415"/>
        <v>27.581982661138323</v>
      </c>
      <c r="BU448" s="668">
        <f t="shared" si="416"/>
        <v>28.278320017856444</v>
      </c>
      <c r="BV448" s="650">
        <v>1000</v>
      </c>
      <c r="BW448" s="620">
        <v>103.50685607036536</v>
      </c>
      <c r="BX448" s="720">
        <f>(BW457-BW458)/BW439</f>
        <v>1.1442720269610245</v>
      </c>
      <c r="BY448" s="714">
        <f>S448-BW455</f>
        <v>31.839999999999975</v>
      </c>
      <c r="BZ448" s="693">
        <f>BW457-BW458</f>
        <v>118.44</v>
      </c>
      <c r="CA448" s="693">
        <f t="shared" si="417"/>
        <v>26.882809861533246</v>
      </c>
      <c r="CB448" s="668">
        <f t="shared" si="418"/>
        <v>30.761247330664467</v>
      </c>
      <c r="CC448" s="560"/>
    </row>
    <row r="449" spans="1:81" ht="15.75">
      <c r="A449" s="564"/>
      <c r="B449" s="585" t="s">
        <v>116</v>
      </c>
      <c r="C449" s="559">
        <v>1350</v>
      </c>
      <c r="D449" s="559">
        <v>379.91</v>
      </c>
      <c r="E449" s="652">
        <v>6.93</v>
      </c>
      <c r="F449" s="652">
        <v>9.11</v>
      </c>
      <c r="G449" s="653">
        <v>7.35</v>
      </c>
      <c r="H449" s="559">
        <v>1350</v>
      </c>
      <c r="I449" s="559">
        <v>405.39</v>
      </c>
      <c r="J449" s="620">
        <v>6.29</v>
      </c>
      <c r="K449" s="649">
        <v>6.4</v>
      </c>
      <c r="L449" s="617">
        <v>5.25</v>
      </c>
      <c r="M449" s="650">
        <v>1350</v>
      </c>
      <c r="N449" s="639">
        <v>421.09</v>
      </c>
      <c r="O449" s="562">
        <v>5.13</v>
      </c>
      <c r="P449" s="562">
        <v>3.86</v>
      </c>
      <c r="Q449" s="654">
        <v>4</v>
      </c>
      <c r="R449" s="650">
        <v>1350</v>
      </c>
      <c r="S449" s="639">
        <v>434.85</v>
      </c>
      <c r="T449" s="639">
        <v>4</v>
      </c>
      <c r="U449" s="639">
        <v>3.98</v>
      </c>
      <c r="V449" s="654">
        <v>6.06</v>
      </c>
      <c r="W449" s="5"/>
      <c r="X449" s="650">
        <v>1350</v>
      </c>
      <c r="Y449" s="651">
        <f t="shared" si="395"/>
        <v>0.77966666666666673</v>
      </c>
      <c r="Z449" s="620">
        <v>9.6440000000000001</v>
      </c>
      <c r="AA449" s="620">
        <v>4.5170000000000003</v>
      </c>
      <c r="AB449" s="620">
        <f t="shared" si="396"/>
        <v>4.3473333333333333</v>
      </c>
      <c r="AC449" s="620">
        <f t="shared" si="397"/>
        <v>34.228666666666669</v>
      </c>
      <c r="AD449" s="653">
        <f t="shared" si="398"/>
        <v>379.12954672313998</v>
      </c>
      <c r="AE449" s="650">
        <v>1350</v>
      </c>
      <c r="AF449" s="620">
        <f t="shared" si="399"/>
        <v>0.59800000000000009</v>
      </c>
      <c r="AG449" s="620">
        <v>9.6440000000000001</v>
      </c>
      <c r="AH449" s="620">
        <v>4.5170000000000003</v>
      </c>
      <c r="AI449" s="620">
        <f t="shared" si="400"/>
        <v>4.5289999999999999</v>
      </c>
      <c r="AJ449" s="620">
        <f t="shared" si="401"/>
        <v>34.047000000000004</v>
      </c>
      <c r="AK449" s="653">
        <f t="shared" si="402"/>
        <v>392.87634408886504</v>
      </c>
      <c r="AL449" s="650">
        <v>1350</v>
      </c>
      <c r="AM449" s="620">
        <f t="shared" ref="AM449:AM454" si="419">AVERAGE(O449:Q449)/10</f>
        <v>0.433</v>
      </c>
      <c r="AN449" s="620">
        <v>9.6440000000000001</v>
      </c>
      <c r="AO449" s="620">
        <v>4.5170000000000003</v>
      </c>
      <c r="AP449" s="620">
        <f t="shared" si="404"/>
        <v>4.694</v>
      </c>
      <c r="AQ449" s="620">
        <f t="shared" si="405"/>
        <v>33.882000000000005</v>
      </c>
      <c r="AR449" s="698">
        <f t="shared" si="406"/>
        <v>405.21623007834</v>
      </c>
      <c r="AS449" s="650">
        <v>1350</v>
      </c>
      <c r="AT449" s="620">
        <f t="shared" si="407"/>
        <v>0.46799999999999997</v>
      </c>
      <c r="AU449" s="620">
        <v>9.6440000000000001</v>
      </c>
      <c r="AV449" s="620">
        <v>4.5170000000000003</v>
      </c>
      <c r="AW449" s="620">
        <f t="shared" si="408"/>
        <v>4.6589999999999998</v>
      </c>
      <c r="AX449" s="620">
        <f t="shared" si="409"/>
        <v>33.917000000000002</v>
      </c>
      <c r="AY449" s="698">
        <f t="shared" si="410"/>
        <v>402.61027124506495</v>
      </c>
      <c r="AZ449" s="75"/>
      <c r="BA449" s="650">
        <v>1350</v>
      </c>
      <c r="BB449" s="620">
        <v>103.50685607036536</v>
      </c>
      <c r="BC449" s="720">
        <f>(BB457-BB458)/BB439</f>
        <v>0.64691366873784373</v>
      </c>
      <c r="BD449" s="714">
        <f>D449-BB455</f>
        <v>25.170000000000016</v>
      </c>
      <c r="BE449" s="693">
        <f>BB457-BB458</f>
        <v>66.960000000000008</v>
      </c>
      <c r="BF449" s="693">
        <f t="shared" si="411"/>
        <v>37.589605734767048</v>
      </c>
      <c r="BG449" s="668">
        <f t="shared" si="412"/>
        <v>24.31722975228724</v>
      </c>
      <c r="BH449" s="650">
        <v>1350</v>
      </c>
      <c r="BI449" s="620">
        <v>103.50685607036536</v>
      </c>
      <c r="BJ449" s="720">
        <f>(BI457-BI458)/BI439</f>
        <v>0.89453011631476909</v>
      </c>
      <c r="BK449" s="714">
        <f>I449-BI455</f>
        <v>25.039999999999964</v>
      </c>
      <c r="BL449" s="693">
        <f>BI457-BI458</f>
        <v>92.589999999999989</v>
      </c>
      <c r="BM449" s="693">
        <f t="shared" si="413"/>
        <v>27.04395723080243</v>
      </c>
      <c r="BN449" s="668">
        <f t="shared" si="414"/>
        <v>24.191634207281339</v>
      </c>
      <c r="BO449" s="650">
        <v>1350</v>
      </c>
      <c r="BP449" s="681">
        <v>103.50685607036536</v>
      </c>
      <c r="BQ449" s="720">
        <f>(BP457-BP458)/BP439</f>
        <v>1.0252460950785538</v>
      </c>
      <c r="BR449" s="714">
        <f>N449-BP455</f>
        <v>26.999999999999943</v>
      </c>
      <c r="BS449" s="693">
        <f>BP457-BP458</f>
        <v>106.11999999999999</v>
      </c>
      <c r="BT449" s="693">
        <f t="shared" si="415"/>
        <v>25.442894836034625</v>
      </c>
      <c r="BU449" s="668">
        <f t="shared" si="416"/>
        <v>26.0852285781388</v>
      </c>
      <c r="BV449" s="650">
        <v>1350</v>
      </c>
      <c r="BW449" s="620">
        <v>103.50685607036536</v>
      </c>
      <c r="BX449" s="720">
        <f>(BW457-BW458)/BW439</f>
        <v>1.1442720269610245</v>
      </c>
      <c r="BY449" s="714">
        <f>S449-BW455</f>
        <v>29.620000000000005</v>
      </c>
      <c r="BZ449" s="693">
        <f>BW457-BW458</f>
        <v>118.44</v>
      </c>
      <c r="CA449" s="693">
        <f t="shared" si="417"/>
        <v>25.008443093549481</v>
      </c>
      <c r="CB449" s="668">
        <f t="shared" si="418"/>
        <v>28.616461869795298</v>
      </c>
      <c r="CC449" s="560"/>
    </row>
    <row r="450" spans="1:81" ht="15.75">
      <c r="A450" s="564"/>
      <c r="B450" s="585" t="s">
        <v>116</v>
      </c>
      <c r="C450" s="559">
        <v>2500</v>
      </c>
      <c r="D450" s="559">
        <v>376.22</v>
      </c>
      <c r="E450" s="652">
        <v>14.18</v>
      </c>
      <c r="F450" s="652">
        <v>12.72</v>
      </c>
      <c r="G450" s="653">
        <v>11.92</v>
      </c>
      <c r="H450" s="559">
        <v>2500</v>
      </c>
      <c r="I450" s="559">
        <v>400.8</v>
      </c>
      <c r="J450" s="559">
        <v>10.08</v>
      </c>
      <c r="K450" s="649">
        <v>9.4600000000000009</v>
      </c>
      <c r="L450" s="562">
        <v>8.86</v>
      </c>
      <c r="M450" s="650">
        <v>2500</v>
      </c>
      <c r="N450" s="639">
        <v>417.31</v>
      </c>
      <c r="O450" s="562">
        <v>7.64</v>
      </c>
      <c r="P450" s="562">
        <v>8.17</v>
      </c>
      <c r="Q450" s="588">
        <v>6.53</v>
      </c>
      <c r="R450" s="650">
        <v>2500</v>
      </c>
      <c r="S450" s="639">
        <v>430.95</v>
      </c>
      <c r="T450" s="639">
        <v>5.65</v>
      </c>
      <c r="U450" s="639">
        <v>5.17</v>
      </c>
      <c r="V450" s="654">
        <v>5.79</v>
      </c>
      <c r="W450" s="5"/>
      <c r="X450" s="650">
        <v>2500</v>
      </c>
      <c r="Y450" s="651">
        <f t="shared" si="395"/>
        <v>1.294</v>
      </c>
      <c r="Z450" s="620">
        <v>9.6440000000000001</v>
      </c>
      <c r="AA450" s="620">
        <v>4.5170000000000003</v>
      </c>
      <c r="AB450" s="620">
        <f t="shared" si="396"/>
        <v>3.8330000000000002</v>
      </c>
      <c r="AC450" s="620">
        <f t="shared" si="397"/>
        <v>34.743000000000002</v>
      </c>
      <c r="AD450" s="653">
        <f t="shared" si="398"/>
        <v>1163.5721672625</v>
      </c>
      <c r="AE450" s="650">
        <v>2500</v>
      </c>
      <c r="AF450" s="620">
        <f t="shared" si="399"/>
        <v>0.94666666666666666</v>
      </c>
      <c r="AG450" s="620">
        <v>9.6440000000000001</v>
      </c>
      <c r="AH450" s="620">
        <v>4.5170000000000003</v>
      </c>
      <c r="AI450" s="620">
        <f t="shared" si="400"/>
        <v>4.1803333333333335</v>
      </c>
      <c r="AJ450" s="620">
        <f t="shared" si="401"/>
        <v>34.395666666666671</v>
      </c>
      <c r="AK450" s="653">
        <f t="shared" si="402"/>
        <v>1256.3245121291666</v>
      </c>
      <c r="AL450" s="650">
        <v>2500</v>
      </c>
      <c r="AM450" s="620">
        <f t="shared" si="419"/>
        <v>0.74466666666666659</v>
      </c>
      <c r="AN450" s="620">
        <v>9.6440000000000001</v>
      </c>
      <c r="AO450" s="620">
        <v>4.5170000000000003</v>
      </c>
      <c r="AP450" s="620">
        <f t="shared" si="404"/>
        <v>4.3823333333333334</v>
      </c>
      <c r="AQ450" s="620">
        <f t="shared" si="405"/>
        <v>34.193666666666672</v>
      </c>
      <c r="AR450" s="698">
        <f t="shared" si="406"/>
        <v>1309.2972951291667</v>
      </c>
      <c r="AS450" s="650">
        <v>2500</v>
      </c>
      <c r="AT450" s="620">
        <f t="shared" si="407"/>
        <v>0.55366666666666664</v>
      </c>
      <c r="AU450" s="620">
        <v>9.6440000000000001</v>
      </c>
      <c r="AV450" s="620">
        <v>4.5170000000000003</v>
      </c>
      <c r="AW450" s="620">
        <f t="shared" si="408"/>
        <v>4.5733333333333333</v>
      </c>
      <c r="AX450" s="620">
        <f t="shared" si="409"/>
        <v>34.00266666666667</v>
      </c>
      <c r="AY450" s="698">
        <f t="shared" si="410"/>
        <v>1358.7295586666664</v>
      </c>
      <c r="AZ450" s="75"/>
      <c r="BA450" s="650">
        <v>2500</v>
      </c>
      <c r="BB450" s="620">
        <v>103.50685607036536</v>
      </c>
      <c r="BC450" s="720">
        <f>(BB457-BB458)/BB439</f>
        <v>0.64691366873784373</v>
      </c>
      <c r="BD450" s="714">
        <f>D450-BB455</f>
        <v>21.480000000000018</v>
      </c>
      <c r="BE450" s="693">
        <f>BB457-BB458</f>
        <v>66.960000000000008</v>
      </c>
      <c r="BF450" s="693">
        <f t="shared" si="411"/>
        <v>32.078853046595007</v>
      </c>
      <c r="BG450" s="668">
        <f t="shared" si="412"/>
        <v>20.752248513274932</v>
      </c>
      <c r="BH450" s="650">
        <v>2500</v>
      </c>
      <c r="BI450" s="620">
        <v>103.50685607036536</v>
      </c>
      <c r="BJ450" s="720">
        <f>(BI457-BI458)/BI439</f>
        <v>0.89453011631476909</v>
      </c>
      <c r="BK450" s="714">
        <f>I450-BI455</f>
        <v>20.449999999999989</v>
      </c>
      <c r="BL450" s="693">
        <f>BI457-BI458</f>
        <v>92.589999999999989</v>
      </c>
      <c r="BM450" s="693">
        <f t="shared" si="413"/>
        <v>22.086618425315898</v>
      </c>
      <c r="BN450" s="668">
        <f t="shared" si="414"/>
        <v>19.757145348997753</v>
      </c>
      <c r="BO450" s="650">
        <v>2500</v>
      </c>
      <c r="BP450" s="681">
        <v>103.50685607036536</v>
      </c>
      <c r="BQ450" s="720">
        <f>(BP457-BP458)/BP439</f>
        <v>1.0252460950785538</v>
      </c>
      <c r="BR450" s="714">
        <f>N450-BP455</f>
        <v>23.21999999999997</v>
      </c>
      <c r="BS450" s="693">
        <f>BP457-BP458</f>
        <v>106.11999999999999</v>
      </c>
      <c r="BT450" s="693">
        <f t="shared" si="415"/>
        <v>21.880889558989796</v>
      </c>
      <c r="BU450" s="668">
        <f t="shared" si="416"/>
        <v>22.433296577199389</v>
      </c>
      <c r="BV450" s="650">
        <v>2500</v>
      </c>
      <c r="BW450" s="620">
        <v>103.50685607036536</v>
      </c>
      <c r="BX450" s="720">
        <f>(BW457-BW458)/BW439</f>
        <v>1.1442720269610245</v>
      </c>
      <c r="BY450" s="714">
        <f>S450-BW455</f>
        <v>25.71999999999997</v>
      </c>
      <c r="BZ450" s="693">
        <f>BW457-BW458</f>
        <v>118.44</v>
      </c>
      <c r="CA450" s="693">
        <f t="shared" si="417"/>
        <v>21.715636609253604</v>
      </c>
      <c r="CB450" s="668">
        <f t="shared" si="418"/>
        <v>24.84859551961965</v>
      </c>
      <c r="CC450" s="560"/>
    </row>
    <row r="451" spans="1:81" ht="15.75">
      <c r="A451" s="564"/>
      <c r="B451" s="585" t="s">
        <v>116</v>
      </c>
      <c r="C451" s="559">
        <v>5000</v>
      </c>
      <c r="D451" s="559">
        <v>372.31</v>
      </c>
      <c r="E451" s="652">
        <v>20.190000000000001</v>
      </c>
      <c r="F451" s="652">
        <v>18.46</v>
      </c>
      <c r="G451" s="653">
        <v>18.420000000000002</v>
      </c>
      <c r="H451" s="559">
        <v>5000</v>
      </c>
      <c r="I451" s="559">
        <v>396.77</v>
      </c>
      <c r="J451" s="559">
        <v>15.62</v>
      </c>
      <c r="K451" s="649">
        <v>14.34</v>
      </c>
      <c r="L451" s="562">
        <v>14.2</v>
      </c>
      <c r="M451" s="650">
        <v>5000</v>
      </c>
      <c r="N451" s="639">
        <v>413.56</v>
      </c>
      <c r="O451" s="562">
        <v>12.31</v>
      </c>
      <c r="P451" s="562">
        <v>12.73</v>
      </c>
      <c r="Q451" s="588">
        <v>10.54</v>
      </c>
      <c r="R451" s="650">
        <v>5000</v>
      </c>
      <c r="S451" s="639">
        <v>427.29</v>
      </c>
      <c r="T451" s="639">
        <v>9.9600000000000009</v>
      </c>
      <c r="U451" s="639">
        <v>9.27</v>
      </c>
      <c r="V451" s="654">
        <v>11.67</v>
      </c>
      <c r="W451" s="5"/>
      <c r="X451" s="650">
        <v>5000</v>
      </c>
      <c r="Y451" s="651">
        <f t="shared" si="395"/>
        <v>1.9023333333333337</v>
      </c>
      <c r="Z451" s="620">
        <v>9.6440000000000001</v>
      </c>
      <c r="AA451" s="620">
        <v>4.5170000000000003</v>
      </c>
      <c r="AB451" s="620">
        <f t="shared" si="396"/>
        <v>3.2246666666666659</v>
      </c>
      <c r="AC451" s="620">
        <f t="shared" si="397"/>
        <v>35.351333333333336</v>
      </c>
      <c r="AD451" s="653">
        <f t="shared" si="398"/>
        <v>3984.1695044666653</v>
      </c>
      <c r="AE451" s="650">
        <v>5000</v>
      </c>
      <c r="AF451" s="620">
        <f t="shared" si="399"/>
        <v>1.472</v>
      </c>
      <c r="AG451" s="620">
        <v>9.6440000000000001</v>
      </c>
      <c r="AH451" s="620">
        <v>4.5170000000000003</v>
      </c>
      <c r="AI451" s="620">
        <f t="shared" si="400"/>
        <v>3.6549999999999994</v>
      </c>
      <c r="AJ451" s="620">
        <f t="shared" si="401"/>
        <v>34.921000000000006</v>
      </c>
      <c r="AK451" s="653">
        <f t="shared" si="402"/>
        <v>4460.8871122499995</v>
      </c>
      <c r="AL451" s="650">
        <v>5000</v>
      </c>
      <c r="AM451" s="620">
        <f t="shared" si="419"/>
        <v>1.1859999999999999</v>
      </c>
      <c r="AN451" s="620">
        <v>9.6440000000000001</v>
      </c>
      <c r="AO451" s="620">
        <v>4.5170000000000003</v>
      </c>
      <c r="AP451" s="620">
        <f t="shared" si="404"/>
        <v>3.9409999999999998</v>
      </c>
      <c r="AQ451" s="620">
        <f t="shared" si="405"/>
        <v>34.635000000000005</v>
      </c>
      <c r="AR451" s="698">
        <f t="shared" si="406"/>
        <v>4770.5538982500002</v>
      </c>
      <c r="AS451" s="650">
        <v>5000</v>
      </c>
      <c r="AT451" s="620">
        <f t="shared" si="407"/>
        <v>1.0299999999999998</v>
      </c>
      <c r="AU451" s="620">
        <v>9.6440000000000001</v>
      </c>
      <c r="AV451" s="620">
        <v>4.5170000000000003</v>
      </c>
      <c r="AW451" s="620">
        <f t="shared" si="408"/>
        <v>4.0969999999999995</v>
      </c>
      <c r="AX451" s="620">
        <f t="shared" si="409"/>
        <v>34.479000000000006</v>
      </c>
      <c r="AY451" s="698">
        <f t="shared" si="410"/>
        <v>4937.0531818499994</v>
      </c>
      <c r="AZ451" s="75"/>
      <c r="BA451" s="650">
        <v>5000</v>
      </c>
      <c r="BB451" s="620">
        <v>103.50685607036536</v>
      </c>
      <c r="BC451" s="720">
        <f>(BB457-BB458)/BB439</f>
        <v>0.64691366873784373</v>
      </c>
      <c r="BD451" s="714">
        <f>D451-BB455</f>
        <v>17.569999999999993</v>
      </c>
      <c r="BE451" s="693">
        <f>BB457-BB458</f>
        <v>66.960000000000008</v>
      </c>
      <c r="BF451" s="693">
        <f t="shared" si="411"/>
        <v>26.239545997610502</v>
      </c>
      <c r="BG451" s="668">
        <f t="shared" si="412"/>
        <v>16.974720967329613</v>
      </c>
      <c r="BH451" s="650">
        <v>5000</v>
      </c>
      <c r="BI451" s="620">
        <v>103.50685607036536</v>
      </c>
      <c r="BJ451" s="720">
        <f>(BI457-BI458)/BI439</f>
        <v>0.89453011631476909</v>
      </c>
      <c r="BK451" s="714">
        <f>I451-BI455</f>
        <v>16.419999999999959</v>
      </c>
      <c r="BL451" s="693">
        <f>BI457-BI458</f>
        <v>92.589999999999989</v>
      </c>
      <c r="BM451" s="693">
        <f t="shared" si="413"/>
        <v>17.734096554703491</v>
      </c>
      <c r="BN451" s="668">
        <f t="shared" si="414"/>
        <v>15.863683453816259</v>
      </c>
      <c r="BO451" s="650">
        <v>5000</v>
      </c>
      <c r="BP451" s="681">
        <v>103.50685607036536</v>
      </c>
      <c r="BQ451" s="720">
        <f>(BP457-BP458)/BP439</f>
        <v>1.0252460950785538</v>
      </c>
      <c r="BR451" s="714">
        <f>N451-BP455</f>
        <v>19.46999999999997</v>
      </c>
      <c r="BS451" s="693">
        <f>BP457-BP458</f>
        <v>106.11999999999999</v>
      </c>
      <c r="BT451" s="693">
        <f t="shared" si="415"/>
        <v>18.347154165096093</v>
      </c>
      <c r="BU451" s="668">
        <f t="shared" si="416"/>
        <v>18.810348163568992</v>
      </c>
      <c r="BV451" s="650">
        <v>5000</v>
      </c>
      <c r="BW451" s="620">
        <v>103.50685607036536</v>
      </c>
      <c r="BX451" s="720">
        <f>(BW457-BW458)/BW439</f>
        <v>1.1442720269610245</v>
      </c>
      <c r="BY451" s="714">
        <f>S451-BW455</f>
        <v>22.060000000000002</v>
      </c>
      <c r="BZ451" s="693">
        <f>BW457-BW458</f>
        <v>118.44</v>
      </c>
      <c r="CA451" s="693">
        <f t="shared" si="417"/>
        <v>18.625464370145224</v>
      </c>
      <c r="CB451" s="668">
        <f t="shared" si="418"/>
        <v>21.312597867916416</v>
      </c>
      <c r="CC451" s="560"/>
    </row>
    <row r="452" spans="1:81" ht="15.75">
      <c r="A452" s="564"/>
      <c r="B452" s="585" t="s">
        <v>116</v>
      </c>
      <c r="C452" s="559">
        <v>7000</v>
      </c>
      <c r="D452" s="559">
        <v>370.52</v>
      </c>
      <c r="E452" s="652">
        <v>22.07</v>
      </c>
      <c r="F452" s="652">
        <v>20.170000000000002</v>
      </c>
      <c r="G452" s="653">
        <v>20.14</v>
      </c>
      <c r="H452" s="559">
        <v>7000</v>
      </c>
      <c r="I452" s="655">
        <v>395.04</v>
      </c>
      <c r="J452" s="559">
        <v>17.54</v>
      </c>
      <c r="K452" s="649">
        <v>15.8</v>
      </c>
      <c r="L452" s="562">
        <v>15.39</v>
      </c>
      <c r="M452" s="650">
        <v>7000</v>
      </c>
      <c r="N452" s="639">
        <v>411.8</v>
      </c>
      <c r="O452" s="639">
        <v>13.69</v>
      </c>
      <c r="P452" s="562">
        <v>14.38</v>
      </c>
      <c r="Q452" s="588">
        <v>12.25</v>
      </c>
      <c r="R452" s="650">
        <v>7000</v>
      </c>
      <c r="S452" s="639">
        <v>425.49</v>
      </c>
      <c r="T452" s="639">
        <v>12.43</v>
      </c>
      <c r="U452" s="639">
        <v>11.16</v>
      </c>
      <c r="V452" s="654">
        <v>13.6</v>
      </c>
      <c r="W452" s="5"/>
      <c r="X452" s="650">
        <v>7000</v>
      </c>
      <c r="Y452" s="651">
        <f t="shared" si="395"/>
        <v>2.0793333333333335</v>
      </c>
      <c r="Z452" s="620">
        <v>9.6440000000000001</v>
      </c>
      <c r="AA452" s="620">
        <v>4.5170000000000003</v>
      </c>
      <c r="AB452" s="620">
        <f t="shared" si="396"/>
        <v>3.0476666666666663</v>
      </c>
      <c r="AC452" s="620">
        <f t="shared" si="397"/>
        <v>35.528333333333336</v>
      </c>
      <c r="AD452" s="653">
        <f t="shared" si="398"/>
        <v>7417.2949867566658</v>
      </c>
      <c r="AE452" s="650">
        <v>7000</v>
      </c>
      <c r="AF452" s="620">
        <f t="shared" si="399"/>
        <v>1.6243333333333336</v>
      </c>
      <c r="AG452" s="620">
        <v>9.6440000000000001</v>
      </c>
      <c r="AH452" s="620">
        <v>4.5170000000000003</v>
      </c>
      <c r="AI452" s="620">
        <f t="shared" si="400"/>
        <v>3.5026666666666664</v>
      </c>
      <c r="AJ452" s="620">
        <f t="shared" si="401"/>
        <v>35.073333333333338</v>
      </c>
      <c r="AK452" s="653">
        <f t="shared" si="402"/>
        <v>8415.4840959466674</v>
      </c>
      <c r="AL452" s="650">
        <v>7000</v>
      </c>
      <c r="AM452" s="620">
        <f t="shared" si="419"/>
        <v>1.3439999999999999</v>
      </c>
      <c r="AN452" s="620">
        <v>9.6440000000000001</v>
      </c>
      <c r="AO452" s="620">
        <v>4.5170000000000003</v>
      </c>
      <c r="AP452" s="620">
        <f t="shared" si="404"/>
        <v>3.7829999999999995</v>
      </c>
      <c r="AQ452" s="620">
        <f t="shared" si="405"/>
        <v>34.793000000000006</v>
      </c>
      <c r="AR452" s="698">
        <f t="shared" si="406"/>
        <v>9016.3646953379994</v>
      </c>
      <c r="AS452" s="650">
        <v>7000</v>
      </c>
      <c r="AT452" s="620">
        <f t="shared" si="407"/>
        <v>1.2396666666666667</v>
      </c>
      <c r="AU452" s="620">
        <v>9.6440000000000001</v>
      </c>
      <c r="AV452" s="620">
        <v>4.5170000000000003</v>
      </c>
      <c r="AW452" s="620">
        <f t="shared" si="408"/>
        <v>3.8873333333333333</v>
      </c>
      <c r="AX452" s="620">
        <f t="shared" si="409"/>
        <v>34.68866666666667</v>
      </c>
      <c r="AY452" s="698">
        <f t="shared" si="410"/>
        <v>9237.2487930426669</v>
      </c>
      <c r="AZ452" s="75"/>
      <c r="BA452" s="650">
        <v>7000</v>
      </c>
      <c r="BB452" s="620">
        <v>103.50685607036536</v>
      </c>
      <c r="BC452" s="720">
        <f>(BB457-BB458)/BB439</f>
        <v>0.64691366873784373</v>
      </c>
      <c r="BD452" s="714">
        <f>D452-BB455</f>
        <v>15.779999999999973</v>
      </c>
      <c r="BE452" s="693">
        <f>BB457-BB458</f>
        <v>66.960000000000008</v>
      </c>
      <c r="BF452" s="693">
        <f t="shared" si="411"/>
        <v>23.566308243727555</v>
      </c>
      <c r="BG452" s="668">
        <f t="shared" si="412"/>
        <v>15.245366924556683</v>
      </c>
      <c r="BH452" s="650">
        <v>7000</v>
      </c>
      <c r="BI452" s="620">
        <v>103.50685607036536</v>
      </c>
      <c r="BJ452" s="720">
        <f>(BI457-BI458)/BI439</f>
        <v>0.89453011631476909</v>
      </c>
      <c r="BK452" s="714">
        <f>I452-BI455</f>
        <v>14.689999999999998</v>
      </c>
      <c r="BL452" s="693">
        <f>BI457-BI458</f>
        <v>92.589999999999989</v>
      </c>
      <c r="BM452" s="693">
        <f t="shared" si="413"/>
        <v>15.865644238038664</v>
      </c>
      <c r="BN452" s="668">
        <f t="shared" si="414"/>
        <v>14.192296585661472</v>
      </c>
      <c r="BO452" s="650">
        <v>7000</v>
      </c>
      <c r="BP452" s="681">
        <v>103.50685607036536</v>
      </c>
      <c r="BQ452" s="720">
        <f>(BP457-BP458)/BP439</f>
        <v>1.0252460950785538</v>
      </c>
      <c r="BR452" s="714">
        <f>N452-BP455</f>
        <v>17.70999999999998</v>
      </c>
      <c r="BS452" s="693">
        <f>BP457-BP458</f>
        <v>106.11999999999999</v>
      </c>
      <c r="BT452" s="693">
        <f t="shared" si="415"/>
        <v>16.688654353561986</v>
      </c>
      <c r="BU452" s="668">
        <f t="shared" si="416"/>
        <v>17.109977708105134</v>
      </c>
      <c r="BV452" s="650">
        <v>7000</v>
      </c>
      <c r="BW452" s="620">
        <v>103.50685607036536</v>
      </c>
      <c r="BX452" s="720">
        <f>(BW457-BW458)/BW439</f>
        <v>1.1442720269610245</v>
      </c>
      <c r="BY452" s="714">
        <f>S452-BW455</f>
        <v>20.259999999999991</v>
      </c>
      <c r="BZ452" s="693">
        <f>BW457-BW458</f>
        <v>118.44</v>
      </c>
      <c r="CA452" s="693">
        <f t="shared" si="417"/>
        <v>17.105707531239439</v>
      </c>
      <c r="CB452" s="668">
        <f t="shared" si="418"/>
        <v>19.573582629373814</v>
      </c>
      <c r="CC452" s="560"/>
    </row>
    <row r="453" spans="1:81" ht="15.75">
      <c r="A453" s="564"/>
      <c r="B453" s="585" t="s">
        <v>116</v>
      </c>
      <c r="C453" s="559">
        <v>9000</v>
      </c>
      <c r="D453" s="559">
        <v>369.33</v>
      </c>
      <c r="E453" s="27">
        <v>24.15</v>
      </c>
      <c r="F453" s="27">
        <v>22.63</v>
      </c>
      <c r="G453" s="94">
        <v>22.32</v>
      </c>
      <c r="H453" s="559">
        <v>9000</v>
      </c>
      <c r="I453" s="559">
        <v>393.81</v>
      </c>
      <c r="J453" s="559">
        <v>19.2</v>
      </c>
      <c r="K453" s="649">
        <v>17.45</v>
      </c>
      <c r="L453" s="562">
        <v>17.13</v>
      </c>
      <c r="M453" s="650">
        <v>9000</v>
      </c>
      <c r="N453" s="639">
        <v>410.92</v>
      </c>
      <c r="O453" s="639">
        <v>15.27</v>
      </c>
      <c r="P453" s="562">
        <v>15.6</v>
      </c>
      <c r="Q453" s="588">
        <v>13.75</v>
      </c>
      <c r="R453" s="650">
        <v>9000</v>
      </c>
      <c r="S453" s="639">
        <v>424.1</v>
      </c>
      <c r="T453" s="639">
        <v>12.82</v>
      </c>
      <c r="U453" s="639">
        <v>11.69</v>
      </c>
      <c r="V453" s="654">
        <v>13.93</v>
      </c>
      <c r="W453" s="5"/>
      <c r="X453" s="650">
        <v>9000</v>
      </c>
      <c r="Y453" s="651">
        <f t="shared" si="395"/>
        <v>2.3033333333333332</v>
      </c>
      <c r="Z453" s="620">
        <v>9.6440000000000001</v>
      </c>
      <c r="AA453" s="620">
        <v>4.5170000000000003</v>
      </c>
      <c r="AB453" s="620">
        <f t="shared" si="396"/>
        <v>2.8236666666666661</v>
      </c>
      <c r="AC453" s="620">
        <f t="shared" si="397"/>
        <v>35.75233333333334</v>
      </c>
      <c r="AD453" s="653">
        <f t="shared" si="398"/>
        <v>11431.678659353998</v>
      </c>
      <c r="AE453" s="650">
        <v>9000</v>
      </c>
      <c r="AF453" s="620">
        <f t="shared" si="399"/>
        <v>1.7926666666666666</v>
      </c>
      <c r="AG453" s="620">
        <v>9.6440000000000001</v>
      </c>
      <c r="AH453" s="620">
        <v>4.5170000000000003</v>
      </c>
      <c r="AI453" s="620">
        <f t="shared" si="400"/>
        <v>3.3343333333333334</v>
      </c>
      <c r="AJ453" s="620">
        <f t="shared" si="401"/>
        <v>35.241666666666674</v>
      </c>
      <c r="AK453" s="653">
        <f t="shared" si="402"/>
        <v>13306.310195850001</v>
      </c>
      <c r="AL453" s="650">
        <v>9000</v>
      </c>
      <c r="AM453" s="620">
        <f t="shared" si="419"/>
        <v>1.4873333333333334</v>
      </c>
      <c r="AN453" s="620">
        <v>9.6440000000000001</v>
      </c>
      <c r="AO453" s="620">
        <v>4.5170000000000003</v>
      </c>
      <c r="AP453" s="620">
        <f t="shared" si="404"/>
        <v>3.6396666666666668</v>
      </c>
      <c r="AQ453" s="620">
        <f t="shared" si="405"/>
        <v>34.936333333333337</v>
      </c>
      <c r="AR453" s="698">
        <f t="shared" si="406"/>
        <v>14398.959964121999</v>
      </c>
      <c r="AS453" s="650">
        <v>9000</v>
      </c>
      <c r="AT453" s="620">
        <f t="shared" si="407"/>
        <v>1.2813333333333332</v>
      </c>
      <c r="AU453" s="620">
        <v>9.6440000000000001</v>
      </c>
      <c r="AV453" s="620">
        <v>4.5170000000000003</v>
      </c>
      <c r="AW453" s="620">
        <f t="shared" si="408"/>
        <v>3.8456666666666663</v>
      </c>
      <c r="AX453" s="620">
        <f t="shared" si="409"/>
        <v>34.730333333333341</v>
      </c>
      <c r="AY453" s="698">
        <f t="shared" si="410"/>
        <v>15124.212815994</v>
      </c>
      <c r="AZ453" s="75"/>
      <c r="BA453" s="650">
        <v>9000</v>
      </c>
      <c r="BB453" s="620">
        <v>103.50685607036536</v>
      </c>
      <c r="BC453" s="720">
        <f>(BB457-BB458)/BB439</f>
        <v>0.64691366873784373</v>
      </c>
      <c r="BD453" s="714">
        <f>D453-BB455</f>
        <v>14.589999999999975</v>
      </c>
      <c r="BE453" s="693">
        <f>BB457-BB458</f>
        <v>66.960000000000008</v>
      </c>
      <c r="BF453" s="693">
        <f t="shared" si="411"/>
        <v>21.789127837514894</v>
      </c>
      <c r="BG453" s="668">
        <f t="shared" si="412"/>
        <v>14.095684627964639</v>
      </c>
      <c r="BH453" s="650">
        <v>9000</v>
      </c>
      <c r="BI453" s="620">
        <v>103.50685607036536</v>
      </c>
      <c r="BJ453" s="720">
        <f>(BI457-BI458)/BI439</f>
        <v>0.89453011631476909</v>
      </c>
      <c r="BK453" s="714">
        <f>I453-BI455</f>
        <v>13.45999999999998</v>
      </c>
      <c r="BL453" s="693">
        <f>BI457-BI458</f>
        <v>92.589999999999989</v>
      </c>
      <c r="BM453" s="693">
        <f t="shared" si="413"/>
        <v>14.537207041797151</v>
      </c>
      <c r="BN453" s="668">
        <f t="shared" si="414"/>
        <v>13.003969505990685</v>
      </c>
      <c r="BO453" s="650">
        <v>9000</v>
      </c>
      <c r="BP453" s="681">
        <v>103.50685607036536</v>
      </c>
      <c r="BQ453" s="720">
        <f>(BP457-BP458)/BP439</f>
        <v>1.0252460950785538</v>
      </c>
      <c r="BR453" s="714">
        <f>N453-BP455</f>
        <v>16.829999999999984</v>
      </c>
      <c r="BS453" s="693">
        <f>BP457-BP458</f>
        <v>106.11999999999999</v>
      </c>
      <c r="BT453" s="693">
        <f t="shared" si="415"/>
        <v>15.859404447794937</v>
      </c>
      <c r="BU453" s="668">
        <f t="shared" si="416"/>
        <v>16.259792480373207</v>
      </c>
      <c r="BV453" s="650">
        <v>9000</v>
      </c>
      <c r="BW453" s="620">
        <v>103.50685607036536</v>
      </c>
      <c r="BX453" s="720">
        <f>(BW457-BW458)/BW439</f>
        <v>1.1442720269610245</v>
      </c>
      <c r="BY453" s="714">
        <f>S453-BW455</f>
        <v>18.870000000000005</v>
      </c>
      <c r="BZ453" s="693">
        <f>BW457-BW458</f>
        <v>118.44</v>
      </c>
      <c r="CA453" s="693">
        <f t="shared" si="417"/>
        <v>15.932117527862214</v>
      </c>
      <c r="CB453" s="668">
        <f t="shared" si="418"/>
        <v>18.230676417388164</v>
      </c>
      <c r="CC453" s="560"/>
    </row>
    <row r="454" spans="1:81" ht="15.75">
      <c r="A454" s="564"/>
      <c r="B454" s="599" t="s">
        <v>116</v>
      </c>
      <c r="C454" s="605">
        <v>10000</v>
      </c>
      <c r="D454" s="605">
        <v>368.58</v>
      </c>
      <c r="E454" s="656">
        <v>25.05</v>
      </c>
      <c r="F454" s="656">
        <v>23.5</v>
      </c>
      <c r="G454" s="657">
        <v>23.21</v>
      </c>
      <c r="H454" s="605">
        <v>10000</v>
      </c>
      <c r="I454" s="605">
        <v>393.08</v>
      </c>
      <c r="J454" s="605">
        <v>18.78</v>
      </c>
      <c r="K454" s="658">
        <v>19.78</v>
      </c>
      <c r="L454" s="605">
        <v>18.329999999999998</v>
      </c>
      <c r="M454" s="660">
        <v>10000</v>
      </c>
      <c r="N454" s="658">
        <v>410.4</v>
      </c>
      <c r="O454" s="658">
        <v>14.51</v>
      </c>
      <c r="P454" s="605">
        <v>15.45</v>
      </c>
      <c r="Q454" s="646">
        <v>15.98</v>
      </c>
      <c r="R454" s="660">
        <v>10000</v>
      </c>
      <c r="S454" s="658">
        <v>423.08</v>
      </c>
      <c r="T454" s="658">
        <v>14.19</v>
      </c>
      <c r="U454" s="658">
        <v>12.87</v>
      </c>
      <c r="V454" s="659">
        <v>14.39</v>
      </c>
      <c r="W454" s="5"/>
      <c r="X454" s="660">
        <v>10000</v>
      </c>
      <c r="Y454" s="651">
        <f t="shared" si="395"/>
        <v>2.3919999999999999</v>
      </c>
      <c r="Z454" s="609">
        <v>9.6440000000000001</v>
      </c>
      <c r="AA454" s="609">
        <v>4.5170000000000003</v>
      </c>
      <c r="AB454" s="609">
        <f t="shared" si="396"/>
        <v>2.7349999999999994</v>
      </c>
      <c r="AC454" s="609">
        <f t="shared" si="397"/>
        <v>35.841000000000008</v>
      </c>
      <c r="AD454" s="702">
        <f t="shared" si="398"/>
        <v>13703.913873</v>
      </c>
      <c r="AE454" s="660">
        <v>10000</v>
      </c>
      <c r="AF454" s="609">
        <f t="shared" si="399"/>
        <v>1.8963333333333334</v>
      </c>
      <c r="AG454" s="609">
        <v>9.6440000000000001</v>
      </c>
      <c r="AH454" s="609">
        <v>4.5170000000000003</v>
      </c>
      <c r="AI454" s="609">
        <f t="shared" si="400"/>
        <v>3.2306666666666661</v>
      </c>
      <c r="AJ454" s="609">
        <f t="shared" si="401"/>
        <v>35.345333333333336</v>
      </c>
      <c r="AK454" s="702">
        <f t="shared" si="402"/>
        <v>15963.620833066663</v>
      </c>
      <c r="AL454" s="660">
        <v>10000</v>
      </c>
      <c r="AM454" s="609">
        <f t="shared" si="419"/>
        <v>1.5313333333333332</v>
      </c>
      <c r="AN454" s="609">
        <v>9.6440000000000001</v>
      </c>
      <c r="AO454" s="609">
        <v>4.5170000000000003</v>
      </c>
      <c r="AP454" s="609">
        <f t="shared" si="404"/>
        <v>3.5956666666666663</v>
      </c>
      <c r="AQ454" s="609">
        <f t="shared" si="405"/>
        <v>34.980333333333341</v>
      </c>
      <c r="AR454" s="699">
        <f t="shared" si="406"/>
        <v>17583.711074066665</v>
      </c>
      <c r="AS454" s="660">
        <v>10000</v>
      </c>
      <c r="AT454" s="609">
        <f t="shared" si="407"/>
        <v>1.3816666666666668</v>
      </c>
      <c r="AU454" s="609">
        <v>9.6440000000000001</v>
      </c>
      <c r="AV454" s="609">
        <v>4.5170000000000003</v>
      </c>
      <c r="AW454" s="609">
        <f t="shared" si="408"/>
        <v>3.745333333333333</v>
      </c>
      <c r="AX454" s="609">
        <f t="shared" si="409"/>
        <v>34.830666666666673</v>
      </c>
      <c r="AY454" s="699">
        <f t="shared" si="410"/>
        <v>18237.253473066663</v>
      </c>
      <c r="AZ454" s="75"/>
      <c r="BA454" s="660">
        <v>10000</v>
      </c>
      <c r="BB454" s="609">
        <v>103.50685607036536</v>
      </c>
      <c r="BC454" s="720">
        <f>(BB457-BB458)/BB439</f>
        <v>0.64691366873784373</v>
      </c>
      <c r="BD454" s="714">
        <f>D454-BB455</f>
        <v>13.839999999999975</v>
      </c>
      <c r="BE454" s="682">
        <f>BB457-BB458</f>
        <v>66.960000000000008</v>
      </c>
      <c r="BF454" s="682">
        <f t="shared" si="411"/>
        <v>20.66905615292708</v>
      </c>
      <c r="BG454" s="683">
        <f t="shared" si="412"/>
        <v>13.371094945238561</v>
      </c>
      <c r="BH454" s="660">
        <v>10000</v>
      </c>
      <c r="BI454" s="609">
        <v>103.50685607036536</v>
      </c>
      <c r="BJ454" s="720">
        <f>(BI457-BI458)/BI439</f>
        <v>0.89453011631476909</v>
      </c>
      <c r="BK454" s="714">
        <f>I454-BI455</f>
        <v>12.729999999999961</v>
      </c>
      <c r="BL454" s="682">
        <f>BI457-BI458</f>
        <v>92.589999999999989</v>
      </c>
      <c r="BM454" s="682">
        <f t="shared" si="413"/>
        <v>13.748784965979008</v>
      </c>
      <c r="BN454" s="683">
        <f t="shared" si="414"/>
        <v>12.298702214803949</v>
      </c>
      <c r="BO454" s="660">
        <v>10000</v>
      </c>
      <c r="BP454" s="684">
        <v>103.50685607036536</v>
      </c>
      <c r="BQ454" s="720">
        <f>(BP457-BP458)/BP439</f>
        <v>1.0252460950785538</v>
      </c>
      <c r="BR454" s="714">
        <f>N454-BP455</f>
        <v>16.309999999999945</v>
      </c>
      <c r="BS454" s="682">
        <f>BP457-BP458</f>
        <v>106.11999999999999</v>
      </c>
      <c r="BT454" s="682">
        <f t="shared" si="415"/>
        <v>15.369393139841639</v>
      </c>
      <c r="BU454" s="683">
        <f t="shared" si="416"/>
        <v>15.757410300349754</v>
      </c>
      <c r="BV454" s="660">
        <v>10000</v>
      </c>
      <c r="BW454" s="609">
        <v>103.50685607036536</v>
      </c>
      <c r="BX454" s="720">
        <f>(BW457-BW458)/BW439</f>
        <v>1.1442720269610245</v>
      </c>
      <c r="BY454" s="714">
        <f>S454-BW455</f>
        <v>17.849999999999966</v>
      </c>
      <c r="BZ454" s="682">
        <f>BW457-BW458</f>
        <v>118.44</v>
      </c>
      <c r="CA454" s="682">
        <f t="shared" si="417"/>
        <v>15.070921985815575</v>
      </c>
      <c r="CB454" s="683">
        <f t="shared" si="418"/>
        <v>17.245234448880655</v>
      </c>
      <c r="CC454" s="560"/>
    </row>
    <row r="455" spans="1:81" ht="45">
      <c r="A455" s="560"/>
      <c r="B455" s="560"/>
      <c r="C455" s="559"/>
      <c r="D455" s="559"/>
      <c r="E455" s="560"/>
      <c r="F455" s="560"/>
      <c r="G455" s="560"/>
      <c r="H455" s="560"/>
      <c r="I455" s="560"/>
      <c r="J455" s="560"/>
      <c r="K455" s="560"/>
      <c r="L455" s="560"/>
      <c r="M455" s="560"/>
      <c r="N455" s="661"/>
      <c r="O455" s="559"/>
      <c r="P455" s="559"/>
      <c r="Q455" s="559"/>
      <c r="R455" s="560"/>
      <c r="S455" s="661"/>
      <c r="T455" s="560"/>
      <c r="U455" s="560"/>
      <c r="V455" s="560"/>
      <c r="X455" s="560"/>
      <c r="Y455" s="560"/>
      <c r="Z455" s="560"/>
      <c r="AA455" s="560"/>
      <c r="AB455" s="560"/>
      <c r="AC455" s="560"/>
      <c r="AD455" s="560"/>
      <c r="AE455" s="559"/>
      <c r="AF455" s="559"/>
      <c r="AG455" s="559"/>
      <c r="AH455" s="559"/>
      <c r="AI455" s="559"/>
      <c r="AJ455" s="559"/>
      <c r="AK455" s="559"/>
      <c r="AL455" s="560"/>
      <c r="AM455" s="560"/>
      <c r="AN455" s="559"/>
      <c r="AO455" s="559"/>
      <c r="AP455" s="560"/>
      <c r="AQ455" s="560"/>
      <c r="AR455" s="560"/>
      <c r="AS455" s="560"/>
      <c r="AT455" s="560"/>
      <c r="AU455" s="560"/>
      <c r="AV455" s="560"/>
      <c r="AW455" s="560"/>
      <c r="AX455" s="560"/>
      <c r="AY455" s="560"/>
      <c r="AZ455" s="791" t="s">
        <v>144</v>
      </c>
      <c r="BA455" s="709" t="s">
        <v>1047</v>
      </c>
      <c r="BB455" s="565">
        <f>BB456+BB457</f>
        <v>354.74</v>
      </c>
      <c r="BC455" s="559"/>
      <c r="BD455" s="559"/>
      <c r="BE455" s="559"/>
      <c r="BF455" s="559"/>
      <c r="BG455" s="559"/>
      <c r="BH455" s="709" t="s">
        <v>1047</v>
      </c>
      <c r="BI455" s="719">
        <f>BI456+BI457</f>
        <v>380.35</v>
      </c>
      <c r="BJ455" s="559"/>
      <c r="BK455" s="569"/>
      <c r="BL455" s="569"/>
      <c r="BM455" s="569"/>
      <c r="BN455" s="569"/>
      <c r="BO455" s="709" t="s">
        <v>1047</v>
      </c>
      <c r="BP455" s="697">
        <f>BP456+BP457</f>
        <v>394.09000000000003</v>
      </c>
      <c r="BQ455" s="560"/>
      <c r="BR455" s="559"/>
      <c r="BS455" s="559"/>
      <c r="BT455" s="559"/>
      <c r="BU455" s="559"/>
      <c r="BV455" s="709" t="s">
        <v>1047</v>
      </c>
      <c r="BW455" s="697">
        <f>BW456+BW457</f>
        <v>405.23</v>
      </c>
      <c r="BX455" s="560"/>
      <c r="BY455" s="560"/>
      <c r="BZ455" s="560"/>
      <c r="CA455" s="560"/>
      <c r="CB455" s="560"/>
      <c r="CC455" s="560"/>
    </row>
    <row r="456" spans="1:81">
      <c r="A456" s="560"/>
      <c r="B456" s="560"/>
      <c r="C456" s="559"/>
      <c r="D456" s="560"/>
      <c r="E456" s="560"/>
      <c r="F456" s="560"/>
      <c r="G456" s="560"/>
      <c r="H456" s="560"/>
      <c r="I456" s="560"/>
      <c r="J456" s="560"/>
      <c r="K456" s="560"/>
      <c r="L456" s="560"/>
      <c r="M456" s="560"/>
      <c r="N456" s="560"/>
      <c r="O456" s="559"/>
      <c r="P456" s="559"/>
      <c r="Q456" s="559"/>
      <c r="R456" s="560"/>
      <c r="S456" s="560"/>
      <c r="T456" s="560"/>
      <c r="U456" s="560"/>
      <c r="V456" s="560"/>
      <c r="X456" s="560"/>
      <c r="Y456" s="560"/>
      <c r="Z456" s="560"/>
      <c r="AA456" s="560"/>
      <c r="AB456" s="560"/>
      <c r="AC456" s="560"/>
      <c r="AD456" s="560"/>
      <c r="AE456" s="559"/>
      <c r="AF456" s="559"/>
      <c r="AG456" s="559"/>
      <c r="AH456" s="559"/>
      <c r="AI456" s="559"/>
      <c r="AJ456" s="559"/>
      <c r="AK456" s="559"/>
      <c r="AL456" s="560"/>
      <c r="AM456" s="560"/>
      <c r="AN456" s="559"/>
      <c r="AO456" s="559"/>
      <c r="AP456" s="560"/>
      <c r="AQ456" s="560"/>
      <c r="AR456" s="560"/>
      <c r="AS456" s="560"/>
      <c r="AT456" s="560"/>
      <c r="AU456" s="560"/>
      <c r="AV456" s="560"/>
      <c r="AW456" s="560"/>
      <c r="AX456" s="560"/>
      <c r="AY456" s="560"/>
      <c r="AZ456" s="791"/>
      <c r="BA456" s="655" t="s">
        <v>1048</v>
      </c>
      <c r="BB456" s="569">
        <v>214.97</v>
      </c>
      <c r="BC456" s="559"/>
      <c r="BD456" s="559"/>
      <c r="BE456" s="559"/>
      <c r="BF456" s="559"/>
      <c r="BG456" s="559"/>
      <c r="BH456" s="655" t="s">
        <v>1048</v>
      </c>
      <c r="BI456" s="718">
        <v>214.9</v>
      </c>
      <c r="BJ456" s="559"/>
      <c r="BK456" s="569"/>
      <c r="BL456" s="569"/>
      <c r="BM456" s="569"/>
      <c r="BN456" s="569"/>
      <c r="BO456" s="655" t="s">
        <v>1048</v>
      </c>
      <c r="BP456" s="559">
        <v>214.77</v>
      </c>
      <c r="BQ456" s="560"/>
      <c r="BR456" s="559"/>
      <c r="BS456" s="559"/>
      <c r="BT456" s="620"/>
      <c r="BU456" s="620"/>
      <c r="BV456" s="655" t="s">
        <v>1048</v>
      </c>
      <c r="BW456" s="559">
        <v>214.54</v>
      </c>
      <c r="BX456" s="560"/>
      <c r="BY456" s="560"/>
      <c r="BZ456" s="560"/>
      <c r="CA456" s="560"/>
      <c r="CB456" s="560"/>
      <c r="CC456" s="560"/>
    </row>
    <row r="457" spans="1:81">
      <c r="A457" s="560"/>
      <c r="B457" s="560"/>
      <c r="C457" s="559"/>
      <c r="D457" s="560"/>
      <c r="E457" s="560"/>
      <c r="F457" s="560"/>
      <c r="G457" s="560"/>
      <c r="H457" s="560"/>
      <c r="I457" s="560"/>
      <c r="J457" s="560"/>
      <c r="K457" s="560"/>
      <c r="L457" s="560"/>
      <c r="M457" s="560"/>
      <c r="N457" s="560"/>
      <c r="O457" s="559"/>
      <c r="P457" s="559"/>
      <c r="Q457" s="559"/>
      <c r="R457" s="560"/>
      <c r="S457" s="560"/>
      <c r="T457" s="560"/>
      <c r="U457" s="560"/>
      <c r="V457" s="560"/>
      <c r="X457" s="560"/>
      <c r="Y457" s="560"/>
      <c r="Z457" s="560"/>
      <c r="AA457" s="560"/>
      <c r="AB457" s="560"/>
      <c r="AC457" s="560"/>
      <c r="AD457" s="560"/>
      <c r="AE457" s="559"/>
      <c r="AF457" s="559"/>
      <c r="AG457" s="559"/>
      <c r="AH457" s="559"/>
      <c r="AI457" s="559"/>
      <c r="AJ457" s="559"/>
      <c r="AK457" s="559"/>
      <c r="AL457" s="560"/>
      <c r="AM457" s="560"/>
      <c r="AN457" s="559"/>
      <c r="AO457" s="559"/>
      <c r="AP457" s="560"/>
      <c r="AQ457" s="560"/>
      <c r="AR457" s="560"/>
      <c r="AS457" s="560"/>
      <c r="AT457" s="560"/>
      <c r="AU457" s="560"/>
      <c r="AV457" s="560"/>
      <c r="AW457" s="560"/>
      <c r="AX457" s="560"/>
      <c r="AY457" s="560"/>
      <c r="AZ457" s="791"/>
      <c r="BA457" s="655" t="s">
        <v>1049</v>
      </c>
      <c r="BB457" s="565">
        <v>139.77000000000001</v>
      </c>
      <c r="BC457" s="559"/>
      <c r="BD457" s="559"/>
      <c r="BE457" s="559"/>
      <c r="BF457" s="559"/>
      <c r="BG457" s="559"/>
      <c r="BH457" s="655" t="s">
        <v>1049</v>
      </c>
      <c r="BI457" s="565">
        <v>165.45</v>
      </c>
      <c r="BJ457" s="559"/>
      <c r="BK457" s="569"/>
      <c r="BL457" s="569"/>
      <c r="BM457" s="569"/>
      <c r="BN457" s="569"/>
      <c r="BO457" s="655" t="s">
        <v>1049</v>
      </c>
      <c r="BP457" s="697">
        <v>179.32</v>
      </c>
      <c r="BQ457" s="560"/>
      <c r="BR457" s="559"/>
      <c r="BS457" s="559"/>
      <c r="BT457" s="620"/>
      <c r="BU457" s="620"/>
      <c r="BV457" s="655" t="s">
        <v>1049</v>
      </c>
      <c r="BW457" s="697">
        <v>190.69</v>
      </c>
      <c r="BX457" s="560"/>
      <c r="BY457" s="560"/>
      <c r="BZ457" s="560"/>
      <c r="CA457" s="560"/>
      <c r="CB457" s="560"/>
      <c r="CC457" s="560"/>
    </row>
    <row r="458" spans="1:81">
      <c r="A458" s="560"/>
      <c r="B458" s="560"/>
      <c r="C458" s="559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59"/>
      <c r="P458" s="559"/>
      <c r="Q458" s="559"/>
      <c r="R458" s="560"/>
      <c r="S458" s="560"/>
      <c r="T458" s="560"/>
      <c r="U458" s="560"/>
      <c r="V458" s="560"/>
      <c r="X458" s="560"/>
      <c r="Y458" s="560"/>
      <c r="Z458" s="560"/>
      <c r="AA458" s="560"/>
      <c r="AB458" s="560"/>
      <c r="AC458" s="560"/>
      <c r="AD458" s="560"/>
      <c r="AE458" s="559"/>
      <c r="AF458" s="559"/>
      <c r="AG458" s="559"/>
      <c r="AH458" s="559"/>
      <c r="AI458" s="559"/>
      <c r="AJ458" s="559"/>
      <c r="AK458" s="559"/>
      <c r="AL458" s="560"/>
      <c r="AM458" s="560"/>
      <c r="AN458" s="559"/>
      <c r="AO458" s="559"/>
      <c r="AP458" s="560"/>
      <c r="AQ458" s="560"/>
      <c r="AR458" s="560"/>
      <c r="AS458" s="560"/>
      <c r="AT458" s="560"/>
      <c r="AU458" s="560"/>
      <c r="AV458" s="560"/>
      <c r="AW458" s="560"/>
      <c r="AX458" s="560"/>
      <c r="AY458" s="560"/>
      <c r="AZ458" s="791"/>
      <c r="BA458" s="655" t="s">
        <v>1050</v>
      </c>
      <c r="BB458" s="569">
        <v>72.81</v>
      </c>
      <c r="BC458" s="559"/>
      <c r="BD458" s="560"/>
      <c r="BE458" s="560"/>
      <c r="BF458" s="560"/>
      <c r="BG458" s="560"/>
      <c r="BH458" s="655" t="s">
        <v>1050</v>
      </c>
      <c r="BI458" s="569">
        <v>72.86</v>
      </c>
      <c r="BJ458" s="559"/>
      <c r="BK458" s="560"/>
      <c r="BL458" s="560"/>
      <c r="BM458" s="560"/>
      <c r="BN458" s="560"/>
      <c r="BO458" s="655" t="s">
        <v>1050</v>
      </c>
      <c r="BP458" s="559">
        <v>73.2</v>
      </c>
      <c r="BQ458" s="560"/>
      <c r="BR458" s="560"/>
      <c r="BS458" s="560"/>
      <c r="BT458" s="560"/>
      <c r="BU458" s="560"/>
      <c r="BV458" s="655" t="s">
        <v>1050</v>
      </c>
      <c r="BW458" s="559">
        <v>72.25</v>
      </c>
      <c r="BX458" s="560"/>
      <c r="BY458" s="560"/>
      <c r="BZ458" s="560"/>
      <c r="CA458" s="560"/>
      <c r="CB458" s="560"/>
      <c r="CC458" s="560"/>
    </row>
    <row r="459" spans="1:81" ht="18.75">
      <c r="A459" s="557" t="s">
        <v>1000</v>
      </c>
      <c r="B459" s="558"/>
      <c r="C459" s="639"/>
      <c r="D459" s="639"/>
      <c r="E459" s="562"/>
      <c r="F459" s="639"/>
      <c r="G459" s="560"/>
      <c r="H459" s="560"/>
      <c r="I459" s="560"/>
      <c r="J459" s="560"/>
      <c r="K459" s="560"/>
      <c r="L459" s="560"/>
      <c r="M459" s="560"/>
      <c r="N459" s="560"/>
      <c r="O459" s="559"/>
      <c r="P459" s="559"/>
      <c r="Q459" s="559"/>
      <c r="R459" s="560"/>
      <c r="S459" s="560"/>
      <c r="T459" s="560"/>
      <c r="U459" s="560"/>
      <c r="V459" s="560"/>
      <c r="X459" s="560"/>
      <c r="Y459" s="560"/>
      <c r="Z459" s="560"/>
      <c r="AA459" s="560"/>
      <c r="AB459" s="560"/>
      <c r="AC459" s="560"/>
      <c r="AD459" s="560"/>
      <c r="AE459" s="559"/>
      <c r="AF459" s="559"/>
      <c r="AG459" s="559"/>
      <c r="AH459" s="559"/>
      <c r="AI459" s="559"/>
      <c r="AJ459" s="559"/>
      <c r="AK459" s="559"/>
      <c r="AL459" s="560"/>
      <c r="AM459" s="560"/>
      <c r="AN459" s="559"/>
      <c r="AO459" s="559"/>
      <c r="AP459" s="560"/>
      <c r="AQ459" s="560"/>
      <c r="AR459" s="560"/>
      <c r="AS459" s="560"/>
      <c r="AT459" s="560"/>
      <c r="AU459" s="560"/>
      <c r="AV459" s="560"/>
      <c r="AW459" s="560"/>
      <c r="AX459" s="560"/>
      <c r="AY459" s="560"/>
      <c r="AZ459" s="549"/>
      <c r="BA459" s="560"/>
      <c r="BB459" s="560"/>
      <c r="BC459" s="559"/>
      <c r="BD459" s="560"/>
      <c r="BE459" s="560"/>
      <c r="BF459" s="560"/>
      <c r="BG459" s="560"/>
      <c r="BH459" s="560"/>
      <c r="BI459" s="560"/>
      <c r="BJ459" s="559"/>
      <c r="BK459" s="560"/>
      <c r="BL459" s="560"/>
      <c r="BM459" s="560"/>
      <c r="BN459" s="560"/>
      <c r="BO459" s="560"/>
      <c r="BP459" s="560"/>
      <c r="BQ459" s="560"/>
      <c r="BR459" s="560"/>
      <c r="BS459" s="560"/>
      <c r="BT459" s="560"/>
      <c r="BU459" s="560"/>
      <c r="BV459" s="560"/>
      <c r="BW459" s="560"/>
      <c r="BX459" s="560"/>
      <c r="BY459" s="560"/>
      <c r="BZ459" s="560"/>
      <c r="CA459" s="560"/>
      <c r="CB459" s="560"/>
      <c r="CC459" s="560"/>
    </row>
    <row r="460" spans="1:81" ht="18.75">
      <c r="A460" s="792" t="s">
        <v>1002</v>
      </c>
      <c r="B460" s="792"/>
      <c r="C460" s="792"/>
      <c r="D460" s="792"/>
      <c r="E460" s="613"/>
      <c r="F460" s="613"/>
      <c r="G460" s="613"/>
      <c r="H460" s="613"/>
      <c r="I460" s="613"/>
      <c r="J460" s="613"/>
      <c r="K460" s="613"/>
      <c r="L460" s="613"/>
      <c r="M460" s="613"/>
      <c r="N460" s="613"/>
      <c r="O460" s="614"/>
      <c r="P460" s="614"/>
      <c r="Q460" s="614"/>
      <c r="R460" s="613"/>
      <c r="S460" s="613"/>
      <c r="T460" s="613"/>
      <c r="U460" s="613"/>
      <c r="V460" s="613"/>
      <c r="W460" s="90"/>
      <c r="X460" s="613"/>
      <c r="Y460" s="613"/>
      <c r="Z460" s="613"/>
      <c r="AA460" s="613"/>
      <c r="AB460" s="613"/>
      <c r="AC460" s="613"/>
      <c r="AD460" s="613"/>
      <c r="AE460" s="614"/>
      <c r="AF460" s="614"/>
      <c r="AG460" s="614"/>
      <c r="AH460" s="614"/>
      <c r="AI460" s="614"/>
      <c r="AJ460" s="614"/>
      <c r="AK460" s="614"/>
      <c r="AL460" s="613"/>
      <c r="AM460" s="613"/>
      <c r="AN460" s="614"/>
      <c r="AO460" s="614"/>
      <c r="AP460" s="613"/>
      <c r="AQ460" s="613"/>
      <c r="AR460" s="613"/>
      <c r="AS460" s="613"/>
      <c r="AT460" s="613"/>
      <c r="AU460" s="613"/>
      <c r="AV460" s="613"/>
      <c r="AW460" s="613"/>
      <c r="AX460" s="613"/>
      <c r="AY460" s="613"/>
      <c r="AZ460" s="89"/>
      <c r="BA460" s="613"/>
      <c r="BB460" s="613"/>
      <c r="BC460" s="614"/>
      <c r="BD460" s="613"/>
      <c r="BE460" s="613"/>
      <c r="BF460" s="613"/>
      <c r="BG460" s="613"/>
      <c r="BH460" s="613"/>
      <c r="BI460" s="613"/>
      <c r="BJ460" s="614"/>
      <c r="BK460" s="613"/>
      <c r="BL460" s="613"/>
      <c r="BM460" s="613"/>
      <c r="BN460" s="613"/>
      <c r="BO460" s="613"/>
      <c r="BP460" s="613"/>
      <c r="BQ460" s="613"/>
      <c r="BR460" s="613"/>
      <c r="BS460" s="613"/>
      <c r="BT460" s="613"/>
      <c r="BU460" s="613"/>
      <c r="BV460" s="613"/>
      <c r="BW460" s="613"/>
      <c r="BX460" s="613"/>
      <c r="BY460" s="613"/>
      <c r="BZ460" s="613"/>
      <c r="CA460" s="613"/>
      <c r="CB460" s="613"/>
      <c r="CC460" s="560"/>
    </row>
    <row r="461" spans="1:81">
      <c r="A461" s="560"/>
      <c r="B461" s="560"/>
      <c r="C461" s="559"/>
      <c r="D461" s="560"/>
      <c r="E461" s="560"/>
      <c r="F461" s="560"/>
      <c r="G461" s="560"/>
      <c r="H461" s="560"/>
      <c r="I461" s="560"/>
      <c r="J461" s="560"/>
      <c r="K461" s="560"/>
      <c r="L461" s="560"/>
      <c r="M461" s="560"/>
      <c r="N461" s="560"/>
      <c r="O461" s="559"/>
      <c r="P461" s="559"/>
      <c r="Q461" s="559"/>
      <c r="R461" s="560"/>
      <c r="S461" s="560"/>
      <c r="T461" s="560"/>
      <c r="U461" s="560"/>
      <c r="V461" s="560"/>
      <c r="X461" s="560"/>
      <c r="Y461" s="560"/>
      <c r="Z461" s="560"/>
      <c r="AA461" s="560"/>
      <c r="AB461" s="560"/>
      <c r="AC461" s="560"/>
      <c r="AD461" s="560"/>
      <c r="AE461" s="559"/>
      <c r="AF461" s="559"/>
      <c r="AG461" s="559"/>
      <c r="AH461" s="559"/>
      <c r="AI461" s="559"/>
      <c r="AJ461" s="559"/>
      <c r="AK461" s="559"/>
      <c r="AL461" s="560"/>
      <c r="AM461" s="560"/>
      <c r="AN461" s="559"/>
      <c r="AO461" s="559"/>
      <c r="AP461" s="560"/>
      <c r="AQ461" s="560"/>
      <c r="AR461" s="560"/>
      <c r="AS461" s="560"/>
      <c r="AT461" s="560"/>
      <c r="AU461" s="560"/>
      <c r="AV461" s="560"/>
      <c r="AW461" s="560"/>
      <c r="AX461" s="560"/>
      <c r="AY461" s="560"/>
      <c r="AZ461" s="549"/>
      <c r="BA461" s="560"/>
      <c r="BB461" s="560"/>
      <c r="BC461" s="559"/>
      <c r="BD461" s="560"/>
      <c r="BE461" s="560"/>
      <c r="BF461" s="560"/>
      <c r="BG461" s="560"/>
      <c r="BH461" s="560"/>
      <c r="BI461" s="560"/>
      <c r="BJ461" s="559"/>
      <c r="BK461" s="560"/>
      <c r="BL461" s="560"/>
      <c r="BM461" s="560"/>
      <c r="BN461" s="560"/>
      <c r="BO461" s="560"/>
      <c r="BP461" s="560"/>
      <c r="BQ461" s="560"/>
      <c r="BR461" s="560"/>
      <c r="BS461" s="560"/>
      <c r="BT461" s="560"/>
      <c r="BU461" s="560"/>
      <c r="BV461" s="560"/>
      <c r="BW461" s="560"/>
      <c r="BX461" s="560"/>
      <c r="BY461" s="560"/>
      <c r="BZ461" s="560"/>
      <c r="CA461" s="560"/>
      <c r="CB461" s="560"/>
      <c r="CC461" s="560"/>
    </row>
    <row r="462" spans="1:81">
      <c r="A462" s="565" t="s">
        <v>134</v>
      </c>
      <c r="B462" s="640" t="s">
        <v>124</v>
      </c>
      <c r="C462" s="641" t="s">
        <v>119</v>
      </c>
      <c r="D462" s="642" t="s">
        <v>111</v>
      </c>
      <c r="E462" s="569"/>
      <c r="F462" s="569"/>
      <c r="G462" s="570"/>
      <c r="H462" s="640" t="s">
        <v>124</v>
      </c>
      <c r="I462" s="642" t="s">
        <v>119</v>
      </c>
      <c r="J462" s="642" t="s">
        <v>111</v>
      </c>
      <c r="K462" s="569"/>
      <c r="L462" s="569"/>
      <c r="M462" s="571" t="s">
        <v>124</v>
      </c>
      <c r="N462" s="642" t="s">
        <v>119</v>
      </c>
      <c r="O462" s="641" t="s">
        <v>111</v>
      </c>
      <c r="P462" s="559"/>
      <c r="Q462" s="559"/>
      <c r="R462" s="571" t="s">
        <v>124</v>
      </c>
      <c r="S462" s="642" t="s">
        <v>119</v>
      </c>
      <c r="T462" s="642" t="s">
        <v>111</v>
      </c>
      <c r="U462" s="569"/>
      <c r="V462" s="569"/>
      <c r="W462" s="447" t="s">
        <v>133</v>
      </c>
      <c r="X462" s="571" t="s">
        <v>124</v>
      </c>
      <c r="Y462" s="642" t="s">
        <v>119</v>
      </c>
      <c r="Z462" s="642" t="s">
        <v>111</v>
      </c>
      <c r="AA462" s="569"/>
      <c r="AB462" s="569"/>
      <c r="AC462" s="569"/>
      <c r="AD462" s="570"/>
      <c r="AE462" s="640" t="s">
        <v>124</v>
      </c>
      <c r="AF462" s="642" t="s">
        <v>119</v>
      </c>
      <c r="AG462" s="642" t="s">
        <v>111</v>
      </c>
      <c r="AH462" s="569"/>
      <c r="AI462" s="569"/>
      <c r="AJ462" s="569"/>
      <c r="AK462" s="570"/>
      <c r="AL462" s="571" t="s">
        <v>124</v>
      </c>
      <c r="AM462" s="642" t="s">
        <v>119</v>
      </c>
      <c r="AN462" s="642" t="s">
        <v>111</v>
      </c>
      <c r="AO462" s="569"/>
      <c r="AP462" s="569"/>
      <c r="AQ462" s="569"/>
      <c r="AR462" s="700"/>
      <c r="AS462" s="571" t="s">
        <v>124</v>
      </c>
      <c r="AT462" s="642" t="s">
        <v>119</v>
      </c>
      <c r="AU462" s="642" t="s">
        <v>111</v>
      </c>
      <c r="AV462" s="569"/>
      <c r="AW462" s="569"/>
      <c r="AX462" s="569"/>
      <c r="AY462" s="700"/>
      <c r="AZ462" s="447" t="s">
        <v>141</v>
      </c>
      <c r="BA462" s="640" t="s">
        <v>124</v>
      </c>
      <c r="BB462" s="642" t="s">
        <v>119</v>
      </c>
      <c r="BC462" s="642" t="s">
        <v>111</v>
      </c>
      <c r="BD462" s="569"/>
      <c r="BE462" s="569"/>
      <c r="BF462" s="569"/>
      <c r="BG462" s="569"/>
      <c r="BH462" s="640" t="s">
        <v>124</v>
      </c>
      <c r="BI462" s="641" t="s">
        <v>119</v>
      </c>
      <c r="BJ462" s="641" t="s">
        <v>111</v>
      </c>
      <c r="BK462" s="569"/>
      <c r="BL462" s="569"/>
      <c r="BM462" s="569"/>
      <c r="BN462" s="569"/>
      <c r="BO462" s="571" t="s">
        <v>124</v>
      </c>
      <c r="BP462" s="642" t="s">
        <v>119</v>
      </c>
      <c r="BQ462" s="642" t="s">
        <v>111</v>
      </c>
      <c r="BR462" s="560"/>
      <c r="BS462" s="569"/>
      <c r="BT462" s="569"/>
      <c r="BU462" s="569"/>
      <c r="BV462" s="672" t="s">
        <v>124</v>
      </c>
      <c r="BW462" s="641" t="s">
        <v>119</v>
      </c>
      <c r="BX462" s="641" t="s">
        <v>111</v>
      </c>
      <c r="BY462" s="559"/>
      <c r="BZ462" s="559"/>
      <c r="CA462" s="559"/>
      <c r="CB462" s="570"/>
      <c r="CC462" s="560"/>
    </row>
    <row r="463" spans="1:81">
      <c r="A463" s="565"/>
      <c r="B463" s="572"/>
      <c r="C463" s="573" t="s">
        <v>806</v>
      </c>
      <c r="D463" s="574" t="s">
        <v>112</v>
      </c>
      <c r="E463" s="569"/>
      <c r="F463" s="569"/>
      <c r="G463" s="570"/>
      <c r="H463" s="572"/>
      <c r="I463" s="573" t="s">
        <v>806</v>
      </c>
      <c r="J463" s="574" t="s">
        <v>114</v>
      </c>
      <c r="K463" s="569"/>
      <c r="L463" s="569"/>
      <c r="M463" s="572"/>
      <c r="N463" s="573" t="s">
        <v>1003</v>
      </c>
      <c r="O463" s="645" t="s">
        <v>112</v>
      </c>
      <c r="P463" s="559"/>
      <c r="Q463" s="559"/>
      <c r="R463" s="572"/>
      <c r="S463" s="573" t="s">
        <v>1004</v>
      </c>
      <c r="T463" s="643" t="s">
        <v>112</v>
      </c>
      <c r="U463" s="801"/>
      <c r="V463" s="801"/>
      <c r="W463" s="80"/>
      <c r="X463" s="572"/>
      <c r="Y463" s="573" t="s">
        <v>806</v>
      </c>
      <c r="Z463" s="574" t="s">
        <v>112</v>
      </c>
      <c r="AA463" s="569"/>
      <c r="AB463" s="569"/>
      <c r="AC463" s="569"/>
      <c r="AD463" s="570"/>
      <c r="AE463" s="572"/>
      <c r="AF463" s="573" t="s">
        <v>806</v>
      </c>
      <c r="AG463" s="574" t="s">
        <v>114</v>
      </c>
      <c r="AH463" s="569"/>
      <c r="AI463" s="569"/>
      <c r="AJ463" s="569"/>
      <c r="AK463" s="570"/>
      <c r="AL463" s="572"/>
      <c r="AM463" s="573" t="s">
        <v>1003</v>
      </c>
      <c r="AN463" s="645" t="s">
        <v>112</v>
      </c>
      <c r="AO463" s="569"/>
      <c r="AP463" s="569"/>
      <c r="AQ463" s="569"/>
      <c r="AR463" s="700"/>
      <c r="AS463" s="572"/>
      <c r="AT463" s="573" t="s">
        <v>1004</v>
      </c>
      <c r="AU463" s="643" t="s">
        <v>112</v>
      </c>
      <c r="AV463" s="795"/>
      <c r="AW463" s="795"/>
      <c r="AX463" s="569"/>
      <c r="AY463" s="700"/>
      <c r="AZ463" s="80"/>
      <c r="BA463" s="572"/>
      <c r="BB463" s="573" t="s">
        <v>806</v>
      </c>
      <c r="BC463" s="574" t="s">
        <v>112</v>
      </c>
      <c r="BD463" s="569"/>
      <c r="BE463" s="569"/>
      <c r="BF463" s="569"/>
      <c r="BG463" s="570"/>
      <c r="BH463" s="572"/>
      <c r="BI463" s="573" t="s">
        <v>806</v>
      </c>
      <c r="BJ463" s="574" t="s">
        <v>114</v>
      </c>
      <c r="BK463" s="569"/>
      <c r="BL463" s="569"/>
      <c r="BM463" s="569"/>
      <c r="BN463" s="570"/>
      <c r="BO463" s="572"/>
      <c r="BP463" s="573" t="s">
        <v>1003</v>
      </c>
      <c r="BQ463" s="645" t="s">
        <v>112</v>
      </c>
      <c r="BR463" s="569"/>
      <c r="BS463" s="569"/>
      <c r="BT463" s="569"/>
      <c r="BU463" s="700"/>
      <c r="BV463" s="572"/>
      <c r="BW463" s="573" t="s">
        <v>1004</v>
      </c>
      <c r="BX463" s="643" t="s">
        <v>112</v>
      </c>
      <c r="BY463" s="795"/>
      <c r="BZ463" s="795"/>
      <c r="CA463" s="569"/>
      <c r="CB463" s="700"/>
      <c r="CC463" s="560"/>
    </row>
    <row r="464" spans="1:81" ht="63">
      <c r="A464" s="564"/>
      <c r="B464" s="579" t="s">
        <v>122</v>
      </c>
      <c r="C464" s="580" t="s">
        <v>121</v>
      </c>
      <c r="D464" s="581" t="s">
        <v>125</v>
      </c>
      <c r="E464" s="796" t="s">
        <v>1013</v>
      </c>
      <c r="F464" s="796"/>
      <c r="G464" s="797"/>
      <c r="H464" s="582" t="s">
        <v>121</v>
      </c>
      <c r="I464" s="581" t="s">
        <v>125</v>
      </c>
      <c r="J464" s="796" t="s">
        <v>1013</v>
      </c>
      <c r="K464" s="796"/>
      <c r="L464" s="797"/>
      <c r="M464" s="582" t="s">
        <v>121</v>
      </c>
      <c r="N464" s="581" t="s">
        <v>125</v>
      </c>
      <c r="O464" s="796" t="s">
        <v>1013</v>
      </c>
      <c r="P464" s="796"/>
      <c r="Q464" s="797"/>
      <c r="R464" s="582" t="s">
        <v>121</v>
      </c>
      <c r="S464" s="581" t="s">
        <v>125</v>
      </c>
      <c r="T464" s="796" t="s">
        <v>1013</v>
      </c>
      <c r="U464" s="796"/>
      <c r="V464" s="797"/>
      <c r="W464" s="5"/>
      <c r="X464" s="582" t="s">
        <v>121</v>
      </c>
      <c r="Y464" s="584" t="s">
        <v>126</v>
      </c>
      <c r="Z464" s="583" t="s">
        <v>127</v>
      </c>
      <c r="AA464" s="583" t="s">
        <v>128</v>
      </c>
      <c r="AB464" s="583" t="s">
        <v>129</v>
      </c>
      <c r="AC464" s="583" t="s">
        <v>130</v>
      </c>
      <c r="AD464" s="701" t="s">
        <v>131</v>
      </c>
      <c r="AE464" s="582" t="s">
        <v>121</v>
      </c>
      <c r="AF464" s="583" t="s">
        <v>126</v>
      </c>
      <c r="AG464" s="583" t="s">
        <v>127</v>
      </c>
      <c r="AH464" s="583" t="s">
        <v>128</v>
      </c>
      <c r="AI464" s="583" t="s">
        <v>129</v>
      </c>
      <c r="AJ464" s="583" t="s">
        <v>130</v>
      </c>
      <c r="AK464" s="701" t="s">
        <v>131</v>
      </c>
      <c r="AL464" s="582" t="s">
        <v>121</v>
      </c>
      <c r="AM464" s="583" t="s">
        <v>126</v>
      </c>
      <c r="AN464" s="583" t="s">
        <v>127</v>
      </c>
      <c r="AO464" s="583" t="s">
        <v>128</v>
      </c>
      <c r="AP464" s="583" t="s">
        <v>129</v>
      </c>
      <c r="AQ464" s="583" t="s">
        <v>130</v>
      </c>
      <c r="AR464" s="696" t="s">
        <v>131</v>
      </c>
      <c r="AS464" s="582" t="s">
        <v>121</v>
      </c>
      <c r="AT464" s="583" t="s">
        <v>126</v>
      </c>
      <c r="AU464" s="695" t="s">
        <v>127</v>
      </c>
      <c r="AV464" s="695" t="s">
        <v>128</v>
      </c>
      <c r="AW464" s="583" t="s">
        <v>129</v>
      </c>
      <c r="AX464" s="583" t="s">
        <v>130</v>
      </c>
      <c r="AY464" s="696" t="s">
        <v>131</v>
      </c>
      <c r="AZ464" s="75"/>
      <c r="BA464" s="648" t="s">
        <v>121</v>
      </c>
      <c r="BB464" s="583" t="s">
        <v>143</v>
      </c>
      <c r="BC464" s="583" t="s">
        <v>888</v>
      </c>
      <c r="BD464" s="583" t="s">
        <v>1045</v>
      </c>
      <c r="BE464" s="583" t="s">
        <v>1044</v>
      </c>
      <c r="BF464" s="666" t="s">
        <v>1051</v>
      </c>
      <c r="BG464" s="666" t="s">
        <v>1052</v>
      </c>
      <c r="BH464" s="648" t="s">
        <v>121</v>
      </c>
      <c r="BI464" s="583" t="s">
        <v>143</v>
      </c>
      <c r="BJ464" s="583" t="s">
        <v>888</v>
      </c>
      <c r="BK464" s="583" t="s">
        <v>1045</v>
      </c>
      <c r="BL464" s="583" t="s">
        <v>1044</v>
      </c>
      <c r="BM464" s="666" t="s">
        <v>1051</v>
      </c>
      <c r="BN464" s="666" t="s">
        <v>1052</v>
      </c>
      <c r="BO464" s="648" t="s">
        <v>121</v>
      </c>
      <c r="BP464" s="583" t="s">
        <v>143</v>
      </c>
      <c r="BQ464" s="583" t="s">
        <v>888</v>
      </c>
      <c r="BR464" s="583" t="s">
        <v>1045</v>
      </c>
      <c r="BS464" s="583" t="s">
        <v>1044</v>
      </c>
      <c r="BT464" s="666" t="s">
        <v>1051</v>
      </c>
      <c r="BU464" s="666" t="s">
        <v>1052</v>
      </c>
      <c r="BV464" s="648" t="s">
        <v>121</v>
      </c>
      <c r="BW464" s="583" t="s">
        <v>143</v>
      </c>
      <c r="BX464" s="583" t="s">
        <v>888</v>
      </c>
      <c r="BY464" s="583" t="s">
        <v>1045</v>
      </c>
      <c r="BZ464" s="583" t="s">
        <v>1044</v>
      </c>
      <c r="CA464" s="666" t="s">
        <v>1051</v>
      </c>
      <c r="CB464" s="666" t="s">
        <v>1052</v>
      </c>
      <c r="CC464" s="560"/>
    </row>
    <row r="465" spans="1:81" ht="15.75">
      <c r="A465" s="564"/>
      <c r="B465" s="585" t="s">
        <v>120</v>
      </c>
      <c r="C465" s="559">
        <v>0</v>
      </c>
      <c r="D465" s="612">
        <v>433.78</v>
      </c>
      <c r="E465" s="27">
        <v>0</v>
      </c>
      <c r="F465" s="27">
        <v>0</v>
      </c>
      <c r="G465" s="94">
        <v>0</v>
      </c>
      <c r="H465" s="559">
        <v>0</v>
      </c>
      <c r="I465" s="612">
        <v>409.76</v>
      </c>
      <c r="J465" s="260">
        <v>0</v>
      </c>
      <c r="K465" s="260">
        <v>0</v>
      </c>
      <c r="L465" s="548">
        <v>0</v>
      </c>
      <c r="M465" s="559">
        <v>0</v>
      </c>
      <c r="N465" s="649">
        <v>419.17</v>
      </c>
      <c r="O465" s="260">
        <v>2.16</v>
      </c>
      <c r="P465" s="260">
        <v>0</v>
      </c>
      <c r="Q465" s="94">
        <v>2.63</v>
      </c>
      <c r="R465" s="559">
        <v>0</v>
      </c>
      <c r="S465" s="649">
        <v>412.36</v>
      </c>
      <c r="T465" s="260">
        <v>0</v>
      </c>
      <c r="U465" s="260">
        <v>0</v>
      </c>
      <c r="V465" s="94">
        <v>0</v>
      </c>
      <c r="W465" s="5"/>
      <c r="X465" s="650">
        <v>0</v>
      </c>
      <c r="Y465" s="651">
        <f t="shared" ref="Y465:Y480" si="420">AVERAGE(E465:G465)/10</f>
        <v>0</v>
      </c>
      <c r="Z465" s="620">
        <v>9.6440000000000001</v>
      </c>
      <c r="AA465" s="620">
        <v>4.5170000000000003</v>
      </c>
      <c r="AB465" s="620">
        <f t="shared" ref="AB465:AB480" si="421">Z465-(AA465+Y465)</f>
        <v>5.1269999999999998</v>
      </c>
      <c r="AC465" s="620">
        <f t="shared" ref="AC465:AC480" si="422">3*Z465+AA465+Y465</f>
        <v>33.449000000000005</v>
      </c>
      <c r="AD465" s="653">
        <f t="shared" ref="AD465:AD480" si="423">1.398*(10^-6)*(X465^2)*AB465*AC465</f>
        <v>0</v>
      </c>
      <c r="AE465" s="650">
        <v>0</v>
      </c>
      <c r="AF465" s="620">
        <f t="shared" ref="AF465:AF480" si="424">AVERAGE(J465:L465)/10</f>
        <v>0</v>
      </c>
      <c r="AG465" s="620">
        <v>9.6440000000000001</v>
      </c>
      <c r="AH465" s="620">
        <v>4.5170000000000003</v>
      </c>
      <c r="AI465" s="620">
        <f t="shared" ref="AI465:AI480" si="425">AG465-(AH465+AF465)</f>
        <v>5.1269999999999998</v>
      </c>
      <c r="AJ465" s="620">
        <f t="shared" ref="AJ465:AJ480" si="426">3*AG465+AH465+AF465</f>
        <v>33.449000000000005</v>
      </c>
      <c r="AK465" s="653">
        <f t="shared" ref="AK465:AK480" si="427">1.398*(10^-6)*(AE465^2)*AI465*AJ465</f>
        <v>0</v>
      </c>
      <c r="AL465" s="650">
        <v>0</v>
      </c>
      <c r="AM465" s="620">
        <f t="shared" ref="AM465:AM473" si="428">AVERAGE(O465:Q465)/10</f>
        <v>0.15966666666666668</v>
      </c>
      <c r="AN465" s="620">
        <v>9.6440000000000001</v>
      </c>
      <c r="AO465" s="620">
        <v>4.5170000000000003</v>
      </c>
      <c r="AP465" s="620">
        <f t="shared" ref="AP465:AP480" si="429">AN465-(AO465+AM465)</f>
        <v>4.9673333333333334</v>
      </c>
      <c r="AQ465" s="620">
        <f t="shared" ref="AQ465:AQ480" si="430">3*AN465+AO465+AM465</f>
        <v>33.608666666666672</v>
      </c>
      <c r="AR465" s="698">
        <f t="shared" ref="AR465:AR480" si="431">1.398*(10^-6)*(AL465^2)*AP465*AQ465</f>
        <v>0</v>
      </c>
      <c r="AS465" s="650">
        <v>0</v>
      </c>
      <c r="AT465" s="620">
        <f t="shared" ref="AT465:AT480" si="432">AVERAGE(T465:V465)/10</f>
        <v>0</v>
      </c>
      <c r="AU465" s="620">
        <v>9.6440000000000001</v>
      </c>
      <c r="AV465" s="620">
        <v>4.5170000000000003</v>
      </c>
      <c r="AW465" s="620">
        <f t="shared" ref="AW465:AW480" si="433">AU465-(AV465+AT465)</f>
        <v>5.1269999999999998</v>
      </c>
      <c r="AX465" s="620">
        <f t="shared" ref="AX465:AX480" si="434">3*AU465+AV465+AT465</f>
        <v>33.449000000000005</v>
      </c>
      <c r="AY465" s="698">
        <f t="shared" ref="AY465:AY480" si="435">1.398*(10^-6)*(AS465^2)*AW465*AX465</f>
        <v>0</v>
      </c>
      <c r="AZ465" s="75"/>
      <c r="BA465" s="650">
        <v>0</v>
      </c>
      <c r="BB465" s="620">
        <v>103.50685607036536</v>
      </c>
      <c r="BC465" s="720">
        <f>(BB483-BB484)/BB465</f>
        <v>0.89655896742640218</v>
      </c>
      <c r="BD465" s="714">
        <f>D465-BB481</f>
        <v>52.95999999999998</v>
      </c>
      <c r="BE465" s="693">
        <f>BB483-BB484</f>
        <v>92.8</v>
      </c>
      <c r="BF465" s="693">
        <f>BD465/BE465*100</f>
        <v>57.068965517241352</v>
      </c>
      <c r="BG465" s="668">
        <f t="shared" ref="BG465:BG480" si="436">BF465*BC465</f>
        <v>51.165692796230857</v>
      </c>
      <c r="BH465" s="650">
        <v>0</v>
      </c>
      <c r="BI465" s="620">
        <v>103.50685607036536</v>
      </c>
      <c r="BJ465" s="720">
        <f>(BI483-BI484)/BI465</f>
        <v>0.66217835805393976</v>
      </c>
      <c r="BK465" s="714">
        <f>I465-BI481</f>
        <v>53.019999999999982</v>
      </c>
      <c r="BL465" s="693">
        <f>BI483-BI484</f>
        <v>68.540000000000006</v>
      </c>
      <c r="BM465" s="693">
        <f t="shared" ref="BM465:BM480" si="437">BK465/BL465*100</f>
        <v>77.356288298803591</v>
      </c>
      <c r="BN465" s="668">
        <f t="shared" ref="BN465:BN480" si="438">BM465*BJ465</f>
        <v>51.223659970848956</v>
      </c>
      <c r="BO465" s="650">
        <v>0</v>
      </c>
      <c r="BP465" s="681">
        <v>103.50685607036536</v>
      </c>
      <c r="BQ465" s="720">
        <f>(BP483-BP484)/BP465</f>
        <v>0.74265611881538296</v>
      </c>
      <c r="BR465" s="714">
        <f>N465-BP481</f>
        <v>54.339999999999975</v>
      </c>
      <c r="BS465" s="693">
        <f>BP483-BP484</f>
        <v>76.87</v>
      </c>
      <c r="BT465" s="693">
        <f t="shared" ref="BT465:BT480" si="439">BR465/BS465*100</f>
        <v>70.69077663587872</v>
      </c>
      <c r="BU465" s="668">
        <f t="shared" ref="BU465:BU480" si="440">BT465*BQ465</f>
        <v>52.498937812446847</v>
      </c>
      <c r="BV465" s="650">
        <v>0</v>
      </c>
      <c r="BW465" s="620">
        <v>103.50685607036536</v>
      </c>
      <c r="BX465" s="720">
        <f>(BW483-BW484)/BW465</f>
        <v>0.70401133573665875</v>
      </c>
      <c r="BY465" s="714">
        <f>S465-BW481</f>
        <v>51.759999999999991</v>
      </c>
      <c r="BZ465" s="693">
        <f>BW483-BW484</f>
        <v>72.87</v>
      </c>
      <c r="CA465" s="693">
        <f t="shared" ref="CA465:CA480" si="441">BY465/BZ465*100</f>
        <v>71.030602442706169</v>
      </c>
      <c r="CB465" s="668">
        <f t="shared" ref="CB465:CB480" si="442">CA465*BX465</f>
        <v>50.006349303869143</v>
      </c>
      <c r="CC465" s="560"/>
    </row>
    <row r="466" spans="1:81" ht="15.75">
      <c r="A466" s="564"/>
      <c r="B466" s="585" t="s">
        <v>116</v>
      </c>
      <c r="C466" s="559">
        <v>300</v>
      </c>
      <c r="D466" s="612">
        <v>427.15</v>
      </c>
      <c r="E466" s="27">
        <v>1.01</v>
      </c>
      <c r="F466" s="27">
        <v>0.54</v>
      </c>
      <c r="G466" s="94">
        <v>0.57999999999999996</v>
      </c>
      <c r="H466" s="559">
        <v>300</v>
      </c>
      <c r="I466" s="559">
        <v>400.11</v>
      </c>
      <c r="J466" s="260">
        <v>2.93</v>
      </c>
      <c r="K466" s="260">
        <v>3.17</v>
      </c>
      <c r="L466" s="548">
        <v>2.78</v>
      </c>
      <c r="M466" s="559">
        <v>300</v>
      </c>
      <c r="N466" s="649">
        <v>406.3</v>
      </c>
      <c r="O466" s="260">
        <v>3.67</v>
      </c>
      <c r="P466" s="260">
        <v>2.16</v>
      </c>
      <c r="Q466" s="94">
        <v>2.72</v>
      </c>
      <c r="R466" s="559">
        <v>300</v>
      </c>
      <c r="S466" s="649">
        <v>407</v>
      </c>
      <c r="T466" s="260">
        <v>1.34</v>
      </c>
      <c r="U466" s="260">
        <v>0.84</v>
      </c>
      <c r="V466" s="94">
        <v>1.1299999999999999</v>
      </c>
      <c r="W466" s="5"/>
      <c r="X466" s="650">
        <v>300</v>
      </c>
      <c r="Y466" s="651">
        <f t="shared" si="420"/>
        <v>7.0999999999999994E-2</v>
      </c>
      <c r="Z466" s="620">
        <v>9.6440000000000001</v>
      </c>
      <c r="AA466" s="620">
        <v>4.5170000000000003</v>
      </c>
      <c r="AB466" s="620">
        <f t="shared" si="421"/>
        <v>5.056</v>
      </c>
      <c r="AC466" s="620">
        <f t="shared" si="422"/>
        <v>33.520000000000003</v>
      </c>
      <c r="AD466" s="653">
        <f t="shared" si="423"/>
        <v>21.323611238399998</v>
      </c>
      <c r="AE466" s="650">
        <v>300</v>
      </c>
      <c r="AF466" s="620">
        <f t="shared" si="424"/>
        <v>0.29599999999999993</v>
      </c>
      <c r="AG466" s="620">
        <v>9.6440000000000001</v>
      </c>
      <c r="AH466" s="620">
        <v>4.5170000000000003</v>
      </c>
      <c r="AI466" s="620">
        <f t="shared" si="425"/>
        <v>4.8309999999999995</v>
      </c>
      <c r="AJ466" s="620">
        <f t="shared" si="426"/>
        <v>33.745000000000005</v>
      </c>
      <c r="AK466" s="653">
        <f t="shared" si="427"/>
        <v>20.511439992900002</v>
      </c>
      <c r="AL466" s="650">
        <v>300</v>
      </c>
      <c r="AM466" s="620">
        <f t="shared" si="428"/>
        <v>0.28500000000000003</v>
      </c>
      <c r="AN466" s="620">
        <v>9.6440000000000001</v>
      </c>
      <c r="AO466" s="620">
        <v>4.5170000000000003</v>
      </c>
      <c r="AP466" s="620">
        <f t="shared" si="429"/>
        <v>4.8419999999999996</v>
      </c>
      <c r="AQ466" s="620">
        <f t="shared" si="430"/>
        <v>33.734000000000002</v>
      </c>
      <c r="AR466" s="698">
        <f t="shared" si="431"/>
        <v>20.551442322959996</v>
      </c>
      <c r="AS466" s="650">
        <v>300</v>
      </c>
      <c r="AT466" s="620">
        <f t="shared" si="432"/>
        <v>0.11033333333333332</v>
      </c>
      <c r="AU466" s="620">
        <v>9.6440000000000001</v>
      </c>
      <c r="AV466" s="620">
        <v>4.5170000000000003</v>
      </c>
      <c r="AW466" s="620">
        <f t="shared" si="433"/>
        <v>5.0166666666666666</v>
      </c>
      <c r="AX466" s="620">
        <f t="shared" si="434"/>
        <v>33.559333333333342</v>
      </c>
      <c r="AY466" s="698">
        <f t="shared" si="435"/>
        <v>21.182550522000003</v>
      </c>
      <c r="AZ466" s="75"/>
      <c r="BA466" s="650">
        <v>300</v>
      </c>
      <c r="BB466" s="620">
        <v>103.50685607036536</v>
      </c>
      <c r="BC466" s="720">
        <f>(BB483-BB484)/BB465</f>
        <v>0.89655896742640218</v>
      </c>
      <c r="BD466" s="714">
        <f>D466-BB481</f>
        <v>46.329999999999984</v>
      </c>
      <c r="BE466" s="693">
        <f>BB483-BB484</f>
        <v>92.8</v>
      </c>
      <c r="BF466" s="693">
        <f t="shared" ref="BF466:BF480" si="443">BD466/BE466*100</f>
        <v>49.924568965517224</v>
      </c>
      <c r="BG466" s="668">
        <f t="shared" si="436"/>
        <v>44.760320000932325</v>
      </c>
      <c r="BH466" s="650">
        <v>300</v>
      </c>
      <c r="BI466" s="620">
        <v>103.50685607036536</v>
      </c>
      <c r="BJ466" s="720">
        <f>(BI483-BI484)/BI465</f>
        <v>0.66217835805393976</v>
      </c>
      <c r="BK466" s="714">
        <f>I466-BI481</f>
        <v>43.370000000000005</v>
      </c>
      <c r="BL466" s="693">
        <f>BI483-BI484</f>
        <v>68.540000000000006</v>
      </c>
      <c r="BM466" s="693">
        <f t="shared" si="437"/>
        <v>63.276918587686026</v>
      </c>
      <c r="BN466" s="668">
        <f t="shared" si="438"/>
        <v>41.900606053106756</v>
      </c>
      <c r="BO466" s="650">
        <v>300</v>
      </c>
      <c r="BP466" s="681">
        <v>103.50685607036536</v>
      </c>
      <c r="BQ466" s="720">
        <f>(BP483-BP484)/BP465</f>
        <v>0.74265611881538296</v>
      </c>
      <c r="BR466" s="714">
        <f>N466-BP481</f>
        <v>41.46999999999997</v>
      </c>
      <c r="BS466" s="693">
        <f>BP483-BP484</f>
        <v>76.87</v>
      </c>
      <c r="BT466" s="693">
        <f t="shared" si="439"/>
        <v>53.948224274749535</v>
      </c>
      <c r="BU466" s="668">
        <f t="shared" si="440"/>
        <v>40.06497885686732</v>
      </c>
      <c r="BV466" s="650">
        <v>300</v>
      </c>
      <c r="BW466" s="620">
        <v>103.50685607036536</v>
      </c>
      <c r="BX466" s="720">
        <f>(BW483-BW484)/BW465</f>
        <v>0.70401133573665875</v>
      </c>
      <c r="BY466" s="714">
        <f>S466-BW481</f>
        <v>46.399999999999977</v>
      </c>
      <c r="BZ466" s="693">
        <f>BW483-BW484</f>
        <v>72.87</v>
      </c>
      <c r="CA466" s="693">
        <f t="shared" si="441"/>
        <v>63.675037738438277</v>
      </c>
      <c r="CB466" s="668">
        <f t="shared" si="442"/>
        <v>44.827948371320083</v>
      </c>
      <c r="CC466" s="560"/>
    </row>
    <row r="467" spans="1:81" ht="15.75">
      <c r="A467" s="564"/>
      <c r="B467" s="585" t="s">
        <v>116</v>
      </c>
      <c r="C467" s="559">
        <v>350</v>
      </c>
      <c r="D467" s="559">
        <v>427.11</v>
      </c>
      <c r="E467" s="27">
        <v>0.69</v>
      </c>
      <c r="F467" s="27">
        <v>1.88</v>
      </c>
      <c r="G467" s="94">
        <v>1.25</v>
      </c>
      <c r="H467" s="559">
        <v>350</v>
      </c>
      <c r="I467" s="559">
        <v>399.92</v>
      </c>
      <c r="J467" s="260">
        <v>3.21</v>
      </c>
      <c r="K467" s="260">
        <v>3.48</v>
      </c>
      <c r="L467" s="548">
        <v>3.21</v>
      </c>
      <c r="M467" s="559">
        <v>350</v>
      </c>
      <c r="N467" s="649">
        <v>404.63</v>
      </c>
      <c r="O467" s="260">
        <v>3.8</v>
      </c>
      <c r="P467" s="260">
        <v>5.14</v>
      </c>
      <c r="Q467" s="94">
        <v>2.67</v>
      </c>
      <c r="R467" s="559">
        <v>350</v>
      </c>
      <c r="S467" s="649">
        <v>407</v>
      </c>
      <c r="T467" s="260">
        <v>1.72</v>
      </c>
      <c r="U467" s="260">
        <v>1.1200000000000001</v>
      </c>
      <c r="V467" s="94">
        <v>1.45</v>
      </c>
      <c r="W467" s="5"/>
      <c r="X467" s="650">
        <v>350</v>
      </c>
      <c r="Y467" s="651">
        <f t="shared" si="420"/>
        <v>0.12733333333333333</v>
      </c>
      <c r="Z467" s="620">
        <v>9.6440000000000001</v>
      </c>
      <c r="AA467" s="620">
        <v>4.5170000000000003</v>
      </c>
      <c r="AB467" s="620">
        <f t="shared" si="421"/>
        <v>4.9996666666666663</v>
      </c>
      <c r="AC467" s="620">
        <f t="shared" si="422"/>
        <v>33.576333333333338</v>
      </c>
      <c r="AD467" s="653">
        <f t="shared" si="423"/>
        <v>28.748658120011662</v>
      </c>
      <c r="AE467" s="650">
        <v>350</v>
      </c>
      <c r="AF467" s="620">
        <f t="shared" si="424"/>
        <v>0.32999999999999996</v>
      </c>
      <c r="AG467" s="620">
        <v>9.6440000000000001</v>
      </c>
      <c r="AH467" s="620">
        <v>4.5170000000000003</v>
      </c>
      <c r="AI467" s="620">
        <f t="shared" si="425"/>
        <v>4.7969999999999997</v>
      </c>
      <c r="AJ467" s="620">
        <f t="shared" si="426"/>
        <v>33.779000000000003</v>
      </c>
      <c r="AK467" s="653">
        <f t="shared" si="427"/>
        <v>27.749794228064996</v>
      </c>
      <c r="AL467" s="650">
        <v>350</v>
      </c>
      <c r="AM467" s="620">
        <f t="shared" si="428"/>
        <v>0.38699999999999996</v>
      </c>
      <c r="AN467" s="620">
        <v>9.6440000000000001</v>
      </c>
      <c r="AO467" s="620">
        <v>4.5170000000000003</v>
      </c>
      <c r="AP467" s="620">
        <f t="shared" si="429"/>
        <v>4.74</v>
      </c>
      <c r="AQ467" s="620">
        <f t="shared" si="430"/>
        <v>33.836000000000006</v>
      </c>
      <c r="AR467" s="698">
        <f t="shared" si="431"/>
        <v>27.466329013199999</v>
      </c>
      <c r="AS467" s="650">
        <v>350</v>
      </c>
      <c r="AT467" s="620">
        <f t="shared" si="432"/>
        <v>0.14299999999999999</v>
      </c>
      <c r="AU467" s="620">
        <v>9.6440000000000001</v>
      </c>
      <c r="AV467" s="620">
        <v>4.5170000000000003</v>
      </c>
      <c r="AW467" s="620">
        <f t="shared" si="433"/>
        <v>4.984</v>
      </c>
      <c r="AX467" s="620">
        <f t="shared" si="434"/>
        <v>33.592000000000006</v>
      </c>
      <c r="AY467" s="698">
        <f t="shared" si="435"/>
        <v>28.67194503264</v>
      </c>
      <c r="AZ467" s="75"/>
      <c r="BA467" s="650">
        <v>350</v>
      </c>
      <c r="BB467" s="620">
        <v>103.50685607036536</v>
      </c>
      <c r="BC467" s="720">
        <f>(BB483-BB484)/BB465</f>
        <v>0.89655896742640218</v>
      </c>
      <c r="BD467" s="714">
        <f>D467-BB481</f>
        <v>46.29000000000002</v>
      </c>
      <c r="BE467" s="693">
        <f>BB483-BB484</f>
        <v>92.8</v>
      </c>
      <c r="BF467" s="693">
        <f t="shared" si="443"/>
        <v>49.881465517241402</v>
      </c>
      <c r="BG467" s="668">
        <f t="shared" si="436"/>
        <v>44.721675217853637</v>
      </c>
      <c r="BH467" s="650">
        <v>350</v>
      </c>
      <c r="BI467" s="620">
        <v>103.50685607036536</v>
      </c>
      <c r="BJ467" s="720">
        <f>(BI483-BI484)/BI465</f>
        <v>0.66217835805393976</v>
      </c>
      <c r="BK467" s="714">
        <f>I467-BI481</f>
        <v>43.180000000000007</v>
      </c>
      <c r="BL467" s="693">
        <f>BI483-BI484</f>
        <v>68.540000000000006</v>
      </c>
      <c r="BM467" s="693">
        <f t="shared" si="437"/>
        <v>62.999708199591488</v>
      </c>
      <c r="BN467" s="668">
        <f t="shared" si="438"/>
        <v>41.71704333348282</v>
      </c>
      <c r="BO467" s="650">
        <v>350</v>
      </c>
      <c r="BP467" s="681">
        <v>103.50685607036536</v>
      </c>
      <c r="BQ467" s="720">
        <f>(BP483-BP484)/BP465</f>
        <v>0.74265611881538296</v>
      </c>
      <c r="BR467" s="714">
        <f>N467-BP481</f>
        <v>39.799999999999955</v>
      </c>
      <c r="BS467" s="693">
        <f>BP483-BP484</f>
        <v>76.87</v>
      </c>
      <c r="BT467" s="693">
        <f t="shared" si="439"/>
        <v>51.775725250422731</v>
      </c>
      <c r="BU467" s="668">
        <f t="shared" si="440"/>
        <v>38.451559163330565</v>
      </c>
      <c r="BV467" s="650">
        <v>350</v>
      </c>
      <c r="BW467" s="620">
        <v>103.50685607036536</v>
      </c>
      <c r="BX467" s="720">
        <f>(BW483-BW484)/BW465</f>
        <v>0.70401133573665875</v>
      </c>
      <c r="BY467" s="714">
        <f>S467-BW481</f>
        <v>46.399999999999977</v>
      </c>
      <c r="BZ467" s="693">
        <f>BW483-BW484</f>
        <v>72.87</v>
      </c>
      <c r="CA467" s="693">
        <f t="shared" si="441"/>
        <v>63.675037738438277</v>
      </c>
      <c r="CB467" s="668">
        <f t="shared" si="442"/>
        <v>44.827948371320083</v>
      </c>
      <c r="CC467" s="560"/>
    </row>
    <row r="468" spans="1:81" ht="15.75">
      <c r="A468" s="564"/>
      <c r="B468" s="585" t="s">
        <v>116</v>
      </c>
      <c r="C468" s="559">
        <v>450</v>
      </c>
      <c r="D468" s="559">
        <v>423.61</v>
      </c>
      <c r="E468" s="27">
        <v>1.08</v>
      </c>
      <c r="F468" s="27">
        <v>2.65</v>
      </c>
      <c r="G468" s="94">
        <v>1.84</v>
      </c>
      <c r="H468" s="559">
        <v>450</v>
      </c>
      <c r="I468" s="612">
        <v>396.88</v>
      </c>
      <c r="J468" s="260">
        <v>37.200000000000003</v>
      </c>
      <c r="K468" s="260">
        <v>4.12</v>
      </c>
      <c r="L468" s="548">
        <v>3.99</v>
      </c>
      <c r="M468" s="559">
        <v>450</v>
      </c>
      <c r="N468" s="649">
        <v>401.99</v>
      </c>
      <c r="O468" s="260">
        <v>4.4000000000000004</v>
      </c>
      <c r="P468" s="260">
        <v>4.93</v>
      </c>
      <c r="Q468" s="94">
        <v>2.93</v>
      </c>
      <c r="R468" s="559">
        <v>450</v>
      </c>
      <c r="S468" s="649">
        <v>403.96</v>
      </c>
      <c r="T468" s="260">
        <v>1.33</v>
      </c>
      <c r="U468" s="260">
        <v>1.64</v>
      </c>
      <c r="V468" s="94">
        <v>1.78</v>
      </c>
      <c r="W468" s="5"/>
      <c r="X468" s="650">
        <v>450</v>
      </c>
      <c r="Y468" s="651">
        <f t="shared" si="420"/>
        <v>0.18566666666666667</v>
      </c>
      <c r="Z468" s="620">
        <v>9.6440000000000001</v>
      </c>
      <c r="AA468" s="620">
        <v>4.5170000000000003</v>
      </c>
      <c r="AB468" s="620">
        <f t="shared" si="421"/>
        <v>4.9413333333333327</v>
      </c>
      <c r="AC468" s="620">
        <f t="shared" si="422"/>
        <v>33.634666666666675</v>
      </c>
      <c r="AD468" s="653">
        <f t="shared" si="423"/>
        <v>47.050417183679997</v>
      </c>
      <c r="AE468" s="650">
        <v>450</v>
      </c>
      <c r="AF468" s="620">
        <f t="shared" si="424"/>
        <v>1.5103333333333333</v>
      </c>
      <c r="AG468" s="620">
        <v>9.6440000000000001</v>
      </c>
      <c r="AH468" s="620">
        <v>4.5170000000000003</v>
      </c>
      <c r="AI468" s="620">
        <f t="shared" si="425"/>
        <v>3.6166666666666663</v>
      </c>
      <c r="AJ468" s="620">
        <f t="shared" si="426"/>
        <v>34.95933333333334</v>
      </c>
      <c r="AK468" s="653">
        <f t="shared" si="427"/>
        <v>35.793471766499991</v>
      </c>
      <c r="AL468" s="650">
        <v>450</v>
      </c>
      <c r="AM468" s="620">
        <f t="shared" si="428"/>
        <v>0.40866666666666668</v>
      </c>
      <c r="AN468" s="620">
        <v>9.6440000000000001</v>
      </c>
      <c r="AO468" s="620">
        <v>4.5170000000000003</v>
      </c>
      <c r="AP468" s="620">
        <f t="shared" si="429"/>
        <v>4.7183333333333328</v>
      </c>
      <c r="AQ468" s="620">
        <f t="shared" si="430"/>
        <v>33.857666666666674</v>
      </c>
      <c r="AR468" s="698">
        <f t="shared" si="431"/>
        <v>45.224923710824989</v>
      </c>
      <c r="AS468" s="650">
        <v>450</v>
      </c>
      <c r="AT468" s="620">
        <f t="shared" si="432"/>
        <v>0.15833333333333333</v>
      </c>
      <c r="AU468" s="620">
        <v>9.6440000000000001</v>
      </c>
      <c r="AV468" s="620">
        <v>4.5170000000000003</v>
      </c>
      <c r="AW468" s="620">
        <f t="shared" si="433"/>
        <v>4.9686666666666666</v>
      </c>
      <c r="AX468" s="620">
        <f t="shared" si="434"/>
        <v>33.607333333333337</v>
      </c>
      <c r="AY468" s="698">
        <f t="shared" si="435"/>
        <v>47.27223268505999</v>
      </c>
      <c r="AZ468" s="75"/>
      <c r="BA468" s="650">
        <v>450</v>
      </c>
      <c r="BB468" s="620">
        <v>103.50685607036536</v>
      </c>
      <c r="BC468" s="720">
        <f>(BB483-BB484)/BB465</f>
        <v>0.89655896742640218</v>
      </c>
      <c r="BD468" s="714">
        <f>D468-BB481</f>
        <v>42.79000000000002</v>
      </c>
      <c r="BE468" s="693">
        <f>BB483-BB484</f>
        <v>92.8</v>
      </c>
      <c r="BF468" s="693">
        <f t="shared" si="443"/>
        <v>46.109913793103473</v>
      </c>
      <c r="BG468" s="668">
        <f t="shared" si="436"/>
        <v>41.340256698465268</v>
      </c>
      <c r="BH468" s="650">
        <v>450</v>
      </c>
      <c r="BI468" s="620">
        <v>103.50685607036536</v>
      </c>
      <c r="BJ468" s="720">
        <f>(BI483-BI484)/BI465</f>
        <v>0.66217835805393976</v>
      </c>
      <c r="BK468" s="714">
        <f>I468-BI481</f>
        <v>40.139999999999986</v>
      </c>
      <c r="BL468" s="693">
        <f>BI483-BI484</f>
        <v>68.540000000000006</v>
      </c>
      <c r="BM468" s="693">
        <f t="shared" si="437"/>
        <v>58.564341990078759</v>
      </c>
      <c r="BN468" s="668">
        <f t="shared" si="438"/>
        <v>38.780039819499748</v>
      </c>
      <c r="BO468" s="650">
        <v>450</v>
      </c>
      <c r="BP468" s="681">
        <v>103.50685607036536</v>
      </c>
      <c r="BQ468" s="720">
        <f>(BP483-BP484)/BP465</f>
        <v>0.74265611881538296</v>
      </c>
      <c r="BR468" s="714">
        <f>N468-BP481</f>
        <v>37.159999999999968</v>
      </c>
      <c r="BS468" s="693">
        <f>BP483-BP484</f>
        <v>76.87</v>
      </c>
      <c r="BT468" s="693">
        <f t="shared" si="439"/>
        <v>48.341355535319323</v>
      </c>
      <c r="BU468" s="668">
        <f t="shared" si="440"/>
        <v>35.901003480134776</v>
      </c>
      <c r="BV468" s="650">
        <v>450</v>
      </c>
      <c r="BW468" s="620">
        <v>103.50685607036536</v>
      </c>
      <c r="BX468" s="720">
        <f>(BW483-BW484)/BW465</f>
        <v>0.70401133573665875</v>
      </c>
      <c r="BY468" s="714">
        <f>S468-BW481</f>
        <v>43.359999999999957</v>
      </c>
      <c r="BZ468" s="693">
        <f>BW483-BW484</f>
        <v>72.87</v>
      </c>
      <c r="CA468" s="693">
        <f t="shared" si="441"/>
        <v>59.50322492109229</v>
      </c>
      <c r="CB468" s="668">
        <f t="shared" si="442"/>
        <v>41.890944857337026</v>
      </c>
      <c r="CC468" s="560"/>
    </row>
    <row r="469" spans="1:81" ht="15.75">
      <c r="A469" s="564"/>
      <c r="B469" s="585" t="s">
        <v>116</v>
      </c>
      <c r="C469" s="559">
        <v>550</v>
      </c>
      <c r="D469" s="559">
        <v>420.56</v>
      </c>
      <c r="E469" s="652">
        <v>2.12</v>
      </c>
      <c r="F469" s="652">
        <v>1.45</v>
      </c>
      <c r="G469" s="653">
        <v>1.73</v>
      </c>
      <c r="H469" s="559">
        <v>550</v>
      </c>
      <c r="I469" s="559">
        <v>393.82</v>
      </c>
      <c r="J469" s="260">
        <v>4.1399999999999997</v>
      </c>
      <c r="K469" s="260">
        <v>4.13</v>
      </c>
      <c r="L469" s="548">
        <v>3.75</v>
      </c>
      <c r="M469" s="559">
        <v>550</v>
      </c>
      <c r="N469" s="649">
        <v>399.13</v>
      </c>
      <c r="O469" s="260">
        <v>5.53</v>
      </c>
      <c r="P469" s="260">
        <v>4.03</v>
      </c>
      <c r="Q469" s="94">
        <v>2.21</v>
      </c>
      <c r="R469" s="559">
        <v>550</v>
      </c>
      <c r="S469" s="649">
        <v>400.76</v>
      </c>
      <c r="T469" s="260">
        <v>3.41</v>
      </c>
      <c r="U469" s="260">
        <v>1.68</v>
      </c>
      <c r="V469" s="94">
        <v>1.97</v>
      </c>
      <c r="W469" s="5"/>
      <c r="X469" s="650">
        <v>550</v>
      </c>
      <c r="Y469" s="651">
        <f t="shared" si="420"/>
        <v>0.17666666666666669</v>
      </c>
      <c r="Z469" s="620">
        <v>9.6440000000000001</v>
      </c>
      <c r="AA469" s="620">
        <v>4.5170000000000003</v>
      </c>
      <c r="AB469" s="620">
        <f t="shared" si="421"/>
        <v>4.950333333333333</v>
      </c>
      <c r="AC469" s="620">
        <f t="shared" si="422"/>
        <v>33.625666666666675</v>
      </c>
      <c r="AD469" s="653">
        <f t="shared" si="423"/>
        <v>70.394365251851653</v>
      </c>
      <c r="AE469" s="650">
        <v>550</v>
      </c>
      <c r="AF469" s="620">
        <f t="shared" si="424"/>
        <v>0.40066666666666667</v>
      </c>
      <c r="AG469" s="620">
        <v>9.6440000000000001</v>
      </c>
      <c r="AH469" s="620">
        <v>4.5170000000000003</v>
      </c>
      <c r="AI469" s="620">
        <f t="shared" si="425"/>
        <v>4.7263333333333328</v>
      </c>
      <c r="AJ469" s="620">
        <f t="shared" si="426"/>
        <v>33.849666666666671</v>
      </c>
      <c r="AK469" s="653">
        <f t="shared" si="427"/>
        <v>67.656775332171648</v>
      </c>
      <c r="AL469" s="650">
        <v>550</v>
      </c>
      <c r="AM469" s="620">
        <f t="shared" si="428"/>
        <v>0.39233333333333331</v>
      </c>
      <c r="AN469" s="620">
        <v>9.6440000000000001</v>
      </c>
      <c r="AO469" s="620">
        <v>4.5170000000000003</v>
      </c>
      <c r="AP469" s="620">
        <f t="shared" si="429"/>
        <v>4.7346666666666666</v>
      </c>
      <c r="AQ469" s="620">
        <f t="shared" si="430"/>
        <v>33.841333333333338</v>
      </c>
      <c r="AR469" s="698">
        <f t="shared" si="431"/>
        <v>67.759380231546658</v>
      </c>
      <c r="AS469" s="650">
        <v>550</v>
      </c>
      <c r="AT469" s="620">
        <f t="shared" si="432"/>
        <v>0.23533333333333331</v>
      </c>
      <c r="AU469" s="620">
        <v>9.6440000000000001</v>
      </c>
      <c r="AV469" s="620">
        <v>4.5170000000000003</v>
      </c>
      <c r="AW469" s="620">
        <f t="shared" si="433"/>
        <v>4.8916666666666666</v>
      </c>
      <c r="AX469" s="620">
        <f t="shared" si="434"/>
        <v>33.684333333333342</v>
      </c>
      <c r="AY469" s="698">
        <f t="shared" si="435"/>
        <v>69.681479309291674</v>
      </c>
      <c r="AZ469" s="75"/>
      <c r="BA469" s="650">
        <v>550</v>
      </c>
      <c r="BB469" s="620">
        <v>103.50685607036536</v>
      </c>
      <c r="BC469" s="720">
        <f>(BB483-BB484)/BB465</f>
        <v>0.89655896742640218</v>
      </c>
      <c r="BD469" s="714">
        <f>D469-BB481</f>
        <v>39.740000000000009</v>
      </c>
      <c r="BE469" s="693">
        <f>BB483-BB484</f>
        <v>92.8</v>
      </c>
      <c r="BF469" s="693">
        <f t="shared" si="443"/>
        <v>42.823275862068975</v>
      </c>
      <c r="BG469" s="668">
        <f t="shared" si="436"/>
        <v>38.393591988712529</v>
      </c>
      <c r="BH469" s="650">
        <v>550</v>
      </c>
      <c r="BI469" s="620">
        <v>103.50685607036536</v>
      </c>
      <c r="BJ469" s="720">
        <f>(BI483-BI484)/BI465</f>
        <v>0.66217835805393976</v>
      </c>
      <c r="BK469" s="714">
        <f>I469-BI481</f>
        <v>37.079999999999984</v>
      </c>
      <c r="BL469" s="693">
        <f>BI483-BI484</f>
        <v>68.540000000000006</v>
      </c>
      <c r="BM469" s="693">
        <f t="shared" si="437"/>
        <v>54.099795739714004</v>
      </c>
      <c r="BN469" s="668">
        <f t="shared" si="438"/>
        <v>35.823713913977343</v>
      </c>
      <c r="BO469" s="650">
        <v>550</v>
      </c>
      <c r="BP469" s="681">
        <v>103.50685607036536</v>
      </c>
      <c r="BQ469" s="720">
        <f>(BP483-BP484)/BP465</f>
        <v>0.74265611881538296</v>
      </c>
      <c r="BR469" s="714">
        <f>N469-BP481</f>
        <v>34.299999999999955</v>
      </c>
      <c r="BS469" s="693">
        <f>BP483-BP484</f>
        <v>76.87</v>
      </c>
      <c r="BT469" s="693">
        <f t="shared" si="439"/>
        <v>44.620788343957265</v>
      </c>
      <c r="BU469" s="668">
        <f t="shared" si="440"/>
        <v>33.13790149000598</v>
      </c>
      <c r="BV469" s="650">
        <v>550</v>
      </c>
      <c r="BW469" s="620">
        <v>103.50685607036536</v>
      </c>
      <c r="BX469" s="720">
        <f>(BW483-BW484)/BW465</f>
        <v>0.70401133573665875</v>
      </c>
      <c r="BY469" s="714">
        <f>S469-BW481</f>
        <v>40.159999999999968</v>
      </c>
      <c r="BZ469" s="693">
        <f>BW483-BW484</f>
        <v>72.87</v>
      </c>
      <c r="CA469" s="693">
        <f t="shared" si="441"/>
        <v>55.111843008096564</v>
      </c>
      <c r="CB469" s="668">
        <f t="shared" si="442"/>
        <v>38.799362211039096</v>
      </c>
      <c r="CC469" s="560"/>
    </row>
    <row r="470" spans="1:81" ht="15.75">
      <c r="A470" s="564"/>
      <c r="B470" s="585" t="s">
        <v>116</v>
      </c>
      <c r="C470" s="559">
        <v>650</v>
      </c>
      <c r="D470" s="559">
        <v>418.43</v>
      </c>
      <c r="E470" s="652">
        <v>2.06</v>
      </c>
      <c r="F470" s="652">
        <v>2.91</v>
      </c>
      <c r="G470" s="653">
        <v>2.71</v>
      </c>
      <c r="H470" s="559">
        <v>650</v>
      </c>
      <c r="I470" s="559">
        <v>391.62</v>
      </c>
      <c r="J470" s="260">
        <v>5.29</v>
      </c>
      <c r="K470" s="260">
        <v>5.27</v>
      </c>
      <c r="L470" s="548">
        <v>5.09</v>
      </c>
      <c r="M470" s="559">
        <v>650</v>
      </c>
      <c r="N470" s="649">
        <v>397.39</v>
      </c>
      <c r="O470" s="260">
        <v>5.22</v>
      </c>
      <c r="P470" s="260">
        <v>6.88</v>
      </c>
      <c r="Q470" s="94">
        <v>3.45</v>
      </c>
      <c r="R470" s="559">
        <v>650</v>
      </c>
      <c r="S470" s="649">
        <v>398.34</v>
      </c>
      <c r="T470" s="649">
        <v>2.86</v>
      </c>
      <c r="U470" s="649">
        <v>2.29</v>
      </c>
      <c r="V470" s="649">
        <v>2.96</v>
      </c>
      <c r="W470" s="5"/>
      <c r="X470" s="650">
        <v>650</v>
      </c>
      <c r="Y470" s="651">
        <f t="shared" si="420"/>
        <v>0.25600000000000001</v>
      </c>
      <c r="Z470" s="620">
        <v>9.6440000000000001</v>
      </c>
      <c r="AA470" s="620">
        <v>4.5170000000000003</v>
      </c>
      <c r="AB470" s="620">
        <f t="shared" si="421"/>
        <v>4.8709999999999996</v>
      </c>
      <c r="AC470" s="620">
        <f t="shared" si="422"/>
        <v>33.705000000000005</v>
      </c>
      <c r="AD470" s="653">
        <f t="shared" si="423"/>
        <v>96.971998421024992</v>
      </c>
      <c r="AE470" s="650">
        <v>650</v>
      </c>
      <c r="AF470" s="620">
        <f t="shared" si="424"/>
        <v>0.52166666666666661</v>
      </c>
      <c r="AG470" s="620">
        <v>9.6440000000000001</v>
      </c>
      <c r="AH470" s="620">
        <v>4.5170000000000003</v>
      </c>
      <c r="AI470" s="620">
        <f t="shared" si="425"/>
        <v>4.6053333333333333</v>
      </c>
      <c r="AJ470" s="620">
        <f t="shared" si="426"/>
        <v>33.970666666666673</v>
      </c>
      <c r="AK470" s="653">
        <f t="shared" si="427"/>
        <v>92.405755987306677</v>
      </c>
      <c r="AL470" s="650">
        <v>650</v>
      </c>
      <c r="AM470" s="620">
        <f t="shared" si="428"/>
        <v>0.51833333333333331</v>
      </c>
      <c r="AN470" s="620">
        <v>9.6440000000000001</v>
      </c>
      <c r="AO470" s="620">
        <v>4.5170000000000003</v>
      </c>
      <c r="AP470" s="620">
        <f t="shared" si="429"/>
        <v>4.6086666666666662</v>
      </c>
      <c r="AQ470" s="620">
        <f t="shared" si="430"/>
        <v>33.967333333333336</v>
      </c>
      <c r="AR470" s="698">
        <f t="shared" si="431"/>
        <v>92.463565361006644</v>
      </c>
      <c r="AS470" s="650">
        <v>650</v>
      </c>
      <c r="AT470" s="620">
        <f t="shared" si="432"/>
        <v>0.27033333333333331</v>
      </c>
      <c r="AU470" s="620">
        <v>9.6440000000000001</v>
      </c>
      <c r="AV470" s="620">
        <v>4.5170000000000003</v>
      </c>
      <c r="AW470" s="620">
        <f t="shared" si="433"/>
        <v>4.8566666666666665</v>
      </c>
      <c r="AX470" s="620">
        <f t="shared" si="434"/>
        <v>33.719333333333338</v>
      </c>
      <c r="AY470" s="698">
        <f t="shared" si="435"/>
        <v>96.72776684436667</v>
      </c>
      <c r="AZ470" s="75"/>
      <c r="BA470" s="650">
        <v>650</v>
      </c>
      <c r="BB470" s="620">
        <v>103.50685607036536</v>
      </c>
      <c r="BC470" s="720">
        <f>(BB483-BB484)/BB465</f>
        <v>0.89655896742640218</v>
      </c>
      <c r="BD470" s="714">
        <f>D470-BB481</f>
        <v>37.610000000000014</v>
      </c>
      <c r="BE470" s="693">
        <f>BB483-BB484</f>
        <v>92.8</v>
      </c>
      <c r="BF470" s="693">
        <f t="shared" si="443"/>
        <v>40.528017241379324</v>
      </c>
      <c r="BG470" s="668">
        <f t="shared" si="436"/>
        <v>36.33575728977047</v>
      </c>
      <c r="BH470" s="650">
        <v>650</v>
      </c>
      <c r="BI470" s="620">
        <v>103.50685607036536</v>
      </c>
      <c r="BJ470" s="720">
        <f>(BI483-BI484)/BI465</f>
        <v>0.66217835805393976</v>
      </c>
      <c r="BK470" s="714">
        <f>I470-BI481</f>
        <v>34.879999999999995</v>
      </c>
      <c r="BL470" s="693">
        <f>BI483-BI484</f>
        <v>68.540000000000006</v>
      </c>
      <c r="BM470" s="693">
        <f t="shared" si="437"/>
        <v>50.88999124598773</v>
      </c>
      <c r="BN470" s="668">
        <f t="shared" si="438"/>
        <v>33.698250844647525</v>
      </c>
      <c r="BO470" s="650">
        <v>650</v>
      </c>
      <c r="BP470" s="681">
        <v>103.50685607036536</v>
      </c>
      <c r="BQ470" s="720">
        <f>(BP483-BP484)/BP465</f>
        <v>0.74265611881538296</v>
      </c>
      <c r="BR470" s="714">
        <f>N470-BP481</f>
        <v>32.559999999999945</v>
      </c>
      <c r="BS470" s="693">
        <f>BP483-BP484</f>
        <v>76.87</v>
      </c>
      <c r="BT470" s="693">
        <f t="shared" si="439"/>
        <v>42.357226486275458</v>
      </c>
      <c r="BU470" s="668">
        <f t="shared" si="440"/>
        <v>31.456853426081473</v>
      </c>
      <c r="BV470" s="650">
        <v>650</v>
      </c>
      <c r="BW470" s="620">
        <v>103.50685607036536</v>
      </c>
      <c r="BX470" s="720">
        <f>(BW483-BW484)/BW465</f>
        <v>0.70401133573665875</v>
      </c>
      <c r="BY470" s="714">
        <f>S470-BW481</f>
        <v>37.739999999999952</v>
      </c>
      <c r="BZ470" s="693">
        <f>BW483-BW484</f>
        <v>72.87</v>
      </c>
      <c r="CA470" s="693">
        <f t="shared" si="441"/>
        <v>51.790860436393501</v>
      </c>
      <c r="CB470" s="668">
        <f t="shared" si="442"/>
        <v>36.461352834776264</v>
      </c>
      <c r="CC470" s="560"/>
    </row>
    <row r="471" spans="1:81" ht="15.75">
      <c r="A471" s="564"/>
      <c r="B471" s="585" t="s">
        <v>116</v>
      </c>
      <c r="C471" s="559">
        <v>750</v>
      </c>
      <c r="D471" s="559">
        <v>416.68</v>
      </c>
      <c r="E471" s="652">
        <v>2.76</v>
      </c>
      <c r="F471" s="652">
        <v>3.78</v>
      </c>
      <c r="G471" s="653">
        <v>2.94</v>
      </c>
      <c r="H471" s="559">
        <v>750</v>
      </c>
      <c r="I471" s="559">
        <v>389.74</v>
      </c>
      <c r="J471" s="260">
        <v>5.97</v>
      </c>
      <c r="K471" s="260">
        <v>5.86</v>
      </c>
      <c r="L471" s="548">
        <v>5.47</v>
      </c>
      <c r="M471" s="559">
        <v>750</v>
      </c>
      <c r="N471" s="649">
        <v>396.09</v>
      </c>
      <c r="O471" s="559">
        <v>5.85</v>
      </c>
      <c r="P471" s="559">
        <v>7.22</v>
      </c>
      <c r="Q471" s="588">
        <v>4.0599999999999996</v>
      </c>
      <c r="R471" s="559">
        <v>750</v>
      </c>
      <c r="S471" s="649">
        <v>396.19</v>
      </c>
      <c r="T471" s="649">
        <v>2.5499999999999998</v>
      </c>
      <c r="U471" s="649">
        <v>2.6</v>
      </c>
      <c r="V471" s="649">
        <v>3.14</v>
      </c>
      <c r="W471" s="5"/>
      <c r="X471" s="650">
        <v>750</v>
      </c>
      <c r="Y471" s="651">
        <f t="shared" si="420"/>
        <v>0.31599999999999995</v>
      </c>
      <c r="Z471" s="620">
        <v>9.6440000000000001</v>
      </c>
      <c r="AA471" s="620">
        <v>4.5170000000000003</v>
      </c>
      <c r="AB471" s="620">
        <f t="shared" si="421"/>
        <v>4.8109999999999999</v>
      </c>
      <c r="AC471" s="620">
        <f t="shared" si="422"/>
        <v>33.765000000000008</v>
      </c>
      <c r="AD471" s="653">
        <f t="shared" si="423"/>
        <v>127.74144047062501</v>
      </c>
      <c r="AE471" s="650">
        <v>750</v>
      </c>
      <c r="AF471" s="620">
        <f t="shared" si="424"/>
        <v>0.57666666666666666</v>
      </c>
      <c r="AG471" s="620">
        <v>9.6440000000000001</v>
      </c>
      <c r="AH471" s="620">
        <v>4.5170000000000003</v>
      </c>
      <c r="AI471" s="620">
        <f t="shared" si="425"/>
        <v>4.5503333333333327</v>
      </c>
      <c r="AJ471" s="620">
        <f t="shared" si="426"/>
        <v>34.025666666666673</v>
      </c>
      <c r="AK471" s="653">
        <f t="shared" si="427"/>
        <v>121.75296697162499</v>
      </c>
      <c r="AL471" s="650">
        <v>750</v>
      </c>
      <c r="AM471" s="620">
        <f t="shared" si="428"/>
        <v>0.57099999999999995</v>
      </c>
      <c r="AN471" s="620">
        <v>9.6440000000000001</v>
      </c>
      <c r="AO471" s="620">
        <v>4.5170000000000003</v>
      </c>
      <c r="AP471" s="620">
        <f t="shared" si="429"/>
        <v>4.556</v>
      </c>
      <c r="AQ471" s="620">
        <f t="shared" si="430"/>
        <v>34.020000000000003</v>
      </c>
      <c r="AR471" s="698">
        <f t="shared" si="431"/>
        <v>121.88428749000001</v>
      </c>
      <c r="AS471" s="650">
        <v>750</v>
      </c>
      <c r="AT471" s="620">
        <f t="shared" si="432"/>
        <v>0.27633333333333338</v>
      </c>
      <c r="AU471" s="620">
        <v>9.6440000000000001</v>
      </c>
      <c r="AV471" s="620">
        <v>4.5170000000000003</v>
      </c>
      <c r="AW471" s="620">
        <f t="shared" si="433"/>
        <v>4.8506666666666662</v>
      </c>
      <c r="AX471" s="620">
        <f t="shared" si="434"/>
        <v>33.725333333333339</v>
      </c>
      <c r="AY471" s="698">
        <f t="shared" si="435"/>
        <v>128.643361656</v>
      </c>
      <c r="AZ471" s="75"/>
      <c r="BA471" s="650">
        <v>750</v>
      </c>
      <c r="BB471" s="620">
        <v>103.50685607036536</v>
      </c>
      <c r="BC471" s="720">
        <f>(BB483-BB484)/BB465</f>
        <v>0.89655896742640218</v>
      </c>
      <c r="BD471" s="714">
        <f>D471-BB481</f>
        <v>35.860000000000014</v>
      </c>
      <c r="BE471" s="693">
        <f>BB483-BB484</f>
        <v>92.8</v>
      </c>
      <c r="BF471" s="693">
        <f t="shared" si="443"/>
        <v>38.642241379310363</v>
      </c>
      <c r="BG471" s="668">
        <f t="shared" si="436"/>
        <v>34.645048030076289</v>
      </c>
      <c r="BH471" s="650">
        <v>750</v>
      </c>
      <c r="BI471" s="620">
        <v>103.50685607036536</v>
      </c>
      <c r="BJ471" s="720">
        <f>(BI483-BI484)/BI465</f>
        <v>0.66217835805393976</v>
      </c>
      <c r="BK471" s="714">
        <f>I471-BI481</f>
        <v>33</v>
      </c>
      <c r="BL471" s="693">
        <f>BI483-BI484</f>
        <v>68.540000000000006</v>
      </c>
      <c r="BM471" s="693">
        <f t="shared" si="437"/>
        <v>48.147067405894362</v>
      </c>
      <c r="BN471" s="668">
        <f t="shared" si="438"/>
        <v>31.88194603994749</v>
      </c>
      <c r="BO471" s="650">
        <v>750</v>
      </c>
      <c r="BP471" s="681">
        <v>103.50685607036536</v>
      </c>
      <c r="BQ471" s="720">
        <f>(BP483-BP484)/BP465</f>
        <v>0.74265611881538296</v>
      </c>
      <c r="BR471" s="714">
        <f>N471-BP481</f>
        <v>31.259999999999934</v>
      </c>
      <c r="BS471" s="693">
        <f>BP483-BP484</f>
        <v>76.87</v>
      </c>
      <c r="BT471" s="693">
        <f t="shared" si="439"/>
        <v>40.666059581110879</v>
      </c>
      <c r="BU471" s="668">
        <f t="shared" si="440"/>
        <v>30.200897976022922</v>
      </c>
      <c r="BV471" s="650">
        <v>750</v>
      </c>
      <c r="BW471" s="620">
        <v>103.50685607036536</v>
      </c>
      <c r="BX471" s="720">
        <f>(BW483-BW484)/BW465</f>
        <v>0.70401133573665875</v>
      </c>
      <c r="BY471" s="714">
        <f>S471-BW481</f>
        <v>35.589999999999975</v>
      </c>
      <c r="BZ471" s="693">
        <f>BW483-BW484</f>
        <v>72.87</v>
      </c>
      <c r="CA471" s="693">
        <f t="shared" si="441"/>
        <v>48.840400713599522</v>
      </c>
      <c r="CB471" s="668">
        <f t="shared" si="442"/>
        <v>34.384195744294857</v>
      </c>
      <c r="CC471" s="560"/>
    </row>
    <row r="472" spans="1:81" ht="15.75">
      <c r="A472" s="564"/>
      <c r="B472" s="585" t="s">
        <v>116</v>
      </c>
      <c r="C472" s="559">
        <v>850</v>
      </c>
      <c r="D472" s="559">
        <v>415.21</v>
      </c>
      <c r="E472" s="652">
        <v>2.86</v>
      </c>
      <c r="F472" s="652">
        <v>3.89</v>
      </c>
      <c r="G472" s="653">
        <v>3.32</v>
      </c>
      <c r="H472" s="559">
        <v>850</v>
      </c>
      <c r="I472" s="559">
        <v>388</v>
      </c>
      <c r="J472" s="260">
        <v>6.51</v>
      </c>
      <c r="K472" s="260">
        <v>6.36</v>
      </c>
      <c r="L472" s="548">
        <v>5.98</v>
      </c>
      <c r="M472" s="559">
        <v>850</v>
      </c>
      <c r="N472" s="649">
        <v>395.01</v>
      </c>
      <c r="O472" s="559">
        <v>7.1</v>
      </c>
      <c r="P472" s="559">
        <v>4.42</v>
      </c>
      <c r="Q472" s="588">
        <v>6.3</v>
      </c>
      <c r="R472" s="559">
        <v>850</v>
      </c>
      <c r="S472" s="649">
        <v>394.3</v>
      </c>
      <c r="T472" s="649">
        <v>3.32</v>
      </c>
      <c r="U472" s="649">
        <v>2.85</v>
      </c>
      <c r="V472" s="649">
        <v>3.61</v>
      </c>
      <c r="W472" s="5"/>
      <c r="X472" s="650">
        <v>850</v>
      </c>
      <c r="Y472" s="651">
        <f t="shared" si="420"/>
        <v>0.33566666666666667</v>
      </c>
      <c r="Z472" s="620">
        <v>9.6440000000000001</v>
      </c>
      <c r="AA472" s="620">
        <v>4.5170000000000003</v>
      </c>
      <c r="AB472" s="620">
        <f t="shared" si="421"/>
        <v>4.7913333333333332</v>
      </c>
      <c r="AC472" s="620">
        <f t="shared" si="422"/>
        <v>33.784666666666674</v>
      </c>
      <c r="AD472" s="653">
        <f t="shared" si="423"/>
        <v>163.50123859908669</v>
      </c>
      <c r="AE472" s="650">
        <v>850</v>
      </c>
      <c r="AF472" s="620">
        <f t="shared" si="424"/>
        <v>0.62833333333333341</v>
      </c>
      <c r="AG472" s="620">
        <v>9.6440000000000001</v>
      </c>
      <c r="AH472" s="620">
        <v>4.5170000000000003</v>
      </c>
      <c r="AI472" s="620">
        <f t="shared" si="425"/>
        <v>4.4986666666666668</v>
      </c>
      <c r="AJ472" s="620">
        <f t="shared" si="426"/>
        <v>34.077333333333335</v>
      </c>
      <c r="AK472" s="653">
        <f t="shared" si="427"/>
        <v>154.84402083210665</v>
      </c>
      <c r="AL472" s="650">
        <v>850</v>
      </c>
      <c r="AM472" s="620">
        <f t="shared" si="428"/>
        <v>0.59400000000000008</v>
      </c>
      <c r="AN472" s="620">
        <v>9.6440000000000001</v>
      </c>
      <c r="AO472" s="620">
        <v>4.5170000000000003</v>
      </c>
      <c r="AP472" s="620">
        <f t="shared" si="429"/>
        <v>4.5329999999999995</v>
      </c>
      <c r="AQ472" s="620">
        <f t="shared" si="430"/>
        <v>34.043000000000006</v>
      </c>
      <c r="AR472" s="698">
        <f t="shared" si="431"/>
        <v>155.86857562054499</v>
      </c>
      <c r="AS472" s="650">
        <v>850</v>
      </c>
      <c r="AT472" s="620">
        <f t="shared" si="432"/>
        <v>0.32599999999999996</v>
      </c>
      <c r="AU472" s="620">
        <v>9.6440000000000001</v>
      </c>
      <c r="AV472" s="620">
        <v>4.5170000000000003</v>
      </c>
      <c r="AW472" s="620">
        <f t="shared" si="433"/>
        <v>4.8010000000000002</v>
      </c>
      <c r="AX472" s="620">
        <f t="shared" si="434"/>
        <v>33.775000000000006</v>
      </c>
      <c r="AY472" s="698">
        <f t="shared" si="435"/>
        <v>163.784231207625</v>
      </c>
      <c r="AZ472" s="75"/>
      <c r="BA472" s="650">
        <v>850</v>
      </c>
      <c r="BB472" s="620">
        <v>103.50685607036536</v>
      </c>
      <c r="BC472" s="720">
        <f>(BB483-BB484)/BB465</f>
        <v>0.89655896742640218</v>
      </c>
      <c r="BD472" s="714">
        <f>D472-BB481</f>
        <v>34.389999999999986</v>
      </c>
      <c r="BE472" s="693">
        <f>BB483-BB484</f>
        <v>92.8</v>
      </c>
      <c r="BF472" s="693">
        <f t="shared" si="443"/>
        <v>37.058189655172399</v>
      </c>
      <c r="BG472" s="668">
        <f t="shared" si="436"/>
        <v>33.224852251933143</v>
      </c>
      <c r="BH472" s="650">
        <v>850</v>
      </c>
      <c r="BI472" s="620">
        <v>103.50685607036536</v>
      </c>
      <c r="BJ472" s="720">
        <f>(BI483-BI484)/BI465</f>
        <v>0.66217835805393976</v>
      </c>
      <c r="BK472" s="714">
        <f>I472-BI481</f>
        <v>31.259999999999991</v>
      </c>
      <c r="BL472" s="693">
        <f>BI483-BI484</f>
        <v>68.540000000000006</v>
      </c>
      <c r="BM472" s="693">
        <f t="shared" si="437"/>
        <v>45.608403851765381</v>
      </c>
      <c r="BN472" s="668">
        <f t="shared" si="438"/>
        <v>30.200897976022983</v>
      </c>
      <c r="BO472" s="650">
        <v>850</v>
      </c>
      <c r="BP472" s="681">
        <v>103.50685607036536</v>
      </c>
      <c r="BQ472" s="720">
        <f>(BP483-BP484)/BP465</f>
        <v>0.74265611881538296</v>
      </c>
      <c r="BR472" s="714">
        <f>N472-BP481</f>
        <v>30.17999999999995</v>
      </c>
      <c r="BS472" s="693">
        <f>BP483-BP484</f>
        <v>76.87</v>
      </c>
      <c r="BT472" s="693">
        <f t="shared" si="439"/>
        <v>39.26109015220495</v>
      </c>
      <c r="BU472" s="668">
        <f t="shared" si="440"/>
        <v>29.157488832897382</v>
      </c>
      <c r="BV472" s="650">
        <v>850</v>
      </c>
      <c r="BW472" s="620">
        <v>103.50685607036536</v>
      </c>
      <c r="BX472" s="720">
        <f>(BW483-BW484)/BW465</f>
        <v>0.70401133573665875</v>
      </c>
      <c r="BY472" s="714">
        <f>S472-BW481</f>
        <v>33.699999999999989</v>
      </c>
      <c r="BZ472" s="693">
        <f>BW483-BW484</f>
        <v>72.87</v>
      </c>
      <c r="CA472" s="693">
        <f t="shared" si="441"/>
        <v>46.246740771236425</v>
      </c>
      <c r="CB472" s="668">
        <f t="shared" si="442"/>
        <v>32.558229743825152</v>
      </c>
      <c r="CC472" s="560"/>
    </row>
    <row r="473" spans="1:81" ht="15.75">
      <c r="A473" s="564"/>
      <c r="B473" s="585" t="s">
        <v>116</v>
      </c>
      <c r="C473" s="559">
        <v>950</v>
      </c>
      <c r="D473" s="559">
        <v>413.98</v>
      </c>
      <c r="E473" s="652">
        <v>3.55</v>
      </c>
      <c r="F473" s="652">
        <v>4.08</v>
      </c>
      <c r="G473" s="653">
        <v>3.81</v>
      </c>
      <c r="H473" s="559">
        <v>950</v>
      </c>
      <c r="I473" s="559">
        <v>386.62</v>
      </c>
      <c r="J473" s="260">
        <v>6.63</v>
      </c>
      <c r="K473" s="260">
        <v>6.68</v>
      </c>
      <c r="L473" s="548">
        <v>6.52</v>
      </c>
      <c r="M473" s="559">
        <v>950</v>
      </c>
      <c r="N473" s="649">
        <v>394.12</v>
      </c>
      <c r="O473" s="559">
        <v>6.53</v>
      </c>
      <c r="P473" s="559">
        <v>7.45</v>
      </c>
      <c r="Q473" s="588">
        <v>4.57</v>
      </c>
      <c r="R473" s="559">
        <v>950</v>
      </c>
      <c r="S473" s="649">
        <v>392.76</v>
      </c>
      <c r="T473" s="649">
        <v>6.79</v>
      </c>
      <c r="U473" s="649">
        <v>3.23</v>
      </c>
      <c r="V473" s="649">
        <v>3.56</v>
      </c>
      <c r="W473" s="5"/>
      <c r="X473" s="650">
        <v>950</v>
      </c>
      <c r="Y473" s="651">
        <f t="shared" si="420"/>
        <v>0.3813333333333333</v>
      </c>
      <c r="Z473" s="620">
        <v>9.6440000000000001</v>
      </c>
      <c r="AA473" s="620">
        <v>4.5170000000000003</v>
      </c>
      <c r="AB473" s="620">
        <f t="shared" si="421"/>
        <v>4.7456666666666667</v>
      </c>
      <c r="AC473" s="620">
        <f t="shared" si="422"/>
        <v>33.830333333333336</v>
      </c>
      <c r="AD473" s="653">
        <f t="shared" si="423"/>
        <v>202.56195936745166</v>
      </c>
      <c r="AE473" s="650">
        <v>950</v>
      </c>
      <c r="AF473" s="620">
        <f t="shared" si="424"/>
        <v>0.66099999999999992</v>
      </c>
      <c r="AG473" s="620">
        <v>9.6440000000000001</v>
      </c>
      <c r="AH473" s="620">
        <v>4.5170000000000003</v>
      </c>
      <c r="AI473" s="620">
        <f t="shared" si="425"/>
        <v>4.4660000000000002</v>
      </c>
      <c r="AJ473" s="620">
        <f t="shared" si="426"/>
        <v>34.110000000000007</v>
      </c>
      <c r="AK473" s="653">
        <f t="shared" si="427"/>
        <v>192.20063586570001</v>
      </c>
      <c r="AL473" s="650">
        <v>950</v>
      </c>
      <c r="AM473" s="620">
        <f t="shared" si="428"/>
        <v>0.6183333333333334</v>
      </c>
      <c r="AN473" s="620">
        <v>9.6440000000000001</v>
      </c>
      <c r="AO473" s="620">
        <v>4.5170000000000003</v>
      </c>
      <c r="AP473" s="620">
        <f t="shared" si="429"/>
        <v>4.5086666666666666</v>
      </c>
      <c r="AQ473" s="620">
        <f t="shared" si="430"/>
        <v>34.067333333333337</v>
      </c>
      <c r="AR473" s="698">
        <f t="shared" si="431"/>
        <v>193.79414431412667</v>
      </c>
      <c r="AS473" s="650">
        <v>950</v>
      </c>
      <c r="AT473" s="620">
        <f t="shared" si="432"/>
        <v>0.45266666666666666</v>
      </c>
      <c r="AU473" s="620">
        <v>9.6440000000000001</v>
      </c>
      <c r="AV473" s="620">
        <v>4.5170000000000003</v>
      </c>
      <c r="AW473" s="620">
        <f t="shared" si="433"/>
        <v>4.6743333333333332</v>
      </c>
      <c r="AX473" s="620">
        <f t="shared" si="434"/>
        <v>33.901666666666671</v>
      </c>
      <c r="AY473" s="698">
        <f t="shared" si="435"/>
        <v>199.93789283549165</v>
      </c>
      <c r="AZ473" s="75"/>
      <c r="BA473" s="650">
        <v>950</v>
      </c>
      <c r="BB473" s="620">
        <v>103.50685607036536</v>
      </c>
      <c r="BC473" s="720">
        <f>(BB483-BB484)/BB465</f>
        <v>0.89655896742640218</v>
      </c>
      <c r="BD473" s="714">
        <f>D473-BB481</f>
        <v>33.160000000000025</v>
      </c>
      <c r="BE473" s="693">
        <f>BB483-BB484</f>
        <v>92.8</v>
      </c>
      <c r="BF473" s="693">
        <f t="shared" si="443"/>
        <v>35.73275862068968</v>
      </c>
      <c r="BG473" s="668">
        <f t="shared" si="436"/>
        <v>32.036525172262408</v>
      </c>
      <c r="BH473" s="650">
        <v>950</v>
      </c>
      <c r="BI473" s="620">
        <v>103.50685607036536</v>
      </c>
      <c r="BJ473" s="720">
        <f>(BI483-BI484)/BI465</f>
        <v>0.66217835805393976</v>
      </c>
      <c r="BK473" s="714">
        <f>I473-BI481</f>
        <v>29.879999999999995</v>
      </c>
      <c r="BL473" s="693">
        <f>BI483-BI484</f>
        <v>68.540000000000006</v>
      </c>
      <c r="BM473" s="693">
        <f t="shared" si="437"/>
        <v>43.594981032973436</v>
      </c>
      <c r="BN473" s="668">
        <f t="shared" si="438"/>
        <v>28.867652959806996</v>
      </c>
      <c r="BO473" s="650">
        <v>950</v>
      </c>
      <c r="BP473" s="681">
        <v>103.50685607036536</v>
      </c>
      <c r="BQ473" s="720">
        <f>(BP483-BP484)/BP465</f>
        <v>0.74265611881538296</v>
      </c>
      <c r="BR473" s="714">
        <f>N473-BP481</f>
        <v>29.289999999999964</v>
      </c>
      <c r="BS473" s="693">
        <f>BP483-BP484</f>
        <v>76.87</v>
      </c>
      <c r="BT473" s="693">
        <f t="shared" si="439"/>
        <v>38.103291270976925</v>
      </c>
      <c r="BU473" s="668">
        <f t="shared" si="440"/>
        <v>28.297642409395785</v>
      </c>
      <c r="BV473" s="650">
        <v>950</v>
      </c>
      <c r="BW473" s="620">
        <v>103.50685607036536</v>
      </c>
      <c r="BX473" s="720">
        <f>(BW483-BW484)/BW465</f>
        <v>0.70401133573665875</v>
      </c>
      <c r="BY473" s="714">
        <f>S473-BW481</f>
        <v>32.159999999999968</v>
      </c>
      <c r="BZ473" s="693">
        <f>BW483-BW484</f>
        <v>72.87</v>
      </c>
      <c r="CA473" s="693">
        <f t="shared" si="441"/>
        <v>44.133388225607199</v>
      </c>
      <c r="CB473" s="668">
        <f t="shared" si="442"/>
        <v>31.07040559529425</v>
      </c>
      <c r="CC473" s="560"/>
    </row>
    <row r="474" spans="1:81" ht="15.75">
      <c r="A474" s="564"/>
      <c r="B474" s="585" t="s">
        <v>116</v>
      </c>
      <c r="C474" s="559">
        <v>1000</v>
      </c>
      <c r="D474" s="559">
        <v>413.09</v>
      </c>
      <c r="E474" s="652">
        <v>4.3899999999999997</v>
      </c>
      <c r="F474" s="652">
        <v>3.93</v>
      </c>
      <c r="G474" s="653">
        <v>3.6</v>
      </c>
      <c r="H474" s="559">
        <v>1000</v>
      </c>
      <c r="I474" s="559">
        <v>385.51</v>
      </c>
      <c r="J474" s="260">
        <v>7.26</v>
      </c>
      <c r="K474" s="260">
        <v>6.93</v>
      </c>
      <c r="L474" s="548">
        <v>6.75</v>
      </c>
      <c r="M474" s="559">
        <v>1000</v>
      </c>
      <c r="N474" s="559">
        <v>393.49</v>
      </c>
      <c r="O474" s="649">
        <v>6.79</v>
      </c>
      <c r="P474" s="559">
        <v>8.06</v>
      </c>
      <c r="Q474" s="588">
        <v>4.7699999999999996</v>
      </c>
      <c r="R474" s="559">
        <v>1000</v>
      </c>
      <c r="S474" s="649">
        <v>391.66</v>
      </c>
      <c r="T474" s="649">
        <v>3.67</v>
      </c>
      <c r="U474" s="649">
        <v>3.45</v>
      </c>
      <c r="V474" s="649">
        <v>4.04</v>
      </c>
      <c r="W474" s="5"/>
      <c r="X474" s="650">
        <v>1000</v>
      </c>
      <c r="Y474" s="651">
        <f t="shared" si="420"/>
        <v>0.39733333333333332</v>
      </c>
      <c r="Z474" s="620">
        <v>9.6440000000000001</v>
      </c>
      <c r="AA474" s="620">
        <v>4.5170000000000003</v>
      </c>
      <c r="AB474" s="620">
        <f t="shared" si="421"/>
        <v>4.7296666666666667</v>
      </c>
      <c r="AC474" s="620">
        <f t="shared" si="422"/>
        <v>33.846333333333341</v>
      </c>
      <c r="AD474" s="653">
        <f t="shared" si="423"/>
        <v>223.79446062866668</v>
      </c>
      <c r="AE474" s="650">
        <v>1000</v>
      </c>
      <c r="AF474" s="620">
        <f t="shared" si="424"/>
        <v>0.69799999999999995</v>
      </c>
      <c r="AG474" s="620">
        <v>9.6440000000000001</v>
      </c>
      <c r="AH474" s="620">
        <v>4.5170000000000003</v>
      </c>
      <c r="AI474" s="620">
        <f t="shared" si="425"/>
        <v>4.4290000000000003</v>
      </c>
      <c r="AJ474" s="620">
        <f t="shared" si="426"/>
        <v>34.147000000000006</v>
      </c>
      <c r="AK474" s="653">
        <f t="shared" si="427"/>
        <v>211.42941407399999</v>
      </c>
      <c r="AL474" s="650">
        <v>1000</v>
      </c>
      <c r="AM474" s="620">
        <f>AVERAGE(P474:Q474)/10</f>
        <v>0.64149999999999996</v>
      </c>
      <c r="AN474" s="620">
        <v>9.6440000000000001</v>
      </c>
      <c r="AO474" s="620">
        <v>4.5170000000000003</v>
      </c>
      <c r="AP474" s="620">
        <f t="shared" si="429"/>
        <v>4.4855</v>
      </c>
      <c r="AQ474" s="620">
        <f t="shared" si="430"/>
        <v>34.090500000000006</v>
      </c>
      <c r="AR474" s="698">
        <f t="shared" si="431"/>
        <v>213.77228697449999</v>
      </c>
      <c r="AS474" s="650">
        <v>1000</v>
      </c>
      <c r="AT474" s="620">
        <f t="shared" si="432"/>
        <v>0.372</v>
      </c>
      <c r="AU474" s="620">
        <v>9.6440000000000001</v>
      </c>
      <c r="AV474" s="620">
        <v>4.5170000000000003</v>
      </c>
      <c r="AW474" s="620">
        <f t="shared" si="433"/>
        <v>4.7549999999999999</v>
      </c>
      <c r="AX474" s="620">
        <f t="shared" si="434"/>
        <v>33.821000000000005</v>
      </c>
      <c r="AY474" s="698">
        <f t="shared" si="435"/>
        <v>224.82475928999997</v>
      </c>
      <c r="AZ474" s="75"/>
      <c r="BA474" s="650">
        <v>1000</v>
      </c>
      <c r="BB474" s="620">
        <v>103.50685607036536</v>
      </c>
      <c r="BC474" s="720">
        <f>(BB483-BB484)/BB465</f>
        <v>0.89655896742640218</v>
      </c>
      <c r="BD474" s="714">
        <f>D474-BB481</f>
        <v>32.269999999999982</v>
      </c>
      <c r="BE474" s="693">
        <f>BB483-BB484</f>
        <v>92.8</v>
      </c>
      <c r="BF474" s="693">
        <f t="shared" si="443"/>
        <v>34.773706896551701</v>
      </c>
      <c r="BG474" s="668">
        <f t="shared" si="436"/>
        <v>31.176678748760754</v>
      </c>
      <c r="BH474" s="650">
        <v>1000</v>
      </c>
      <c r="BI474" s="620">
        <v>103.50685607036536</v>
      </c>
      <c r="BJ474" s="720">
        <f>(BI483-BI484)/BI465</f>
        <v>0.66217835805393976</v>
      </c>
      <c r="BK474" s="714">
        <f>I474-BI481</f>
        <v>28.769999999999982</v>
      </c>
      <c r="BL474" s="693">
        <f>BI483-BI484</f>
        <v>68.540000000000006</v>
      </c>
      <c r="BM474" s="693">
        <f t="shared" si="437"/>
        <v>41.975488765684247</v>
      </c>
      <c r="BN474" s="668">
        <f t="shared" si="438"/>
        <v>27.795260229372388</v>
      </c>
      <c r="BO474" s="650">
        <v>1000</v>
      </c>
      <c r="BP474" s="681">
        <v>103.50685607036536</v>
      </c>
      <c r="BQ474" s="720">
        <f>(BP483-BP484)/BP465</f>
        <v>0.74265611881538296</v>
      </c>
      <c r="BR474" s="714">
        <f>N474-BP481</f>
        <v>28.659999999999968</v>
      </c>
      <c r="BS474" s="693">
        <f>BP483-BP484</f>
        <v>76.87</v>
      </c>
      <c r="BT474" s="693">
        <f t="shared" si="439"/>
        <v>37.283725770781793</v>
      </c>
      <c r="BU474" s="668">
        <f t="shared" si="440"/>
        <v>27.688987075905878</v>
      </c>
      <c r="BV474" s="650">
        <v>1000</v>
      </c>
      <c r="BW474" s="620">
        <v>103.50685607036536</v>
      </c>
      <c r="BX474" s="720">
        <f>(BW483-BW484)/BW465</f>
        <v>0.70401133573665875</v>
      </c>
      <c r="BY474" s="714">
        <f>S474-BW481</f>
        <v>31.060000000000002</v>
      </c>
      <c r="BZ474" s="693">
        <f>BW483-BW484</f>
        <v>72.87</v>
      </c>
      <c r="CA474" s="693">
        <f t="shared" si="441"/>
        <v>42.623850693014958</v>
      </c>
      <c r="CB474" s="668">
        <f t="shared" si="442"/>
        <v>30.00767406062937</v>
      </c>
      <c r="CC474" s="560"/>
    </row>
    <row r="475" spans="1:81" ht="15.75">
      <c r="A475" s="564"/>
      <c r="B475" s="585" t="s">
        <v>116</v>
      </c>
      <c r="C475" s="559">
        <v>1350</v>
      </c>
      <c r="D475" s="559">
        <v>411.09</v>
      </c>
      <c r="E475" s="652">
        <v>4.8</v>
      </c>
      <c r="F475" s="652">
        <v>4.74</v>
      </c>
      <c r="G475" s="653">
        <v>4.28</v>
      </c>
      <c r="H475" s="559">
        <v>1350</v>
      </c>
      <c r="I475" s="559">
        <v>383.03</v>
      </c>
      <c r="J475" s="620">
        <v>8.17</v>
      </c>
      <c r="K475" s="649">
        <v>8.26</v>
      </c>
      <c r="L475" s="619">
        <v>7.86</v>
      </c>
      <c r="M475" s="559">
        <v>1350</v>
      </c>
      <c r="N475" s="649">
        <v>392.08</v>
      </c>
      <c r="O475" s="559">
        <v>8.0500000000000007</v>
      </c>
      <c r="P475" s="559">
        <v>9.0399999999999991</v>
      </c>
      <c r="Q475" s="654">
        <v>6.85</v>
      </c>
      <c r="R475" s="559">
        <v>1350</v>
      </c>
      <c r="S475" s="649">
        <v>389.02</v>
      </c>
      <c r="T475" s="649">
        <v>4.51</v>
      </c>
      <c r="U475" s="649">
        <v>4.49</v>
      </c>
      <c r="V475" s="649">
        <v>5.41</v>
      </c>
      <c r="W475" s="5"/>
      <c r="X475" s="650">
        <v>1350</v>
      </c>
      <c r="Y475" s="651">
        <f t="shared" si="420"/>
        <v>0.46066666666666667</v>
      </c>
      <c r="Z475" s="620">
        <v>9.6440000000000001</v>
      </c>
      <c r="AA475" s="620">
        <v>4.5170000000000003</v>
      </c>
      <c r="AB475" s="620">
        <f t="shared" si="421"/>
        <v>4.6663333333333332</v>
      </c>
      <c r="AC475" s="620">
        <f t="shared" si="422"/>
        <v>33.909666666666674</v>
      </c>
      <c r="AD475" s="653">
        <f t="shared" si="423"/>
        <v>403.15679859874501</v>
      </c>
      <c r="AE475" s="650">
        <v>1350</v>
      </c>
      <c r="AF475" s="620">
        <f t="shared" si="424"/>
        <v>0.80966666666666653</v>
      </c>
      <c r="AG475" s="620">
        <v>9.6440000000000001</v>
      </c>
      <c r="AH475" s="620">
        <v>4.5170000000000003</v>
      </c>
      <c r="AI475" s="620">
        <f t="shared" si="425"/>
        <v>4.317333333333333</v>
      </c>
      <c r="AJ475" s="620">
        <f t="shared" si="426"/>
        <v>34.25866666666667</v>
      </c>
      <c r="AK475" s="653">
        <f t="shared" si="427"/>
        <v>376.84325451743996</v>
      </c>
      <c r="AL475" s="650">
        <v>1350</v>
      </c>
      <c r="AM475" s="620">
        <f t="shared" ref="AM475:AM480" si="444">AVERAGE(O475:Q475)/10</f>
        <v>0.79799999999999993</v>
      </c>
      <c r="AN475" s="620">
        <v>9.6440000000000001</v>
      </c>
      <c r="AO475" s="620">
        <v>4.5170000000000003</v>
      </c>
      <c r="AP475" s="620">
        <f t="shared" si="429"/>
        <v>4.3289999999999997</v>
      </c>
      <c r="AQ475" s="620">
        <f t="shared" si="430"/>
        <v>34.247000000000007</v>
      </c>
      <c r="AR475" s="698">
        <f t="shared" si="431"/>
        <v>377.73291311086501</v>
      </c>
      <c r="AS475" s="650">
        <v>1350</v>
      </c>
      <c r="AT475" s="620">
        <f t="shared" si="432"/>
        <v>0.48033333333333339</v>
      </c>
      <c r="AU475" s="620">
        <v>9.6440000000000001</v>
      </c>
      <c r="AV475" s="620">
        <v>4.5170000000000003</v>
      </c>
      <c r="AW475" s="620">
        <f t="shared" si="433"/>
        <v>4.6466666666666665</v>
      </c>
      <c r="AX475" s="620">
        <f t="shared" si="434"/>
        <v>33.929333333333339</v>
      </c>
      <c r="AY475" s="698">
        <f t="shared" si="435"/>
        <v>401.6904936084</v>
      </c>
      <c r="AZ475" s="75"/>
      <c r="BA475" s="650">
        <v>1350</v>
      </c>
      <c r="BB475" s="620">
        <v>103.50685607036536</v>
      </c>
      <c r="BC475" s="720">
        <f>(BB483-BB484)/BB465</f>
        <v>0.89655896742640218</v>
      </c>
      <c r="BD475" s="714">
        <f>D475-BB481</f>
        <v>30.269999999999982</v>
      </c>
      <c r="BE475" s="693">
        <f>BB483-BB484</f>
        <v>92.8</v>
      </c>
      <c r="BF475" s="693">
        <f t="shared" si="443"/>
        <v>32.618534482758605</v>
      </c>
      <c r="BG475" s="668">
        <f t="shared" si="436"/>
        <v>29.244439594824549</v>
      </c>
      <c r="BH475" s="650">
        <v>1350</v>
      </c>
      <c r="BI475" s="620">
        <v>103.50685607036536</v>
      </c>
      <c r="BJ475" s="720">
        <f>(BI483-BI484)/BI465</f>
        <v>0.66217835805393976</v>
      </c>
      <c r="BK475" s="714">
        <f>I475-BI481</f>
        <v>26.289999999999964</v>
      </c>
      <c r="BL475" s="693">
        <f>BI483-BI484</f>
        <v>68.540000000000006</v>
      </c>
      <c r="BM475" s="693">
        <f t="shared" si="437"/>
        <v>38.357163700029126</v>
      </c>
      <c r="BN475" s="668">
        <f t="shared" si="438"/>
        <v>25.399283678491468</v>
      </c>
      <c r="BO475" s="650">
        <v>1350</v>
      </c>
      <c r="BP475" s="681">
        <v>103.50685607036536</v>
      </c>
      <c r="BQ475" s="720">
        <f>(BP483-BP484)/BP465</f>
        <v>0.74265611881538296</v>
      </c>
      <c r="BR475" s="714">
        <f>N475-BP481</f>
        <v>27.249999999999943</v>
      </c>
      <c r="BS475" s="693">
        <f>BP483-BP484</f>
        <v>76.87</v>
      </c>
      <c r="BT475" s="693">
        <f t="shared" si="439"/>
        <v>35.449460127487889</v>
      </c>
      <c r="BU475" s="668">
        <f t="shared" si="440"/>
        <v>26.326758472380828</v>
      </c>
      <c r="BV475" s="650">
        <v>1350</v>
      </c>
      <c r="BW475" s="620">
        <v>103.50685607036536</v>
      </c>
      <c r="BX475" s="720">
        <f>(BW483-BW484)/BW465</f>
        <v>0.70401133573665875</v>
      </c>
      <c r="BY475" s="714">
        <f>S475-BW481</f>
        <v>28.419999999999959</v>
      </c>
      <c r="BZ475" s="693">
        <f>BW483-BW484</f>
        <v>72.87</v>
      </c>
      <c r="CA475" s="693">
        <f t="shared" si="441"/>
        <v>39.000960614793414</v>
      </c>
      <c r="CB475" s="668">
        <f t="shared" si="442"/>
        <v>27.457118377433531</v>
      </c>
      <c r="CC475" s="560"/>
    </row>
    <row r="476" spans="1:81" ht="15.75">
      <c r="A476" s="564"/>
      <c r="B476" s="585" t="s">
        <v>116</v>
      </c>
      <c r="C476" s="559">
        <v>2500</v>
      </c>
      <c r="D476" s="559">
        <v>406.72</v>
      </c>
      <c r="E476" s="652">
        <v>8.1300000000000008</v>
      </c>
      <c r="F476" s="652">
        <v>6.96</v>
      </c>
      <c r="G476" s="653">
        <v>7.06</v>
      </c>
      <c r="H476" s="559">
        <v>2500</v>
      </c>
      <c r="I476" s="559">
        <v>378.53</v>
      </c>
      <c r="J476" s="559">
        <v>11.51</v>
      </c>
      <c r="K476" s="649">
        <v>11.6</v>
      </c>
      <c r="L476" s="588">
        <v>11.89</v>
      </c>
      <c r="M476" s="559">
        <v>2500</v>
      </c>
      <c r="N476" s="649">
        <v>388.9</v>
      </c>
      <c r="O476" s="559">
        <v>12.23</v>
      </c>
      <c r="P476" s="559">
        <v>10.199999999999999</v>
      </c>
      <c r="Q476" s="588">
        <v>12.29</v>
      </c>
      <c r="R476" s="559">
        <v>2500</v>
      </c>
      <c r="S476" s="649">
        <v>384.14</v>
      </c>
      <c r="T476" s="649">
        <v>7.22</v>
      </c>
      <c r="U476" s="649">
        <v>7.77</v>
      </c>
      <c r="V476" s="649">
        <v>7.58</v>
      </c>
      <c r="W476" s="5"/>
      <c r="X476" s="650">
        <v>2500</v>
      </c>
      <c r="Y476" s="651">
        <f t="shared" si="420"/>
        <v>0.73833333333333329</v>
      </c>
      <c r="Z476" s="620">
        <v>9.6440000000000001</v>
      </c>
      <c r="AA476" s="620">
        <v>4.5170000000000003</v>
      </c>
      <c r="AB476" s="620">
        <f t="shared" si="421"/>
        <v>4.3886666666666665</v>
      </c>
      <c r="AC476" s="620">
        <f t="shared" si="422"/>
        <v>34.187333333333342</v>
      </c>
      <c r="AD476" s="653">
        <f t="shared" si="423"/>
        <v>1310.9466293166668</v>
      </c>
      <c r="AE476" s="650">
        <v>2500</v>
      </c>
      <c r="AF476" s="620">
        <f t="shared" si="424"/>
        <v>1.1666666666666665</v>
      </c>
      <c r="AG476" s="620">
        <v>9.6440000000000001</v>
      </c>
      <c r="AH476" s="620">
        <v>4.5170000000000003</v>
      </c>
      <c r="AI476" s="620">
        <f t="shared" si="425"/>
        <v>3.9603333333333328</v>
      </c>
      <c r="AJ476" s="620">
        <f t="shared" si="426"/>
        <v>34.615666666666669</v>
      </c>
      <c r="AK476" s="653">
        <f t="shared" si="427"/>
        <v>1197.8201926291665</v>
      </c>
      <c r="AL476" s="650">
        <v>2500</v>
      </c>
      <c r="AM476" s="620">
        <f t="shared" si="444"/>
        <v>1.1573333333333333</v>
      </c>
      <c r="AN476" s="620">
        <v>9.6440000000000001</v>
      </c>
      <c r="AO476" s="620">
        <v>4.5170000000000003</v>
      </c>
      <c r="AP476" s="620">
        <f t="shared" si="429"/>
        <v>3.9696666666666669</v>
      </c>
      <c r="AQ476" s="620">
        <f t="shared" si="430"/>
        <v>34.606333333333339</v>
      </c>
      <c r="AR476" s="698">
        <f t="shared" si="431"/>
        <v>1200.3193739291669</v>
      </c>
      <c r="AS476" s="650">
        <v>2500</v>
      </c>
      <c r="AT476" s="620">
        <f t="shared" si="432"/>
        <v>0.7523333333333333</v>
      </c>
      <c r="AU476" s="620">
        <v>9.6440000000000001</v>
      </c>
      <c r="AV476" s="620">
        <v>4.5170000000000003</v>
      </c>
      <c r="AW476" s="620">
        <f t="shared" si="433"/>
        <v>4.3746666666666663</v>
      </c>
      <c r="AX476" s="620">
        <f t="shared" si="434"/>
        <v>34.201333333333338</v>
      </c>
      <c r="AY476" s="698">
        <f t="shared" si="435"/>
        <v>1307.2997948666666</v>
      </c>
      <c r="AZ476" s="75"/>
      <c r="BA476" s="650">
        <v>2500</v>
      </c>
      <c r="BB476" s="620">
        <v>103.50685607036536</v>
      </c>
      <c r="BC476" s="720">
        <f>(BB483-BB484)/BB465</f>
        <v>0.89655896742640218</v>
      </c>
      <c r="BD476" s="714">
        <f>D476-BB481</f>
        <v>25.900000000000034</v>
      </c>
      <c r="BE476" s="693">
        <f>BB483-BB484</f>
        <v>92.8</v>
      </c>
      <c r="BF476" s="693">
        <f t="shared" si="443"/>
        <v>27.909482758620729</v>
      </c>
      <c r="BG476" s="668">
        <f t="shared" si="436"/>
        <v>25.022497043473976</v>
      </c>
      <c r="BH476" s="650">
        <v>2500</v>
      </c>
      <c r="BI476" s="620">
        <v>103.50685607036536</v>
      </c>
      <c r="BJ476" s="720">
        <f>(BI483-BI484)/BI465</f>
        <v>0.66217835805393976</v>
      </c>
      <c r="BK476" s="714">
        <f>I476-BI481</f>
        <v>21.789999999999964</v>
      </c>
      <c r="BL476" s="693">
        <f>BI483-BI484</f>
        <v>68.540000000000006</v>
      </c>
      <c r="BM476" s="693">
        <f t="shared" si="437"/>
        <v>31.79165450831626</v>
      </c>
      <c r="BN476" s="668">
        <f t="shared" si="438"/>
        <v>21.051745582134991</v>
      </c>
      <c r="BO476" s="650">
        <v>2500</v>
      </c>
      <c r="BP476" s="681">
        <v>103.50685607036536</v>
      </c>
      <c r="BQ476" s="720">
        <f>(BP483-BP484)/BP465</f>
        <v>0.74265611881538296</v>
      </c>
      <c r="BR476" s="714">
        <f>N476-BP481</f>
        <v>24.069999999999936</v>
      </c>
      <c r="BS476" s="693">
        <f>BP483-BP484</f>
        <v>76.87</v>
      </c>
      <c r="BT476" s="693">
        <f t="shared" si="439"/>
        <v>31.312605697931488</v>
      </c>
      <c r="BU476" s="668">
        <f t="shared" si="440"/>
        <v>23.254498217622245</v>
      </c>
      <c r="BV476" s="650">
        <v>2500</v>
      </c>
      <c r="BW476" s="620">
        <v>103.50685607036536</v>
      </c>
      <c r="BX476" s="720">
        <f>(BW483-BW484)/BW465</f>
        <v>0.70401133573665875</v>
      </c>
      <c r="BY476" s="714">
        <f>S476-BW481</f>
        <v>23.539999999999964</v>
      </c>
      <c r="BZ476" s="693">
        <f>BW483-BW484</f>
        <v>72.87</v>
      </c>
      <c r="CA476" s="693">
        <f t="shared" si="441"/>
        <v>32.304103197474902</v>
      </c>
      <c r="CB476" s="668">
        <f t="shared" si="442"/>
        <v>22.742454841829176</v>
      </c>
      <c r="CC476" s="560"/>
    </row>
    <row r="477" spans="1:81" ht="15.75">
      <c r="A477" s="564"/>
      <c r="B477" s="585" t="s">
        <v>116</v>
      </c>
      <c r="C477" s="559">
        <v>5000</v>
      </c>
      <c r="D477" s="559">
        <v>401.75</v>
      </c>
      <c r="E477" s="652">
        <v>12.35</v>
      </c>
      <c r="F477" s="652">
        <v>13.01</v>
      </c>
      <c r="G477" s="653">
        <v>11.53</v>
      </c>
      <c r="H477" s="559">
        <v>5000</v>
      </c>
      <c r="I477" s="559">
        <v>376.71</v>
      </c>
      <c r="J477" s="559">
        <v>18.28</v>
      </c>
      <c r="K477" s="649">
        <v>17.22</v>
      </c>
      <c r="L477" s="588">
        <v>17.78</v>
      </c>
      <c r="M477" s="559">
        <v>5000</v>
      </c>
      <c r="N477" s="649">
        <v>385.57</v>
      </c>
      <c r="O477" s="559">
        <v>17.350000000000001</v>
      </c>
      <c r="P477" s="559">
        <v>14.55</v>
      </c>
      <c r="Q477" s="588">
        <v>17.989999999999998</v>
      </c>
      <c r="R477" s="559">
        <v>5000</v>
      </c>
      <c r="S477" s="649">
        <v>380.02</v>
      </c>
      <c r="T477" s="649">
        <v>13.55</v>
      </c>
      <c r="U477" s="649">
        <v>13.45</v>
      </c>
      <c r="V477" s="649">
        <v>14.13</v>
      </c>
      <c r="W477" s="5"/>
      <c r="X477" s="650">
        <v>5000</v>
      </c>
      <c r="Y477" s="651">
        <f t="shared" si="420"/>
        <v>1.2296666666666667</v>
      </c>
      <c r="Z477" s="620">
        <v>9.6440000000000001</v>
      </c>
      <c r="AA477" s="620">
        <v>4.5170000000000003</v>
      </c>
      <c r="AB477" s="620">
        <f t="shared" si="421"/>
        <v>3.8973333333333331</v>
      </c>
      <c r="AC477" s="620">
        <f t="shared" si="422"/>
        <v>34.678666666666672</v>
      </c>
      <c r="AD477" s="653">
        <f t="shared" si="423"/>
        <v>4723.6436082666669</v>
      </c>
      <c r="AE477" s="650">
        <v>5000</v>
      </c>
      <c r="AF477" s="620">
        <f t="shared" si="424"/>
        <v>1.7760000000000002</v>
      </c>
      <c r="AG477" s="620">
        <v>9.6440000000000001</v>
      </c>
      <c r="AH477" s="620">
        <v>4.5170000000000003</v>
      </c>
      <c r="AI477" s="620">
        <f t="shared" si="425"/>
        <v>3.3509999999999991</v>
      </c>
      <c r="AJ477" s="620">
        <f t="shared" si="426"/>
        <v>35.225000000000009</v>
      </c>
      <c r="AK477" s="653">
        <f t="shared" si="427"/>
        <v>4125.4621762499992</v>
      </c>
      <c r="AL477" s="650">
        <v>5000</v>
      </c>
      <c r="AM477" s="620">
        <f t="shared" si="444"/>
        <v>1.6629999999999998</v>
      </c>
      <c r="AN477" s="620">
        <v>9.6440000000000001</v>
      </c>
      <c r="AO477" s="620">
        <v>4.5170000000000003</v>
      </c>
      <c r="AP477" s="620">
        <f t="shared" si="429"/>
        <v>3.4640000000000004</v>
      </c>
      <c r="AQ477" s="620">
        <f t="shared" si="430"/>
        <v>35.112000000000002</v>
      </c>
      <c r="AR477" s="698">
        <f t="shared" si="431"/>
        <v>4250.8974816</v>
      </c>
      <c r="AS477" s="650">
        <v>5000</v>
      </c>
      <c r="AT477" s="620">
        <f t="shared" si="432"/>
        <v>1.371</v>
      </c>
      <c r="AU477" s="620">
        <v>9.6440000000000001</v>
      </c>
      <c r="AV477" s="620">
        <v>4.5170000000000003</v>
      </c>
      <c r="AW477" s="620">
        <f t="shared" si="433"/>
        <v>3.7560000000000002</v>
      </c>
      <c r="AX477" s="620">
        <f t="shared" si="434"/>
        <v>34.820000000000007</v>
      </c>
      <c r="AY477" s="698">
        <f t="shared" si="435"/>
        <v>4570.8980040000006</v>
      </c>
      <c r="AZ477" s="75"/>
      <c r="BA477" s="650">
        <v>5000</v>
      </c>
      <c r="BB477" s="620">
        <v>103.50685607036536</v>
      </c>
      <c r="BC477" s="720">
        <f>(BB483-BB484)/BB465</f>
        <v>0.89655896742640218</v>
      </c>
      <c r="BD477" s="714">
        <f>D477-BB481</f>
        <v>20.930000000000007</v>
      </c>
      <c r="BE477" s="693">
        <f>BB483-BB484</f>
        <v>92.8</v>
      </c>
      <c r="BF477" s="693">
        <f t="shared" si="443"/>
        <v>22.553879310344836</v>
      </c>
      <c r="BG477" s="668">
        <f t="shared" si="436"/>
        <v>20.220882745942461</v>
      </c>
      <c r="BH477" s="650">
        <v>5000</v>
      </c>
      <c r="BI477" s="620">
        <v>103.50685607036536</v>
      </c>
      <c r="BJ477" s="720">
        <f>(BI483-BI484)/BI465</f>
        <v>0.66217835805393976</v>
      </c>
      <c r="BK477" s="714">
        <f>I477-BI481</f>
        <v>19.96999999999997</v>
      </c>
      <c r="BL477" s="693">
        <f>BI483-BI484</f>
        <v>68.540000000000006</v>
      </c>
      <c r="BM477" s="693">
        <f t="shared" si="437"/>
        <v>29.136270790779061</v>
      </c>
      <c r="BN477" s="668">
        <f t="shared" si="438"/>
        <v>19.293407952053045</v>
      </c>
      <c r="BO477" s="650">
        <v>5000</v>
      </c>
      <c r="BP477" s="681">
        <v>103.50685607036536</v>
      </c>
      <c r="BQ477" s="720">
        <f>(BP483-BP484)/BP465</f>
        <v>0.74265611881538296</v>
      </c>
      <c r="BR477" s="714">
        <f>N477-BP481</f>
        <v>20.739999999999952</v>
      </c>
      <c r="BS477" s="693">
        <f>BP483-BP484</f>
        <v>76.87</v>
      </c>
      <c r="BT477" s="693">
        <f t="shared" si="439"/>
        <v>26.980616625471509</v>
      </c>
      <c r="BU477" s="668">
        <f t="shared" si="440"/>
        <v>20.037320026318465</v>
      </c>
      <c r="BV477" s="650">
        <v>5000</v>
      </c>
      <c r="BW477" s="620">
        <v>103.50685607036536</v>
      </c>
      <c r="BX477" s="720">
        <f>(BW483-BW484)/BW465</f>
        <v>0.70401133573665875</v>
      </c>
      <c r="BY477" s="714">
        <f>S477-BW481</f>
        <v>19.419999999999959</v>
      </c>
      <c r="BZ477" s="693">
        <f>BW483-BW484</f>
        <v>72.87</v>
      </c>
      <c r="CA477" s="693">
        <f t="shared" si="441"/>
        <v>26.650198984492874</v>
      </c>
      <c r="CB477" s="668">
        <f t="shared" si="442"/>
        <v>18.762042184720574</v>
      </c>
      <c r="CC477" s="560"/>
    </row>
    <row r="478" spans="1:81" ht="15.75">
      <c r="A478" s="564"/>
      <c r="B478" s="585" t="s">
        <v>116</v>
      </c>
      <c r="C478" s="559">
        <v>7000</v>
      </c>
      <c r="D478" s="559">
        <v>399.51</v>
      </c>
      <c r="E478" s="652">
        <v>15.01</v>
      </c>
      <c r="F478" s="652">
        <v>14.75</v>
      </c>
      <c r="G478" s="653">
        <v>14.3</v>
      </c>
      <c r="H478" s="559">
        <v>7000</v>
      </c>
      <c r="I478" s="655">
        <v>372.86</v>
      </c>
      <c r="J478" s="559">
        <v>20.43</v>
      </c>
      <c r="K478" s="649">
        <v>20.87</v>
      </c>
      <c r="L478" s="588">
        <v>19.77</v>
      </c>
      <c r="M478" s="559">
        <v>7000</v>
      </c>
      <c r="N478" s="649">
        <v>384.37</v>
      </c>
      <c r="O478" s="649">
        <v>19.8</v>
      </c>
      <c r="P478" s="559">
        <v>17.38</v>
      </c>
      <c r="Q478" s="588">
        <v>21.06</v>
      </c>
      <c r="R478" s="559">
        <v>7000</v>
      </c>
      <c r="S478" s="649">
        <v>378.23</v>
      </c>
      <c r="T478" s="649">
        <v>16.41</v>
      </c>
      <c r="U478" s="649">
        <v>16.63</v>
      </c>
      <c r="V478" s="649">
        <v>17.28</v>
      </c>
      <c r="W478" s="5"/>
      <c r="X478" s="650">
        <v>7000</v>
      </c>
      <c r="Y478" s="651">
        <f t="shared" si="420"/>
        <v>1.4686666666666668</v>
      </c>
      <c r="Z478" s="620">
        <v>9.6440000000000001</v>
      </c>
      <c r="AA478" s="620">
        <v>4.5170000000000003</v>
      </c>
      <c r="AB478" s="620">
        <f t="shared" si="421"/>
        <v>3.6583333333333332</v>
      </c>
      <c r="AC478" s="620">
        <f t="shared" si="422"/>
        <v>34.917666666666669</v>
      </c>
      <c r="AD478" s="653">
        <f t="shared" si="423"/>
        <v>8750.4772573166665</v>
      </c>
      <c r="AE478" s="650">
        <v>7000</v>
      </c>
      <c r="AF478" s="620">
        <f t="shared" si="424"/>
        <v>2.0356666666666667</v>
      </c>
      <c r="AG478" s="620">
        <v>9.6440000000000001</v>
      </c>
      <c r="AH478" s="620">
        <v>4.5170000000000003</v>
      </c>
      <c r="AI478" s="620">
        <f t="shared" si="425"/>
        <v>3.091333333333333</v>
      </c>
      <c r="AJ478" s="620">
        <f t="shared" si="426"/>
        <v>35.484666666666669</v>
      </c>
      <c r="AK478" s="653">
        <f t="shared" si="427"/>
        <v>7514.3222927546667</v>
      </c>
      <c r="AL478" s="650">
        <v>7000</v>
      </c>
      <c r="AM478" s="620">
        <f t="shared" si="444"/>
        <v>1.9413333333333331</v>
      </c>
      <c r="AN478" s="620">
        <v>9.6440000000000001</v>
      </c>
      <c r="AO478" s="620">
        <v>4.5170000000000003</v>
      </c>
      <c r="AP478" s="620">
        <f t="shared" si="429"/>
        <v>3.1856666666666662</v>
      </c>
      <c r="AQ478" s="620">
        <f t="shared" si="430"/>
        <v>35.390333333333338</v>
      </c>
      <c r="AR478" s="698">
        <f t="shared" si="431"/>
        <v>7723.0391413326661</v>
      </c>
      <c r="AS478" s="650">
        <v>7000</v>
      </c>
      <c r="AT478" s="620">
        <f t="shared" si="432"/>
        <v>1.6773333333333333</v>
      </c>
      <c r="AU478" s="620">
        <v>9.6440000000000001</v>
      </c>
      <c r="AV478" s="620">
        <v>4.5170000000000003</v>
      </c>
      <c r="AW478" s="620">
        <f t="shared" si="433"/>
        <v>3.4496666666666664</v>
      </c>
      <c r="AX478" s="620">
        <f t="shared" si="434"/>
        <v>35.126333333333335</v>
      </c>
      <c r="AY478" s="698">
        <f t="shared" si="435"/>
        <v>8300.6710220046662</v>
      </c>
      <c r="AZ478" s="75"/>
      <c r="BA478" s="650">
        <v>7000</v>
      </c>
      <c r="BB478" s="620">
        <v>103.50685607036536</v>
      </c>
      <c r="BC478" s="720">
        <f>(BB483-BB484)/BB465</f>
        <v>0.89655896742640218</v>
      </c>
      <c r="BD478" s="714">
        <f>D478-BB481</f>
        <v>18.689999999999998</v>
      </c>
      <c r="BE478" s="693">
        <f>BB483-BB484</f>
        <v>92.8</v>
      </c>
      <c r="BF478" s="693">
        <f t="shared" si="443"/>
        <v>20.140086206896548</v>
      </c>
      <c r="BG478" s="668">
        <f t="shared" si="436"/>
        <v>18.056774893533895</v>
      </c>
      <c r="BH478" s="650">
        <v>7000</v>
      </c>
      <c r="BI478" s="620">
        <v>103.50685607036536</v>
      </c>
      <c r="BJ478" s="720">
        <f>(BI483-BI484)/BI465</f>
        <v>0.66217835805393976</v>
      </c>
      <c r="BK478" s="714">
        <f>I478-BI481</f>
        <v>16.120000000000005</v>
      </c>
      <c r="BL478" s="693">
        <f>BI483-BI484</f>
        <v>68.540000000000006</v>
      </c>
      <c r="BM478" s="693">
        <f t="shared" si="437"/>
        <v>23.519112926758101</v>
      </c>
      <c r="BN478" s="668">
        <f t="shared" si="438"/>
        <v>15.57384758072587</v>
      </c>
      <c r="BO478" s="650">
        <v>7000</v>
      </c>
      <c r="BP478" s="681">
        <v>103.50685607036536</v>
      </c>
      <c r="BQ478" s="720">
        <f>(BP483-BP484)/BP465</f>
        <v>0.74265611881538296</v>
      </c>
      <c r="BR478" s="714">
        <f>N478-BP481</f>
        <v>19.539999999999964</v>
      </c>
      <c r="BS478" s="693">
        <f>BP483-BP484</f>
        <v>76.87</v>
      </c>
      <c r="BT478" s="693">
        <f t="shared" si="439"/>
        <v>25.419539482242698</v>
      </c>
      <c r="BU478" s="668">
        <f t="shared" si="440"/>
        <v>18.877976533956751</v>
      </c>
      <c r="BV478" s="650">
        <v>7000</v>
      </c>
      <c r="BW478" s="620">
        <v>103.50685607036536</v>
      </c>
      <c r="BX478" s="720">
        <f>(BW483-BW484)/BW465</f>
        <v>0.70401133573665875</v>
      </c>
      <c r="BY478" s="714">
        <f>S478-BW481</f>
        <v>17.629999999999995</v>
      </c>
      <c r="BZ478" s="693">
        <f>BW483-BW484</f>
        <v>72.87</v>
      </c>
      <c r="CA478" s="693">
        <f t="shared" si="441"/>
        <v>24.193769726910929</v>
      </c>
      <c r="CB478" s="668">
        <f t="shared" si="442"/>
        <v>17.032688141947702</v>
      </c>
      <c r="CC478" s="560"/>
    </row>
    <row r="479" spans="1:81" ht="15.75">
      <c r="A479" s="564"/>
      <c r="B479" s="585" t="s">
        <v>116</v>
      </c>
      <c r="C479" s="559">
        <v>9000</v>
      </c>
      <c r="D479" s="559">
        <v>397.93</v>
      </c>
      <c r="E479" s="652">
        <v>17.100000000000001</v>
      </c>
      <c r="F479" s="652">
        <v>17.399999999999999</v>
      </c>
      <c r="G479" s="597">
        <v>16.04</v>
      </c>
      <c r="H479" s="559">
        <v>9000</v>
      </c>
      <c r="I479" s="655">
        <v>371.66</v>
      </c>
      <c r="J479" s="559">
        <v>21.38</v>
      </c>
      <c r="K479" s="649">
        <v>21.79</v>
      </c>
      <c r="L479" s="597">
        <v>22.05</v>
      </c>
      <c r="M479" s="559">
        <v>9000</v>
      </c>
      <c r="N479" s="649">
        <v>383.31</v>
      </c>
      <c r="O479" s="559">
        <v>22.12</v>
      </c>
      <c r="P479" s="559">
        <v>20.03</v>
      </c>
      <c r="Q479" s="588">
        <v>23.34</v>
      </c>
      <c r="R479" s="559">
        <v>9000</v>
      </c>
      <c r="S479" s="649">
        <v>377.41</v>
      </c>
      <c r="T479" s="649">
        <v>18.53</v>
      </c>
      <c r="U479" s="649">
        <v>19.29</v>
      </c>
      <c r="V479" s="649">
        <v>18.63</v>
      </c>
      <c r="W479" s="5"/>
      <c r="X479" s="650">
        <v>9000</v>
      </c>
      <c r="Y479" s="651">
        <f t="shared" si="420"/>
        <v>1.6846666666666668</v>
      </c>
      <c r="Z479" s="620">
        <v>9.6440000000000001</v>
      </c>
      <c r="AA479" s="620">
        <v>4.5170000000000003</v>
      </c>
      <c r="AB479" s="620">
        <f t="shared" si="421"/>
        <v>3.442333333333333</v>
      </c>
      <c r="AC479" s="620">
        <f t="shared" si="422"/>
        <v>35.13366666666667</v>
      </c>
      <c r="AD479" s="653">
        <f t="shared" si="423"/>
        <v>13695.206629913999</v>
      </c>
      <c r="AE479" s="650">
        <v>9000</v>
      </c>
      <c r="AF479" s="620">
        <f t="shared" si="424"/>
        <v>2.1739999999999999</v>
      </c>
      <c r="AG479" s="620">
        <v>9.6440000000000001</v>
      </c>
      <c r="AH479" s="620">
        <v>4.5170000000000003</v>
      </c>
      <c r="AI479" s="620">
        <f t="shared" si="425"/>
        <v>2.9529999999999994</v>
      </c>
      <c r="AJ479" s="620">
        <f t="shared" si="426"/>
        <v>35.623000000000005</v>
      </c>
      <c r="AK479" s="653">
        <f t="shared" si="427"/>
        <v>11912.039590121998</v>
      </c>
      <c r="AL479" s="650">
        <v>9000</v>
      </c>
      <c r="AM479" s="620">
        <f t="shared" si="444"/>
        <v>2.1830000000000003</v>
      </c>
      <c r="AN479" s="620">
        <v>9.6440000000000001</v>
      </c>
      <c r="AO479" s="620">
        <v>4.5170000000000003</v>
      </c>
      <c r="AP479" s="620">
        <f t="shared" si="429"/>
        <v>2.9439999999999991</v>
      </c>
      <c r="AQ479" s="620">
        <f t="shared" si="430"/>
        <v>35.632000000000005</v>
      </c>
      <c r="AR479" s="698">
        <f t="shared" si="431"/>
        <v>11878.735048703997</v>
      </c>
      <c r="AS479" s="650">
        <v>9000</v>
      </c>
      <c r="AT479" s="620">
        <f t="shared" si="432"/>
        <v>1.8816666666666666</v>
      </c>
      <c r="AU479" s="620">
        <v>9.6440000000000001</v>
      </c>
      <c r="AV479" s="620">
        <v>4.5170000000000003</v>
      </c>
      <c r="AW479" s="620">
        <f t="shared" si="433"/>
        <v>3.245333333333333</v>
      </c>
      <c r="AX479" s="620">
        <f t="shared" si="434"/>
        <v>35.330666666666673</v>
      </c>
      <c r="AY479" s="698">
        <f t="shared" si="435"/>
        <v>12983.845325184</v>
      </c>
      <c r="AZ479" s="75"/>
      <c r="BA479" s="650">
        <v>9000</v>
      </c>
      <c r="BB479" s="620">
        <v>103.50685607036536</v>
      </c>
      <c r="BC479" s="720">
        <f>(BB483-BB484)/BB465</f>
        <v>0.89655896742640218</v>
      </c>
      <c r="BD479" s="714">
        <f>D479-BB481</f>
        <v>17.110000000000014</v>
      </c>
      <c r="BE479" s="693">
        <f>BB483-BB484</f>
        <v>92.8</v>
      </c>
      <c r="BF479" s="693">
        <f t="shared" si="443"/>
        <v>18.437500000000014</v>
      </c>
      <c r="BG479" s="668">
        <f t="shared" si="436"/>
        <v>16.530305961924302</v>
      </c>
      <c r="BH479" s="650">
        <v>9000</v>
      </c>
      <c r="BI479" s="620">
        <v>103.50685607036536</v>
      </c>
      <c r="BJ479" s="720">
        <f>(BI483-BI484)/BI465</f>
        <v>0.66217835805393976</v>
      </c>
      <c r="BK479" s="714">
        <f>I479-BI481</f>
        <v>14.920000000000016</v>
      </c>
      <c r="BL479" s="693">
        <f>BI483-BI484</f>
        <v>68.540000000000006</v>
      </c>
      <c r="BM479" s="693">
        <f t="shared" si="437"/>
        <v>21.768310475634685</v>
      </c>
      <c r="BN479" s="668">
        <f t="shared" si="438"/>
        <v>14.414504088364152</v>
      </c>
      <c r="BO479" s="650">
        <v>9000</v>
      </c>
      <c r="BP479" s="681">
        <v>103.50685607036536</v>
      </c>
      <c r="BQ479" s="720">
        <f>(BP483-BP484)/BP465</f>
        <v>0.74265611881538296</v>
      </c>
      <c r="BR479" s="714">
        <f>N479-BP481</f>
        <v>18.479999999999961</v>
      </c>
      <c r="BS479" s="693">
        <f>BP483-BP484</f>
        <v>76.87</v>
      </c>
      <c r="BT479" s="693">
        <f t="shared" si="439"/>
        <v>24.040588005723897</v>
      </c>
      <c r="BU479" s="668">
        <f t="shared" si="440"/>
        <v>17.853889782370558</v>
      </c>
      <c r="BV479" s="650">
        <v>9000</v>
      </c>
      <c r="BW479" s="620">
        <v>103.50685607036536</v>
      </c>
      <c r="BX479" s="720">
        <f>(BW483-BW484)/BW465</f>
        <v>0.70401133573665875</v>
      </c>
      <c r="BY479" s="714">
        <f>S479-BW481</f>
        <v>16.810000000000002</v>
      </c>
      <c r="BZ479" s="693">
        <f>BW483-BW484</f>
        <v>72.87</v>
      </c>
      <c r="CA479" s="693">
        <f t="shared" si="441"/>
        <v>23.06847811170578</v>
      </c>
      <c r="CB479" s="668">
        <f t="shared" si="442"/>
        <v>16.24047008883386</v>
      </c>
      <c r="CC479" s="560"/>
    </row>
    <row r="480" spans="1:81" ht="15.75">
      <c r="A480" s="564"/>
      <c r="B480" s="599" t="s">
        <v>116</v>
      </c>
      <c r="C480" s="605">
        <v>10000</v>
      </c>
      <c r="D480" s="605">
        <v>397.16</v>
      </c>
      <c r="E480" s="552">
        <v>18.18</v>
      </c>
      <c r="F480" s="552">
        <v>16.760000000000002</v>
      </c>
      <c r="G480" s="553">
        <v>17.78</v>
      </c>
      <c r="H480" s="605">
        <v>10000</v>
      </c>
      <c r="I480" s="605">
        <v>371.25</v>
      </c>
      <c r="J480" s="605">
        <v>22.5</v>
      </c>
      <c r="K480" s="658">
        <v>22.87</v>
      </c>
      <c r="L480" s="646">
        <v>22.91</v>
      </c>
      <c r="M480" s="605">
        <v>10000</v>
      </c>
      <c r="N480" s="658">
        <v>382.5</v>
      </c>
      <c r="O480" s="658">
        <v>24.45</v>
      </c>
      <c r="P480" s="605">
        <v>22.72</v>
      </c>
      <c r="Q480" s="646">
        <v>20.56</v>
      </c>
      <c r="R480" s="605">
        <v>10000</v>
      </c>
      <c r="S480" s="658">
        <v>376.91</v>
      </c>
      <c r="T480" s="658">
        <v>20.04</v>
      </c>
      <c r="U480" s="658">
        <v>21.74</v>
      </c>
      <c r="V480" s="658">
        <v>20.16</v>
      </c>
      <c r="W480" s="5"/>
      <c r="X480" s="660">
        <v>10000</v>
      </c>
      <c r="Y480" s="651">
        <f t="shared" si="420"/>
        <v>1.7573333333333334</v>
      </c>
      <c r="Z480" s="609">
        <v>9.6440000000000001</v>
      </c>
      <c r="AA480" s="609">
        <v>4.5170000000000003</v>
      </c>
      <c r="AB480" s="620">
        <f t="shared" si="421"/>
        <v>3.3696666666666664</v>
      </c>
      <c r="AC480" s="609">
        <f t="shared" si="422"/>
        <v>35.20633333333334</v>
      </c>
      <c r="AD480" s="702">
        <f t="shared" si="423"/>
        <v>16584.978382866666</v>
      </c>
      <c r="AE480" s="660">
        <v>10000</v>
      </c>
      <c r="AF480" s="620">
        <f t="shared" si="424"/>
        <v>2.2760000000000002</v>
      </c>
      <c r="AG480" s="609">
        <v>9.6440000000000001</v>
      </c>
      <c r="AH480" s="609">
        <v>4.5170000000000003</v>
      </c>
      <c r="AI480" s="609">
        <f t="shared" si="425"/>
        <v>2.8509999999999991</v>
      </c>
      <c r="AJ480" s="609">
        <f t="shared" si="426"/>
        <v>35.725000000000009</v>
      </c>
      <c r="AK480" s="702">
        <f t="shared" si="427"/>
        <v>14238.906104999996</v>
      </c>
      <c r="AL480" s="660">
        <v>10000</v>
      </c>
      <c r="AM480" s="620">
        <f t="shared" si="444"/>
        <v>2.2576666666666667</v>
      </c>
      <c r="AN480" s="609">
        <v>9.6440000000000001</v>
      </c>
      <c r="AO480" s="609">
        <v>4.5170000000000003</v>
      </c>
      <c r="AP480" s="609">
        <f t="shared" si="429"/>
        <v>2.8693333333333335</v>
      </c>
      <c r="AQ480" s="609">
        <f t="shared" si="430"/>
        <v>35.706666666666671</v>
      </c>
      <c r="AR480" s="699">
        <f t="shared" si="431"/>
        <v>14323.115178666667</v>
      </c>
      <c r="AS480" s="660">
        <v>10000</v>
      </c>
      <c r="AT480" s="620">
        <f t="shared" si="432"/>
        <v>2.0646666666666667</v>
      </c>
      <c r="AU480" s="609">
        <v>9.6440000000000001</v>
      </c>
      <c r="AV480" s="609">
        <v>4.5170000000000003</v>
      </c>
      <c r="AW480" s="609">
        <f t="shared" si="433"/>
        <v>3.0623333333333331</v>
      </c>
      <c r="AX480" s="609">
        <f t="shared" si="434"/>
        <v>35.513666666666673</v>
      </c>
      <c r="AY480" s="699">
        <f t="shared" si="435"/>
        <v>15203.904994066666</v>
      </c>
      <c r="AZ480" s="75"/>
      <c r="BA480" s="660">
        <v>10000</v>
      </c>
      <c r="BB480" s="609">
        <v>103.50685607036536</v>
      </c>
      <c r="BC480" s="720">
        <f>(BB483-BB484)/BB465</f>
        <v>0.89655896742640218</v>
      </c>
      <c r="BD480" s="714">
        <f>D480-BB481</f>
        <v>16.340000000000032</v>
      </c>
      <c r="BE480" s="682">
        <f>BB483-BB484</f>
        <v>92.8</v>
      </c>
      <c r="BF480" s="682">
        <f t="shared" si="443"/>
        <v>17.60775862068969</v>
      </c>
      <c r="BG480" s="683">
        <f t="shared" si="436"/>
        <v>15.78639388765888</v>
      </c>
      <c r="BH480" s="660">
        <v>10000</v>
      </c>
      <c r="BI480" s="609">
        <v>103.50685607036536</v>
      </c>
      <c r="BJ480" s="720">
        <f>(BI483-BI484)/BI465</f>
        <v>0.66217835805393976</v>
      </c>
      <c r="BK480" s="714">
        <f>I480-BI481</f>
        <v>14.509999999999991</v>
      </c>
      <c r="BL480" s="682">
        <f>BI483-BI484</f>
        <v>68.540000000000006</v>
      </c>
      <c r="BM480" s="693">
        <f t="shared" si="437"/>
        <v>21.170119638167478</v>
      </c>
      <c r="BN480" s="683">
        <f t="shared" si="438"/>
        <v>14.018395061807206</v>
      </c>
      <c r="BO480" s="660">
        <v>10000</v>
      </c>
      <c r="BP480" s="684">
        <v>103.50685607036536</v>
      </c>
      <c r="BQ480" s="720">
        <f>(BP483-BP484)/BP465</f>
        <v>0.74265611881538296</v>
      </c>
      <c r="BR480" s="714">
        <f>N480-BP481</f>
        <v>17.669999999999959</v>
      </c>
      <c r="BS480" s="682">
        <f>BP483-BP484</f>
        <v>76.87</v>
      </c>
      <c r="BT480" s="682">
        <f t="shared" si="439"/>
        <v>22.986860934044437</v>
      </c>
      <c r="BU480" s="683">
        <f t="shared" si="440"/>
        <v>17.07133292502639</v>
      </c>
      <c r="BV480" s="660">
        <v>10000</v>
      </c>
      <c r="BW480" s="609">
        <v>103.50685607036536</v>
      </c>
      <c r="BX480" s="720">
        <f>(BW483-BW484)/BW465</f>
        <v>0.70401133573665875</v>
      </c>
      <c r="BY480" s="714">
        <f>S480-BW481</f>
        <v>16.310000000000002</v>
      </c>
      <c r="BZ480" s="682">
        <f>BW483-BW484</f>
        <v>72.87</v>
      </c>
      <c r="CA480" s="682">
        <f t="shared" si="441"/>
        <v>22.382324687800192</v>
      </c>
      <c r="CB480" s="683">
        <f t="shared" si="442"/>
        <v>15.757410300349807</v>
      </c>
      <c r="CC480" s="560"/>
    </row>
    <row r="481" spans="1:81" ht="45">
      <c r="A481" s="560"/>
      <c r="B481" s="560"/>
      <c r="C481" s="559"/>
      <c r="D481" s="559"/>
      <c r="E481" s="560"/>
      <c r="F481" s="560"/>
      <c r="G481" s="560"/>
      <c r="H481" s="560"/>
      <c r="I481" s="560"/>
      <c r="J481" s="560"/>
      <c r="K481" s="560"/>
      <c r="L481" s="560"/>
      <c r="M481" s="560"/>
      <c r="N481" s="661"/>
      <c r="O481" s="559"/>
      <c r="P481" s="559"/>
      <c r="Q481" s="559"/>
      <c r="R481" s="560"/>
      <c r="S481" s="661"/>
      <c r="T481" s="560"/>
      <c r="U481" s="560"/>
      <c r="V481" s="560"/>
      <c r="X481" s="560"/>
      <c r="Y481" s="560"/>
      <c r="Z481" s="560"/>
      <c r="AA481" s="560"/>
      <c r="AB481" s="560"/>
      <c r="AC481" s="560"/>
      <c r="AD481" s="560"/>
      <c r="AE481" s="559"/>
      <c r="AF481" s="559"/>
      <c r="AG481" s="559"/>
      <c r="AH481" s="559"/>
      <c r="AI481" s="559"/>
      <c r="AJ481" s="559"/>
      <c r="AK481" s="559"/>
      <c r="AL481" s="560"/>
      <c r="AM481" s="560"/>
      <c r="AN481" s="559"/>
      <c r="AO481" s="559"/>
      <c r="AP481" s="560"/>
      <c r="AQ481" s="560"/>
      <c r="AR481" s="560"/>
      <c r="AS481" s="560"/>
      <c r="AT481" s="560"/>
      <c r="AU481" s="560"/>
      <c r="AV481" s="560"/>
      <c r="AW481" s="560"/>
      <c r="AX481" s="560"/>
      <c r="AY481" s="560"/>
      <c r="AZ481" s="791" t="s">
        <v>144</v>
      </c>
      <c r="BA481" s="709" t="s">
        <v>1047</v>
      </c>
      <c r="BB481" s="565">
        <f>BB482+BB483</f>
        <v>380.82</v>
      </c>
      <c r="BC481" s="559"/>
      <c r="BD481" s="559"/>
      <c r="BE481" s="559"/>
      <c r="BF481" s="559"/>
      <c r="BG481" s="559"/>
      <c r="BH481" s="709" t="s">
        <v>1047</v>
      </c>
      <c r="BI481" s="719">
        <f>BI482+BI483</f>
        <v>356.74</v>
      </c>
      <c r="BJ481" s="559"/>
      <c r="BK481" s="569"/>
      <c r="BL481" s="569"/>
      <c r="BM481" s="569"/>
      <c r="BN481" s="569"/>
      <c r="BO481" s="709" t="s">
        <v>1047</v>
      </c>
      <c r="BP481" s="697">
        <f>BP482+BP483</f>
        <v>364.83000000000004</v>
      </c>
      <c r="BQ481" s="560"/>
      <c r="BR481" s="559"/>
      <c r="BS481" s="559"/>
      <c r="BT481" s="559"/>
      <c r="BU481" s="559"/>
      <c r="BV481" s="709" t="s">
        <v>1047</v>
      </c>
      <c r="BW481" s="697">
        <f>BW482+BW483</f>
        <v>360.6</v>
      </c>
      <c r="BX481" s="560"/>
      <c r="BY481" s="560"/>
      <c r="BZ481" s="560"/>
      <c r="CA481" s="560"/>
      <c r="CB481" s="560"/>
      <c r="CC481" s="560"/>
    </row>
    <row r="482" spans="1:81">
      <c r="A482" s="560"/>
      <c r="B482" s="560"/>
      <c r="C482" s="559"/>
      <c r="D482" s="560"/>
      <c r="E482" s="560"/>
      <c r="F482" s="560"/>
      <c r="G482" s="560"/>
      <c r="H482" s="560"/>
      <c r="I482" s="560"/>
      <c r="J482" s="560"/>
      <c r="K482" s="560"/>
      <c r="L482" s="560"/>
      <c r="M482" s="560"/>
      <c r="N482" s="560"/>
      <c r="O482" s="559"/>
      <c r="P482" s="559"/>
      <c r="Q482" s="559"/>
      <c r="R482" s="560"/>
      <c r="S482" s="560"/>
      <c r="T482" s="560"/>
      <c r="U482" s="560"/>
      <c r="V482" s="560"/>
      <c r="X482" s="560"/>
      <c r="Y482" s="560"/>
      <c r="Z482" s="560"/>
      <c r="AA482" s="560"/>
      <c r="AB482" s="560"/>
      <c r="AC482" s="560"/>
      <c r="AD482" s="560"/>
      <c r="AE482" s="559"/>
      <c r="AF482" s="559"/>
      <c r="AG482" s="559"/>
      <c r="AH482" s="559"/>
      <c r="AI482" s="559"/>
      <c r="AJ482" s="559"/>
      <c r="AK482" s="559"/>
      <c r="AL482" s="560"/>
      <c r="AM482" s="560"/>
      <c r="AN482" s="559"/>
      <c r="AO482" s="559"/>
      <c r="AP482" s="560"/>
      <c r="AQ482" s="560"/>
      <c r="AR482" s="560"/>
      <c r="AS482" s="560"/>
      <c r="AT482" s="560"/>
      <c r="AU482" s="560"/>
      <c r="AV482" s="560"/>
      <c r="AW482" s="560"/>
      <c r="AX482" s="560"/>
      <c r="AY482" s="560"/>
      <c r="AZ482" s="791"/>
      <c r="BA482" s="655" t="s">
        <v>1048</v>
      </c>
      <c r="BB482" s="569">
        <v>214.97</v>
      </c>
      <c r="BC482" s="559"/>
      <c r="BD482" s="559"/>
      <c r="BE482" s="559"/>
      <c r="BF482" s="559"/>
      <c r="BG482" s="559"/>
      <c r="BH482" s="655" t="s">
        <v>1048</v>
      </c>
      <c r="BI482" s="718">
        <v>214.9</v>
      </c>
      <c r="BJ482" s="559"/>
      <c r="BK482" s="569"/>
      <c r="BL482" s="569"/>
      <c r="BM482" s="569"/>
      <c r="BN482" s="569"/>
      <c r="BO482" s="655" t="s">
        <v>1048</v>
      </c>
      <c r="BP482" s="767">
        <v>214.77</v>
      </c>
      <c r="BQ482" s="560"/>
      <c r="BR482" s="559"/>
      <c r="BS482" s="559"/>
      <c r="BT482" s="620"/>
      <c r="BU482" s="620"/>
      <c r="BV482" s="655" t="s">
        <v>1048</v>
      </c>
      <c r="BW482" s="767">
        <v>214.54</v>
      </c>
      <c r="BX482" s="560"/>
      <c r="BY482" s="560"/>
      <c r="BZ482" s="560"/>
      <c r="CA482" s="560"/>
      <c r="CB482" s="560"/>
      <c r="CC482" s="560"/>
    </row>
    <row r="483" spans="1:81">
      <c r="A483" s="560"/>
      <c r="B483" s="560"/>
      <c r="C483" s="559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59"/>
      <c r="P483" s="559"/>
      <c r="Q483" s="559"/>
      <c r="R483" s="560"/>
      <c r="S483" s="560"/>
      <c r="T483" s="560"/>
      <c r="U483" s="560"/>
      <c r="V483" s="560"/>
      <c r="X483" s="560"/>
      <c r="Y483" s="560"/>
      <c r="Z483" s="560"/>
      <c r="AA483" s="560"/>
      <c r="AB483" s="560"/>
      <c r="AC483" s="560"/>
      <c r="AD483" s="560"/>
      <c r="AE483" s="559"/>
      <c r="AF483" s="559"/>
      <c r="AG483" s="559"/>
      <c r="AH483" s="559"/>
      <c r="AI483" s="559"/>
      <c r="AJ483" s="559"/>
      <c r="AK483" s="559"/>
      <c r="AL483" s="560"/>
      <c r="AM483" s="560"/>
      <c r="AN483" s="559"/>
      <c r="AO483" s="559"/>
      <c r="AP483" s="560"/>
      <c r="AQ483" s="560"/>
      <c r="AR483" s="560"/>
      <c r="AS483" s="560"/>
      <c r="AT483" s="560"/>
      <c r="AU483" s="560"/>
      <c r="AV483" s="560"/>
      <c r="AW483" s="560"/>
      <c r="AX483" s="560"/>
      <c r="AY483" s="560"/>
      <c r="AZ483" s="791"/>
      <c r="BA483" s="655" t="s">
        <v>1049</v>
      </c>
      <c r="BB483" s="565">
        <v>165.85</v>
      </c>
      <c r="BC483" s="559"/>
      <c r="BD483" s="559"/>
      <c r="BE483" s="559"/>
      <c r="BF483" s="559"/>
      <c r="BG483" s="559"/>
      <c r="BH483" s="655" t="s">
        <v>1049</v>
      </c>
      <c r="BI483" s="565">
        <v>141.84</v>
      </c>
      <c r="BJ483" s="559"/>
      <c r="BK483" s="569"/>
      <c r="BL483" s="569"/>
      <c r="BM483" s="569"/>
      <c r="BN483" s="569"/>
      <c r="BO483" s="655" t="s">
        <v>1049</v>
      </c>
      <c r="BP483" s="697">
        <v>150.06</v>
      </c>
      <c r="BQ483" s="560"/>
      <c r="BR483" s="559"/>
      <c r="BS483" s="559"/>
      <c r="BT483" s="620"/>
      <c r="BU483" s="620"/>
      <c r="BV483" s="655" t="s">
        <v>1049</v>
      </c>
      <c r="BW483" s="697">
        <v>146.06</v>
      </c>
      <c r="BX483" s="560"/>
      <c r="BY483" s="560"/>
      <c r="BZ483" s="560"/>
      <c r="CA483" s="560"/>
      <c r="CB483" s="560"/>
      <c r="CC483" s="560"/>
    </row>
    <row r="484" spans="1:81">
      <c r="A484" s="560"/>
      <c r="B484" s="560"/>
      <c r="C484" s="559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59"/>
      <c r="P484" s="559"/>
      <c r="Q484" s="559"/>
      <c r="R484" s="560"/>
      <c r="S484" s="560"/>
      <c r="T484" s="560"/>
      <c r="U484" s="560"/>
      <c r="V484" s="560"/>
      <c r="X484" s="560"/>
      <c r="Y484" s="560"/>
      <c r="Z484" s="560"/>
      <c r="AA484" s="560"/>
      <c r="AB484" s="560"/>
      <c r="AC484" s="560"/>
      <c r="AD484" s="560"/>
      <c r="AE484" s="559"/>
      <c r="AF484" s="559"/>
      <c r="AG484" s="559"/>
      <c r="AH484" s="559"/>
      <c r="AI484" s="559"/>
      <c r="AJ484" s="559"/>
      <c r="AK484" s="559"/>
      <c r="AL484" s="560"/>
      <c r="AM484" s="560"/>
      <c r="AN484" s="559"/>
      <c r="AO484" s="559"/>
      <c r="AP484" s="560"/>
      <c r="AQ484" s="560"/>
      <c r="AR484" s="560"/>
      <c r="AS484" s="560"/>
      <c r="AT484" s="560"/>
      <c r="AU484" s="560"/>
      <c r="AV484" s="560"/>
      <c r="AW484" s="560"/>
      <c r="AX484" s="560"/>
      <c r="AY484" s="560"/>
      <c r="AZ484" s="791"/>
      <c r="BA484" s="655" t="s">
        <v>1050</v>
      </c>
      <c r="BB484" s="569">
        <v>73.05</v>
      </c>
      <c r="BC484" s="559"/>
      <c r="BD484" s="560"/>
      <c r="BE484" s="560"/>
      <c r="BF484" s="560"/>
      <c r="BG484" s="560"/>
      <c r="BH484" s="655" t="s">
        <v>1050</v>
      </c>
      <c r="BI484" s="569">
        <v>73.3</v>
      </c>
      <c r="BJ484" s="559"/>
      <c r="BK484" s="560"/>
      <c r="BL484" s="560"/>
      <c r="BM484" s="560"/>
      <c r="BN484" s="560"/>
      <c r="BO484" s="655" t="s">
        <v>1050</v>
      </c>
      <c r="BP484" s="559">
        <v>73.19</v>
      </c>
      <c r="BQ484" s="560"/>
      <c r="BR484" s="560"/>
      <c r="BS484" s="560"/>
      <c r="BT484" s="560"/>
      <c r="BU484" s="560"/>
      <c r="BV484" s="655" t="s">
        <v>1050</v>
      </c>
      <c r="BW484" s="559">
        <v>73.19</v>
      </c>
      <c r="BX484" s="560"/>
      <c r="BY484" s="560"/>
      <c r="BZ484" s="560"/>
      <c r="CA484" s="560"/>
      <c r="CB484" s="560"/>
      <c r="CC484" s="560"/>
    </row>
    <row r="485" spans="1:81" ht="18.75">
      <c r="A485" s="557" t="s">
        <v>1001</v>
      </c>
      <c r="B485" s="558"/>
      <c r="C485" s="639"/>
      <c r="D485" s="639"/>
      <c r="E485" s="562"/>
      <c r="F485" s="639"/>
      <c r="G485" s="560"/>
      <c r="H485" s="560"/>
      <c r="I485" s="560"/>
      <c r="J485" s="560"/>
      <c r="K485" s="560"/>
      <c r="L485" s="560"/>
      <c r="M485" s="560"/>
      <c r="N485" s="560"/>
      <c r="O485" s="559"/>
      <c r="P485" s="559"/>
      <c r="Q485" s="559"/>
      <c r="R485" s="560"/>
      <c r="S485" s="560"/>
      <c r="T485" s="560"/>
      <c r="U485" s="560"/>
      <c r="V485" s="560"/>
      <c r="W485" s="560"/>
      <c r="X485" s="560"/>
      <c r="Y485" s="560"/>
      <c r="Z485" s="560"/>
      <c r="AA485" s="560"/>
      <c r="AB485" s="560"/>
      <c r="AC485" s="560"/>
      <c r="AD485" s="560"/>
      <c r="AE485" s="559"/>
      <c r="AF485" s="559"/>
      <c r="AG485" s="559"/>
      <c r="AH485" s="559"/>
      <c r="AI485" s="559"/>
      <c r="AJ485" s="559"/>
      <c r="AK485" s="559"/>
      <c r="AL485" s="560"/>
      <c r="AM485" s="560"/>
      <c r="AN485" s="559"/>
      <c r="AO485" s="559"/>
      <c r="AP485" s="560"/>
      <c r="AQ485" s="560"/>
      <c r="AR485" s="560"/>
      <c r="AS485" s="560"/>
      <c r="AT485" s="560"/>
      <c r="AU485" s="560"/>
      <c r="AV485" s="560"/>
      <c r="AW485" s="560"/>
      <c r="AX485" s="560"/>
      <c r="AY485" s="560"/>
      <c r="AZ485" s="549"/>
      <c r="BA485" s="560"/>
      <c r="BB485" s="560"/>
      <c r="BC485" s="559"/>
      <c r="BD485" s="560"/>
      <c r="BE485" s="560"/>
      <c r="BF485" s="560"/>
      <c r="BG485" s="560"/>
      <c r="BH485" s="560"/>
      <c r="BI485" s="560"/>
      <c r="BJ485" s="559"/>
      <c r="BK485" s="560"/>
      <c r="BL485" s="560"/>
      <c r="BM485" s="560"/>
      <c r="BN485" s="560"/>
      <c r="BO485" s="560"/>
      <c r="BP485" s="560"/>
      <c r="BQ485" s="560"/>
      <c r="BR485" s="560"/>
      <c r="BS485" s="560"/>
      <c r="BT485" s="560"/>
      <c r="BU485" s="560"/>
      <c r="BV485" s="560"/>
      <c r="BW485" s="560"/>
      <c r="BX485" s="560"/>
      <c r="BY485" s="560"/>
      <c r="BZ485" s="560"/>
      <c r="CA485" s="560"/>
      <c r="CB485" s="560"/>
      <c r="CC485" s="560"/>
    </row>
    <row r="486" spans="1:81" ht="18.75" customHeight="1">
      <c r="A486" s="792" t="s">
        <v>1006</v>
      </c>
      <c r="B486" s="792"/>
      <c r="C486" s="792"/>
      <c r="D486" s="792"/>
      <c r="E486" s="613"/>
      <c r="F486" s="613"/>
      <c r="G486" s="613"/>
      <c r="H486" s="613"/>
      <c r="I486" s="613"/>
      <c r="J486" s="613"/>
      <c r="K486" s="613"/>
      <c r="L486" s="613"/>
      <c r="M486" s="613"/>
      <c r="N486" s="613"/>
      <c r="O486" s="614"/>
      <c r="P486" s="614"/>
      <c r="Q486" s="614"/>
      <c r="R486" s="613"/>
      <c r="S486" s="613"/>
      <c r="T486" s="613"/>
      <c r="U486" s="613"/>
      <c r="V486" s="613"/>
      <c r="W486" s="613"/>
      <c r="X486" s="613"/>
      <c r="Y486" s="613"/>
      <c r="Z486" s="613"/>
      <c r="AA486" s="613"/>
      <c r="AB486" s="613"/>
      <c r="AC486" s="613"/>
      <c r="AD486" s="613"/>
      <c r="AE486" s="614"/>
      <c r="AF486" s="614"/>
      <c r="AG486" s="614"/>
      <c r="AH486" s="614"/>
      <c r="AI486" s="614"/>
      <c r="AJ486" s="614"/>
      <c r="AK486" s="614"/>
      <c r="AL486" s="613"/>
      <c r="AM486" s="613"/>
      <c r="AN486" s="614"/>
      <c r="AO486" s="614"/>
      <c r="AP486" s="613"/>
      <c r="AQ486" s="613"/>
      <c r="AR486" s="613"/>
      <c r="AS486" s="613"/>
      <c r="AT486" s="613"/>
      <c r="AU486" s="613"/>
      <c r="AV486" s="613"/>
      <c r="AW486" s="613"/>
      <c r="AX486" s="613"/>
      <c r="AY486" s="613"/>
      <c r="AZ486" s="89"/>
      <c r="BA486" s="613"/>
      <c r="BB486" s="613"/>
      <c r="BC486" s="614"/>
      <c r="BD486" s="613"/>
      <c r="BE486" s="613"/>
      <c r="BF486" s="613"/>
      <c r="BG486" s="613"/>
      <c r="BH486" s="613"/>
      <c r="BI486" s="613"/>
      <c r="BJ486" s="614"/>
      <c r="BK486" s="613"/>
      <c r="BL486" s="613"/>
      <c r="BM486" s="613"/>
      <c r="BN486" s="613"/>
      <c r="BO486" s="613"/>
      <c r="BP486" s="613"/>
      <c r="BQ486" s="613"/>
      <c r="BR486" s="613"/>
      <c r="BS486" s="613"/>
      <c r="BT486" s="613"/>
      <c r="BU486" s="613"/>
      <c r="BV486" s="613"/>
      <c r="BW486" s="613"/>
      <c r="BX486" s="613"/>
      <c r="BY486" s="613"/>
      <c r="BZ486" s="613"/>
      <c r="CA486" s="613"/>
      <c r="CB486" s="613"/>
      <c r="CC486" s="560"/>
    </row>
    <row r="487" spans="1:81">
      <c r="A487" s="560"/>
      <c r="B487" s="560"/>
      <c r="C487" s="559"/>
      <c r="D487" s="560"/>
      <c r="E487" s="560"/>
      <c r="F487" s="560"/>
      <c r="G487" s="560"/>
      <c r="H487" s="560"/>
      <c r="I487" s="560"/>
      <c r="J487" s="560"/>
      <c r="K487" s="560"/>
      <c r="L487" s="560"/>
      <c r="M487" s="560"/>
      <c r="N487" s="560"/>
      <c r="O487" s="559"/>
      <c r="P487" s="559"/>
      <c r="Q487" s="559"/>
      <c r="R487" s="560"/>
      <c r="S487" s="560"/>
      <c r="T487" s="560"/>
      <c r="U487" s="560"/>
      <c r="V487" s="560"/>
      <c r="W487" s="560"/>
      <c r="X487" s="560"/>
      <c r="Y487" s="560"/>
      <c r="Z487" s="560"/>
      <c r="AA487" s="560"/>
      <c r="AB487" s="560"/>
      <c r="AC487" s="560"/>
      <c r="AD487" s="560"/>
      <c r="AE487" s="559"/>
      <c r="AF487" s="559"/>
      <c r="AG487" s="559"/>
      <c r="AH487" s="559"/>
      <c r="AI487" s="559"/>
      <c r="AJ487" s="559"/>
      <c r="AK487" s="559"/>
      <c r="AL487" s="560"/>
      <c r="AM487" s="560"/>
      <c r="AN487" s="559"/>
      <c r="AO487" s="559"/>
      <c r="AP487" s="560"/>
      <c r="AQ487" s="560"/>
      <c r="AR487" s="560"/>
      <c r="AS487" s="560"/>
      <c r="AT487" s="560"/>
      <c r="AU487" s="560"/>
      <c r="AV487" s="560"/>
      <c r="AW487" s="560"/>
      <c r="AX487" s="560"/>
      <c r="AY487" s="560"/>
      <c r="AZ487" s="549"/>
      <c r="BA487" s="560"/>
      <c r="BB487" s="560"/>
      <c r="BC487" s="559"/>
      <c r="BD487" s="560"/>
      <c r="BE487" s="560"/>
      <c r="BF487" s="560"/>
      <c r="BG487" s="560"/>
      <c r="BH487" s="560"/>
      <c r="BI487" s="560"/>
      <c r="BJ487" s="559"/>
      <c r="BK487" s="560"/>
      <c r="BL487" s="560"/>
      <c r="BM487" s="560"/>
      <c r="BN487" s="560"/>
      <c r="BO487" s="560"/>
      <c r="BP487" s="560"/>
      <c r="BQ487" s="560"/>
      <c r="BR487" s="560"/>
      <c r="BS487" s="560"/>
      <c r="BT487" s="560"/>
      <c r="BU487" s="560"/>
      <c r="BV487" s="560"/>
      <c r="BW487" s="560"/>
      <c r="BX487" s="560"/>
      <c r="BY487" s="560"/>
      <c r="BZ487" s="560"/>
      <c r="CA487" s="560"/>
      <c r="CB487" s="560"/>
      <c r="CC487" s="560"/>
    </row>
    <row r="488" spans="1:81">
      <c r="A488" s="565" t="s">
        <v>134</v>
      </c>
      <c r="B488" s="640" t="s">
        <v>124</v>
      </c>
      <c r="C488" s="641" t="s">
        <v>119</v>
      </c>
      <c r="D488" s="642" t="s">
        <v>111</v>
      </c>
      <c r="E488" s="569"/>
      <c r="F488" s="569"/>
      <c r="G488" s="570"/>
      <c r="H488" s="640" t="s">
        <v>124</v>
      </c>
      <c r="I488" s="642" t="s">
        <v>119</v>
      </c>
      <c r="J488" s="642" t="s">
        <v>111</v>
      </c>
      <c r="K488" s="569"/>
      <c r="L488" s="569"/>
      <c r="M488" s="571" t="s">
        <v>124</v>
      </c>
      <c r="N488" s="642" t="s">
        <v>119</v>
      </c>
      <c r="O488" s="641" t="s">
        <v>111</v>
      </c>
      <c r="P488" s="559"/>
      <c r="Q488" s="559"/>
      <c r="R488" s="571" t="s">
        <v>124</v>
      </c>
      <c r="S488" s="642" t="s">
        <v>119</v>
      </c>
      <c r="T488" s="642" t="s">
        <v>111</v>
      </c>
      <c r="U488" s="569"/>
      <c r="V488" s="569"/>
      <c r="W488" s="565" t="s">
        <v>133</v>
      </c>
      <c r="X488" s="571" t="s">
        <v>124</v>
      </c>
      <c r="Y488" s="642" t="s">
        <v>119</v>
      </c>
      <c r="Z488" s="642" t="s">
        <v>111</v>
      </c>
      <c r="AA488" s="569"/>
      <c r="AB488" s="569"/>
      <c r="AC488" s="569"/>
      <c r="AD488" s="570"/>
      <c r="AE488" s="640" t="s">
        <v>124</v>
      </c>
      <c r="AF488" s="642" t="s">
        <v>119</v>
      </c>
      <c r="AG488" s="642" t="s">
        <v>111</v>
      </c>
      <c r="AH488" s="569"/>
      <c r="AI488" s="569"/>
      <c r="AJ488" s="569"/>
      <c r="AK488" s="570"/>
      <c r="AL488" s="571" t="s">
        <v>124</v>
      </c>
      <c r="AM488" s="642" t="s">
        <v>119</v>
      </c>
      <c r="AN488" s="642" t="s">
        <v>111</v>
      </c>
      <c r="AO488" s="569"/>
      <c r="AP488" s="569"/>
      <c r="AQ488" s="569"/>
      <c r="AR488" s="700"/>
      <c r="AS488" s="571" t="s">
        <v>124</v>
      </c>
      <c r="AT488" s="642" t="s">
        <v>119</v>
      </c>
      <c r="AU488" s="642" t="s">
        <v>111</v>
      </c>
      <c r="AV488" s="569"/>
      <c r="AW488" s="569"/>
      <c r="AX488" s="569"/>
      <c r="AY488" s="700"/>
      <c r="AZ488" s="447" t="s">
        <v>141</v>
      </c>
      <c r="BA488" s="640" t="s">
        <v>124</v>
      </c>
      <c r="BB488" s="642" t="s">
        <v>119</v>
      </c>
      <c r="BC488" s="642" t="s">
        <v>111</v>
      </c>
      <c r="BD488" s="569"/>
      <c r="BE488" s="569"/>
      <c r="BF488" s="569"/>
      <c r="BG488" s="569"/>
      <c r="BH488" s="640" t="s">
        <v>124</v>
      </c>
      <c r="BI488" s="641" t="s">
        <v>119</v>
      </c>
      <c r="BJ488" s="641" t="s">
        <v>111</v>
      </c>
      <c r="BK488" s="569"/>
      <c r="BL488" s="569"/>
      <c r="BM488" s="569"/>
      <c r="BN488" s="569"/>
      <c r="BO488" s="571" t="s">
        <v>124</v>
      </c>
      <c r="BP488" s="642" t="s">
        <v>119</v>
      </c>
      <c r="BQ488" s="642" t="s">
        <v>111</v>
      </c>
      <c r="BR488" s="560"/>
      <c r="BS488" s="569"/>
      <c r="BT488" s="569"/>
      <c r="BU488" s="569"/>
      <c r="BV488" s="672" t="s">
        <v>124</v>
      </c>
      <c r="BW488" s="641" t="s">
        <v>119</v>
      </c>
      <c r="BX488" s="641" t="s">
        <v>111</v>
      </c>
      <c r="BY488" s="559"/>
      <c r="BZ488" s="559"/>
      <c r="CA488" s="559"/>
      <c r="CB488" s="570"/>
      <c r="CC488" s="560"/>
    </row>
    <row r="489" spans="1:81">
      <c r="A489" s="565"/>
      <c r="B489" s="572"/>
      <c r="C489" s="573" t="s">
        <v>11</v>
      </c>
      <c r="D489" s="574" t="s">
        <v>112</v>
      </c>
      <c r="E489" s="569"/>
      <c r="F489" s="569"/>
      <c r="G489" s="570"/>
      <c r="H489" s="572"/>
      <c r="I489" s="573" t="s">
        <v>1005</v>
      </c>
      <c r="J489" s="643" t="s">
        <v>114</v>
      </c>
      <c r="K489" s="569"/>
      <c r="L489" s="644"/>
      <c r="M489" s="572"/>
      <c r="N489" s="573" t="s">
        <v>58</v>
      </c>
      <c r="O489" s="645" t="s">
        <v>112</v>
      </c>
      <c r="P489" s="559"/>
      <c r="Q489" s="646"/>
      <c r="R489" s="572"/>
      <c r="S489" s="573" t="s">
        <v>58</v>
      </c>
      <c r="T489" s="643" t="s">
        <v>114</v>
      </c>
      <c r="U489" s="801"/>
      <c r="V489" s="801"/>
      <c r="W489" s="647"/>
      <c r="X489" s="572"/>
      <c r="Y489" s="573" t="s">
        <v>11</v>
      </c>
      <c r="Z489" s="574" t="s">
        <v>112</v>
      </c>
      <c r="AA489" s="569"/>
      <c r="AB489" s="569"/>
      <c r="AC489" s="569"/>
      <c r="AD489" s="570"/>
      <c r="AE489" s="572"/>
      <c r="AF489" s="573" t="s">
        <v>1005</v>
      </c>
      <c r="AG489" s="643" t="s">
        <v>114</v>
      </c>
      <c r="AH489" s="569"/>
      <c r="AI489" s="569"/>
      <c r="AJ489" s="569"/>
      <c r="AK489" s="570"/>
      <c r="AL489" s="572"/>
      <c r="AM489" s="573" t="s">
        <v>58</v>
      </c>
      <c r="AN489" s="645" t="s">
        <v>112</v>
      </c>
      <c r="AO489" s="569"/>
      <c r="AP489" s="569"/>
      <c r="AQ489" s="569"/>
      <c r="AR489" s="700"/>
      <c r="AS489" s="572"/>
      <c r="AT489" s="573" t="s">
        <v>58</v>
      </c>
      <c r="AU489" s="643" t="s">
        <v>114</v>
      </c>
      <c r="AV489" s="795"/>
      <c r="AW489" s="795"/>
      <c r="AX489" s="569"/>
      <c r="AY489" s="700"/>
      <c r="AZ489" s="80"/>
      <c r="BA489" s="572"/>
      <c r="BB489" s="573" t="s">
        <v>11</v>
      </c>
      <c r="BC489" s="574" t="s">
        <v>112</v>
      </c>
      <c r="BD489" s="569"/>
      <c r="BE489" s="569"/>
      <c r="BF489" s="569"/>
      <c r="BG489" s="570"/>
      <c r="BH489" s="572"/>
      <c r="BI489" s="573" t="s">
        <v>1005</v>
      </c>
      <c r="BJ489" s="643" t="s">
        <v>114</v>
      </c>
      <c r="BK489" s="569"/>
      <c r="BL489" s="569"/>
      <c r="BM489" s="569"/>
      <c r="BN489" s="570"/>
      <c r="BO489" s="572"/>
      <c r="BP489" s="573" t="s">
        <v>58</v>
      </c>
      <c r="BQ489" s="645" t="s">
        <v>112</v>
      </c>
      <c r="BR489" s="569"/>
      <c r="BS489" s="569"/>
      <c r="BT489" s="569"/>
      <c r="BU489" s="700"/>
      <c r="BV489" s="572"/>
      <c r="BW489" s="573" t="s">
        <v>58</v>
      </c>
      <c r="BX489" s="643" t="s">
        <v>114</v>
      </c>
      <c r="BY489" s="795"/>
      <c r="BZ489" s="795"/>
      <c r="CA489" s="569"/>
      <c r="CB489" s="700"/>
      <c r="CC489" s="560"/>
    </row>
    <row r="490" spans="1:81" ht="63">
      <c r="A490" s="564"/>
      <c r="B490" s="579" t="s">
        <v>122</v>
      </c>
      <c r="C490" s="582" t="s">
        <v>121</v>
      </c>
      <c r="D490" s="581" t="s">
        <v>125</v>
      </c>
      <c r="E490" s="796" t="s">
        <v>1013</v>
      </c>
      <c r="F490" s="796"/>
      <c r="G490" s="797"/>
      <c r="H490" s="582" t="s">
        <v>121</v>
      </c>
      <c r="I490" s="581" t="s">
        <v>125</v>
      </c>
      <c r="J490" s="796" t="s">
        <v>1013</v>
      </c>
      <c r="K490" s="796"/>
      <c r="L490" s="797"/>
      <c r="M490" s="582" t="s">
        <v>121</v>
      </c>
      <c r="N490" s="581" t="s">
        <v>125</v>
      </c>
      <c r="O490" s="796" t="s">
        <v>1013</v>
      </c>
      <c r="P490" s="796"/>
      <c r="Q490" s="797"/>
      <c r="R490" s="582" t="s">
        <v>121</v>
      </c>
      <c r="S490" s="581" t="s">
        <v>125</v>
      </c>
      <c r="T490" s="796" t="s">
        <v>1013</v>
      </c>
      <c r="U490" s="796"/>
      <c r="V490" s="797"/>
      <c r="W490" s="564"/>
      <c r="X490" s="582" t="s">
        <v>121</v>
      </c>
      <c r="Y490" s="584" t="s">
        <v>126</v>
      </c>
      <c r="Z490" s="583" t="s">
        <v>127</v>
      </c>
      <c r="AA490" s="583" t="s">
        <v>128</v>
      </c>
      <c r="AB490" s="583" t="s">
        <v>129</v>
      </c>
      <c r="AC490" s="583" t="s">
        <v>130</v>
      </c>
      <c r="AD490" s="701" t="s">
        <v>131</v>
      </c>
      <c r="AE490" s="582" t="s">
        <v>121</v>
      </c>
      <c r="AF490" s="583" t="s">
        <v>126</v>
      </c>
      <c r="AG490" s="583" t="s">
        <v>127</v>
      </c>
      <c r="AH490" s="583" t="s">
        <v>128</v>
      </c>
      <c r="AI490" s="583" t="s">
        <v>129</v>
      </c>
      <c r="AJ490" s="583" t="s">
        <v>130</v>
      </c>
      <c r="AK490" s="701" t="s">
        <v>131</v>
      </c>
      <c r="AL490" s="582" t="s">
        <v>121</v>
      </c>
      <c r="AM490" s="583" t="s">
        <v>126</v>
      </c>
      <c r="AN490" s="583" t="s">
        <v>127</v>
      </c>
      <c r="AO490" s="583" t="s">
        <v>128</v>
      </c>
      <c r="AP490" s="583" t="s">
        <v>129</v>
      </c>
      <c r="AQ490" s="583" t="s">
        <v>130</v>
      </c>
      <c r="AR490" s="696" t="s">
        <v>131</v>
      </c>
      <c r="AS490" s="582" t="s">
        <v>121</v>
      </c>
      <c r="AT490" s="583" t="s">
        <v>126</v>
      </c>
      <c r="AU490" s="695" t="s">
        <v>127</v>
      </c>
      <c r="AV490" s="695" t="s">
        <v>128</v>
      </c>
      <c r="AW490" s="583" t="s">
        <v>129</v>
      </c>
      <c r="AX490" s="583" t="s">
        <v>130</v>
      </c>
      <c r="AY490" s="696" t="s">
        <v>131</v>
      </c>
      <c r="AZ490" s="75"/>
      <c r="BA490" s="648" t="s">
        <v>121</v>
      </c>
      <c r="BB490" s="583" t="s">
        <v>143</v>
      </c>
      <c r="BC490" s="583" t="s">
        <v>888</v>
      </c>
      <c r="BD490" s="583" t="s">
        <v>1045</v>
      </c>
      <c r="BE490" s="583" t="s">
        <v>1044</v>
      </c>
      <c r="BF490" s="666" t="s">
        <v>1051</v>
      </c>
      <c r="BG490" s="666" t="s">
        <v>1052</v>
      </c>
      <c r="BH490" s="648" t="s">
        <v>121</v>
      </c>
      <c r="BI490" s="583" t="s">
        <v>143</v>
      </c>
      <c r="BJ490" s="583" t="s">
        <v>888</v>
      </c>
      <c r="BK490" s="583" t="s">
        <v>1045</v>
      </c>
      <c r="BL490" s="583" t="s">
        <v>1044</v>
      </c>
      <c r="BM490" s="666" t="s">
        <v>1051</v>
      </c>
      <c r="BN490" s="666" t="s">
        <v>1052</v>
      </c>
      <c r="BO490" s="648" t="s">
        <v>121</v>
      </c>
      <c r="BP490" s="583" t="s">
        <v>143</v>
      </c>
      <c r="BQ490" s="583" t="s">
        <v>888</v>
      </c>
      <c r="BR490" s="583" t="s">
        <v>1045</v>
      </c>
      <c r="BS490" s="583" t="s">
        <v>1044</v>
      </c>
      <c r="BT490" s="666" t="s">
        <v>1051</v>
      </c>
      <c r="BU490" s="666" t="s">
        <v>1052</v>
      </c>
      <c r="BV490" s="648" t="s">
        <v>121</v>
      </c>
      <c r="BW490" s="583" t="s">
        <v>143</v>
      </c>
      <c r="BX490" s="583" t="s">
        <v>888</v>
      </c>
      <c r="BY490" s="583" t="s">
        <v>1045</v>
      </c>
      <c r="BZ490" s="583" t="s">
        <v>1044</v>
      </c>
      <c r="CA490" s="666" t="s">
        <v>1051</v>
      </c>
      <c r="CB490" s="666" t="s">
        <v>1052</v>
      </c>
      <c r="CC490" s="560"/>
    </row>
    <row r="491" spans="1:81" ht="15.75">
      <c r="A491" s="564"/>
      <c r="B491" s="585" t="s">
        <v>120</v>
      </c>
      <c r="C491" s="559">
        <v>0</v>
      </c>
      <c r="D491" s="612">
        <v>423.55</v>
      </c>
      <c r="E491" s="27">
        <v>0</v>
      </c>
      <c r="F491" s="27">
        <v>0</v>
      </c>
      <c r="G491" s="94">
        <v>0</v>
      </c>
      <c r="H491" s="559">
        <v>0</v>
      </c>
      <c r="I491" s="612">
        <v>434.61</v>
      </c>
      <c r="J491" s="260">
        <v>0</v>
      </c>
      <c r="K491" s="260">
        <v>0</v>
      </c>
      <c r="L491" s="548">
        <v>0</v>
      </c>
      <c r="M491" s="559">
        <v>0</v>
      </c>
      <c r="N491" s="649">
        <v>407.33</v>
      </c>
      <c r="O491" s="260">
        <v>3.28</v>
      </c>
      <c r="P491" s="260">
        <v>2.27</v>
      </c>
      <c r="Q491" s="94">
        <v>1.51</v>
      </c>
      <c r="R491" s="559">
        <v>0</v>
      </c>
      <c r="S491" s="649">
        <v>441.61</v>
      </c>
      <c r="T491" s="260">
        <v>0</v>
      </c>
      <c r="U491" s="260">
        <v>0</v>
      </c>
      <c r="V491" s="94">
        <v>0</v>
      </c>
      <c r="W491" s="564"/>
      <c r="X491" s="650">
        <v>0</v>
      </c>
      <c r="Y491" s="651">
        <f t="shared" ref="Y491:Y506" si="445">AVERAGE(E491:G491)/10</f>
        <v>0</v>
      </c>
      <c r="Z491" s="620">
        <v>9.6440000000000001</v>
      </c>
      <c r="AA491" s="620">
        <v>4.5170000000000003</v>
      </c>
      <c r="AB491" s="620">
        <f t="shared" ref="AB491:AB506" si="446">Z491-(AA491+Y491)</f>
        <v>5.1269999999999998</v>
      </c>
      <c r="AC491" s="620">
        <f t="shared" ref="AC491:AC506" si="447">3*Z491+AA491+Y491</f>
        <v>33.449000000000005</v>
      </c>
      <c r="AD491" s="653">
        <f t="shared" ref="AD491:AD506" si="448">1.398*(10^-6)*(X491^2)*AB491*AC491</f>
        <v>0</v>
      </c>
      <c r="AE491" s="650">
        <v>0</v>
      </c>
      <c r="AF491" s="620">
        <f t="shared" ref="AF491:AF506" si="449">AVERAGE(J491:L491)/10</f>
        <v>0</v>
      </c>
      <c r="AG491" s="620">
        <v>9.6440000000000001</v>
      </c>
      <c r="AH491" s="620">
        <v>4.5170000000000003</v>
      </c>
      <c r="AI491" s="620">
        <f t="shared" ref="AI491:AI506" si="450">AG491-(AH491+AF491)</f>
        <v>5.1269999999999998</v>
      </c>
      <c r="AJ491" s="620">
        <f t="shared" ref="AJ491:AJ506" si="451">3*AG491+AH491+AF491</f>
        <v>33.449000000000005</v>
      </c>
      <c r="AK491" s="653">
        <f t="shared" ref="AK491:AK506" si="452">1.398*(10^-6)*(AE491^2)*AI491*AJ491</f>
        <v>0</v>
      </c>
      <c r="AL491" s="650">
        <v>0</v>
      </c>
      <c r="AM491" s="620">
        <f t="shared" ref="AM491:AM499" si="453">AVERAGE(O491:Q491)/10</f>
        <v>0.23533333333333331</v>
      </c>
      <c r="AN491" s="620">
        <v>9.6440000000000001</v>
      </c>
      <c r="AO491" s="620">
        <v>4.5170000000000003</v>
      </c>
      <c r="AP491" s="620">
        <f t="shared" ref="AP491:AP506" si="454">AN491-(AO491+AM491)</f>
        <v>4.8916666666666666</v>
      </c>
      <c r="AQ491" s="620">
        <f t="shared" ref="AQ491:AQ506" si="455">3*AN491+AO491+AM491</f>
        <v>33.684333333333342</v>
      </c>
      <c r="AR491" s="698">
        <f t="shared" ref="AR491:AR506" si="456">1.398*(10^-6)*(AL491^2)*AP491*AQ491</f>
        <v>0</v>
      </c>
      <c r="AS491" s="650">
        <v>0</v>
      </c>
      <c r="AT491" s="620">
        <f t="shared" ref="AT491:AT506" si="457">AVERAGE(T491:V491)/10</f>
        <v>0</v>
      </c>
      <c r="AU491" s="620">
        <v>9.6440000000000001</v>
      </c>
      <c r="AV491" s="620">
        <v>4.5170000000000003</v>
      </c>
      <c r="AW491" s="620">
        <f t="shared" ref="AW491:AW506" si="458">AU491-(AV491+AT491)</f>
        <v>5.1269999999999998</v>
      </c>
      <c r="AX491" s="620">
        <f t="shared" ref="AX491:AX506" si="459">3*AU491+AV491+AT491</f>
        <v>33.449000000000005</v>
      </c>
      <c r="AY491" s="698">
        <f t="shared" ref="AY491:AY506" si="460">1.398*(10^-6)*(AS491^2)*AW491*AX491</f>
        <v>0</v>
      </c>
      <c r="AZ491" s="75"/>
      <c r="BA491" s="650">
        <v>0</v>
      </c>
      <c r="BB491" s="620">
        <v>103.50685607036536</v>
      </c>
      <c r="BC491" s="720">
        <f>(BB509-BB510)/BB491</f>
        <v>0.84371222656624678</v>
      </c>
      <c r="BD491" s="714">
        <f>D491-BB507</f>
        <v>49.490000000000009</v>
      </c>
      <c r="BE491" s="693">
        <f>BB509-BB510</f>
        <v>87.33</v>
      </c>
      <c r="BF491" s="693">
        <f t="shared" ref="BF491:BF506" si="461">BD491/BE491*100</f>
        <v>56.670101912286739</v>
      </c>
      <c r="BG491" s="668">
        <f t="shared" ref="BG491:BG506" si="462">BF491*BC491</f>
        <v>47.813257864151566</v>
      </c>
      <c r="BH491" s="650">
        <v>0</v>
      </c>
      <c r="BI491" s="620">
        <v>103.50685607036536</v>
      </c>
      <c r="BJ491" s="720">
        <f>(BI509-BI510)/BI491</f>
        <v>0.95153117135588738</v>
      </c>
      <c r="BK491" s="714">
        <f>I491-BI507</f>
        <v>48.480000000000018</v>
      </c>
      <c r="BL491" s="693">
        <f>BI509-BI510</f>
        <v>98.49</v>
      </c>
      <c r="BM491" s="693">
        <f t="shared" ref="BM491:BM506" si="463">BK491/BL491*100</f>
        <v>49.223271398111507</v>
      </c>
      <c r="BN491" s="668">
        <f t="shared" ref="BN491:BN506" si="464">BM491*BJ491</f>
        <v>46.837477091413788</v>
      </c>
      <c r="BO491" s="650">
        <v>0</v>
      </c>
      <c r="BP491" s="681">
        <v>103.50685607036536</v>
      </c>
      <c r="BQ491" s="720">
        <f>(BP509-BP510)/BP491</f>
        <v>0.62556242608684853</v>
      </c>
      <c r="BR491" s="714">
        <f>N491-BP507</f>
        <v>54.56</v>
      </c>
      <c r="BS491" s="693">
        <f>BP509-BP510</f>
        <v>64.75</v>
      </c>
      <c r="BT491" s="693">
        <f t="shared" ref="BT491:BT506" si="465">BR491/BS491*100</f>
        <v>84.262548262548265</v>
      </c>
      <c r="BU491" s="668">
        <f t="shared" ref="BU491:BU506" si="466">BT491*BQ491</f>
        <v>52.711484119379854</v>
      </c>
      <c r="BV491" s="650">
        <v>0</v>
      </c>
      <c r="BW491" s="620">
        <v>103.50685607036536</v>
      </c>
      <c r="BX491" s="720">
        <f>(BW509-BW510)/BW491</f>
        <v>1.0616688031302517</v>
      </c>
      <c r="BY491" s="714">
        <f>S491-BW507</f>
        <v>45.240000000000009</v>
      </c>
      <c r="BZ491" s="693">
        <f>BW509-BW510</f>
        <v>109.89000000000001</v>
      </c>
      <c r="CA491" s="693">
        <f t="shared" ref="CA491:CA506" si="467">BY491/BZ491*100</f>
        <v>41.16844116844117</v>
      </c>
      <c r="CB491" s="668">
        <f t="shared" ref="CB491:CB506" si="468">CA491*BX491</f>
        <v>43.707249662037114</v>
      </c>
      <c r="CC491" s="560"/>
    </row>
    <row r="492" spans="1:81" ht="15.75">
      <c r="A492" s="564"/>
      <c r="B492" s="585" t="s">
        <v>116</v>
      </c>
      <c r="C492" s="559">
        <v>300</v>
      </c>
      <c r="D492" s="612">
        <v>418.05</v>
      </c>
      <c r="E492" s="27">
        <v>1.89</v>
      </c>
      <c r="F492" s="27">
        <v>1.69</v>
      </c>
      <c r="G492" s="94">
        <v>1.26</v>
      </c>
      <c r="H492" s="559">
        <v>300</v>
      </c>
      <c r="I492" s="559">
        <v>433.4</v>
      </c>
      <c r="J492" s="260">
        <v>0.52</v>
      </c>
      <c r="K492" s="260">
        <v>1.1599999999999999</v>
      </c>
      <c r="L492" s="548">
        <v>1.02</v>
      </c>
      <c r="M492" s="559">
        <v>300</v>
      </c>
      <c r="N492" s="649">
        <v>394.48</v>
      </c>
      <c r="O492" s="260">
        <v>4.58</v>
      </c>
      <c r="P492" s="260">
        <v>5.2</v>
      </c>
      <c r="Q492" s="94">
        <v>4.34</v>
      </c>
      <c r="R492" s="559">
        <v>300</v>
      </c>
      <c r="S492" s="649">
        <v>438.57</v>
      </c>
      <c r="T492" s="260">
        <v>0</v>
      </c>
      <c r="U492" s="260">
        <v>0</v>
      </c>
      <c r="V492" s="94">
        <v>0</v>
      </c>
      <c r="W492" s="564"/>
      <c r="X492" s="650">
        <v>300</v>
      </c>
      <c r="Y492" s="651">
        <f t="shared" si="445"/>
        <v>0.16133333333333333</v>
      </c>
      <c r="Z492" s="620">
        <v>9.6440000000000001</v>
      </c>
      <c r="AA492" s="620">
        <v>4.5170000000000003</v>
      </c>
      <c r="AB492" s="620">
        <f t="shared" si="446"/>
        <v>4.9656666666666665</v>
      </c>
      <c r="AC492" s="620">
        <f t="shared" si="447"/>
        <v>33.610333333333337</v>
      </c>
      <c r="AD492" s="653">
        <f t="shared" si="448"/>
        <v>20.99907010986</v>
      </c>
      <c r="AE492" s="650">
        <v>300</v>
      </c>
      <c r="AF492" s="620">
        <f t="shared" si="449"/>
        <v>0.09</v>
      </c>
      <c r="AG492" s="620">
        <v>9.6440000000000001</v>
      </c>
      <c r="AH492" s="620">
        <v>4.5170000000000003</v>
      </c>
      <c r="AI492" s="620">
        <f t="shared" si="450"/>
        <v>5.0369999999999999</v>
      </c>
      <c r="AJ492" s="620">
        <f t="shared" si="451"/>
        <v>33.539000000000009</v>
      </c>
      <c r="AK492" s="653">
        <f t="shared" si="452"/>
        <v>21.255520348260003</v>
      </c>
      <c r="AL492" s="650">
        <v>300</v>
      </c>
      <c r="AM492" s="620">
        <f t="shared" si="453"/>
        <v>0.47066666666666668</v>
      </c>
      <c r="AN492" s="620">
        <v>9.6440000000000001</v>
      </c>
      <c r="AO492" s="620">
        <v>4.5170000000000003</v>
      </c>
      <c r="AP492" s="620">
        <f t="shared" si="454"/>
        <v>4.6563333333333334</v>
      </c>
      <c r="AQ492" s="620">
        <f t="shared" si="455"/>
        <v>33.919666666666672</v>
      </c>
      <c r="AR492" s="698">
        <f t="shared" si="456"/>
        <v>19.872171164579999</v>
      </c>
      <c r="AS492" s="650">
        <v>300</v>
      </c>
      <c r="AT492" s="620">
        <f t="shared" si="457"/>
        <v>0</v>
      </c>
      <c r="AU492" s="620">
        <v>9.6440000000000001</v>
      </c>
      <c r="AV492" s="620">
        <v>4.5170000000000003</v>
      </c>
      <c r="AW492" s="620">
        <f t="shared" si="458"/>
        <v>5.1269999999999998</v>
      </c>
      <c r="AX492" s="620">
        <f t="shared" si="459"/>
        <v>33.449000000000005</v>
      </c>
      <c r="AY492" s="698">
        <f t="shared" si="460"/>
        <v>21.577252153859998</v>
      </c>
      <c r="AZ492" s="75"/>
      <c r="BA492" s="650">
        <v>300</v>
      </c>
      <c r="BB492" s="620">
        <v>103.50685607036536</v>
      </c>
      <c r="BC492" s="720">
        <f>(BB509-BB510)/BB491</f>
        <v>0.84371222656624678</v>
      </c>
      <c r="BD492" s="714">
        <f>D492-BB507</f>
        <v>43.990000000000009</v>
      </c>
      <c r="BE492" s="693">
        <f>BB509-BB510</f>
        <v>87.33</v>
      </c>
      <c r="BF492" s="693">
        <f t="shared" si="461"/>
        <v>50.372151608840042</v>
      </c>
      <c r="BG492" s="668">
        <f t="shared" si="462"/>
        <v>42.499600190826982</v>
      </c>
      <c r="BH492" s="650">
        <v>300</v>
      </c>
      <c r="BI492" s="620">
        <v>103.50685607036536</v>
      </c>
      <c r="BJ492" s="720">
        <f>(BI509-BI510)/BI491</f>
        <v>0.95153117135588738</v>
      </c>
      <c r="BK492" s="714">
        <f>I492-BI507</f>
        <v>47.269999999999982</v>
      </c>
      <c r="BL492" s="693">
        <f>BI509-BI510</f>
        <v>98.49</v>
      </c>
      <c r="BM492" s="693">
        <f t="shared" si="463"/>
        <v>47.994720276170156</v>
      </c>
      <c r="BN492" s="668">
        <f t="shared" si="464"/>
        <v>45.668472403282351</v>
      </c>
      <c r="BO492" s="650">
        <v>300</v>
      </c>
      <c r="BP492" s="681">
        <v>103.50685607036536</v>
      </c>
      <c r="BQ492" s="720">
        <f>(BP509-BP510)/BP491</f>
        <v>0.62556242608684853</v>
      </c>
      <c r="BR492" s="714">
        <f>N492-BP507</f>
        <v>41.710000000000036</v>
      </c>
      <c r="BS492" s="693">
        <f>BP509-BP510</f>
        <v>64.75</v>
      </c>
      <c r="BT492" s="693">
        <f t="shared" si="465"/>
        <v>64.416988416988474</v>
      </c>
      <c r="BU492" s="668">
        <f t="shared" si="466"/>
        <v>40.296847555339731</v>
      </c>
      <c r="BV492" s="650">
        <v>300</v>
      </c>
      <c r="BW492" s="620">
        <v>103.50685607036536</v>
      </c>
      <c r="BX492" s="720">
        <f>(BW509-BW510)/BW491</f>
        <v>1.0616688031302517</v>
      </c>
      <c r="BY492" s="714">
        <f>S492-BW507</f>
        <v>42.199999999999989</v>
      </c>
      <c r="BZ492" s="693">
        <f>BW509-BW510</f>
        <v>109.89000000000001</v>
      </c>
      <c r="CA492" s="693">
        <f t="shared" si="467"/>
        <v>38.402038402038386</v>
      </c>
      <c r="CB492" s="668">
        <f t="shared" si="468"/>
        <v>40.770246148054056</v>
      </c>
      <c r="CC492" s="560"/>
    </row>
    <row r="493" spans="1:81" ht="15.75">
      <c r="A493" s="564"/>
      <c r="B493" s="585" t="s">
        <v>116</v>
      </c>
      <c r="C493" s="559">
        <v>350</v>
      </c>
      <c r="D493" s="559">
        <v>414.63</v>
      </c>
      <c r="E493" s="27">
        <v>2.25</v>
      </c>
      <c r="F493" s="27">
        <v>1.68</v>
      </c>
      <c r="G493" s="94">
        <v>1.36</v>
      </c>
      <c r="H493" s="559">
        <v>350</v>
      </c>
      <c r="I493" s="559">
        <v>431.65</v>
      </c>
      <c r="J493" s="260">
        <v>0.74</v>
      </c>
      <c r="K493" s="260">
        <v>1.39</v>
      </c>
      <c r="L493" s="548">
        <v>1.1100000000000001</v>
      </c>
      <c r="M493" s="559">
        <v>350</v>
      </c>
      <c r="N493" s="649">
        <v>392.62</v>
      </c>
      <c r="O493" s="260">
        <v>5.36</v>
      </c>
      <c r="P493" s="260">
        <v>4.57</v>
      </c>
      <c r="Q493" s="94">
        <v>5.88</v>
      </c>
      <c r="R493" s="559">
        <v>350</v>
      </c>
      <c r="S493" s="649">
        <v>438.52</v>
      </c>
      <c r="T493" s="260">
        <v>0</v>
      </c>
      <c r="U493" s="260">
        <v>0</v>
      </c>
      <c r="V493" s="94">
        <v>0</v>
      </c>
      <c r="W493" s="564"/>
      <c r="X493" s="650">
        <v>350</v>
      </c>
      <c r="Y493" s="651">
        <f t="shared" si="445"/>
        <v>0.17633333333333334</v>
      </c>
      <c r="Z493" s="620">
        <v>9.6440000000000001</v>
      </c>
      <c r="AA493" s="620">
        <v>4.5170000000000003</v>
      </c>
      <c r="AB493" s="620">
        <f t="shared" si="446"/>
        <v>4.9506666666666668</v>
      </c>
      <c r="AC493" s="620">
        <f t="shared" si="447"/>
        <v>33.625333333333337</v>
      </c>
      <c r="AD493" s="653">
        <f t="shared" si="448"/>
        <v>28.508445981306664</v>
      </c>
      <c r="AE493" s="650">
        <v>350</v>
      </c>
      <c r="AF493" s="620">
        <f t="shared" si="449"/>
        <v>0.10800000000000001</v>
      </c>
      <c r="AG493" s="620">
        <v>9.6440000000000001</v>
      </c>
      <c r="AH493" s="620">
        <v>4.5170000000000003</v>
      </c>
      <c r="AI493" s="620">
        <f t="shared" si="450"/>
        <v>5.0190000000000001</v>
      </c>
      <c r="AJ493" s="620">
        <f t="shared" si="451"/>
        <v>33.557000000000002</v>
      </c>
      <c r="AK493" s="653">
        <f t="shared" si="452"/>
        <v>28.843209451664997</v>
      </c>
      <c r="AL493" s="650">
        <v>350</v>
      </c>
      <c r="AM493" s="620">
        <f t="shared" si="453"/>
        <v>0.52699999999999991</v>
      </c>
      <c r="AN493" s="620">
        <v>9.6440000000000001</v>
      </c>
      <c r="AO493" s="620">
        <v>4.5170000000000003</v>
      </c>
      <c r="AP493" s="620">
        <f t="shared" si="454"/>
        <v>4.5999999999999996</v>
      </c>
      <c r="AQ493" s="620">
        <f t="shared" si="455"/>
        <v>33.976000000000006</v>
      </c>
      <c r="AR493" s="698">
        <f t="shared" si="456"/>
        <v>26.765375447999997</v>
      </c>
      <c r="AS493" s="650">
        <v>350</v>
      </c>
      <c r="AT493" s="620">
        <f t="shared" si="457"/>
        <v>0</v>
      </c>
      <c r="AU493" s="620">
        <v>9.6440000000000001</v>
      </c>
      <c r="AV493" s="620">
        <v>4.5170000000000003</v>
      </c>
      <c r="AW493" s="620">
        <f t="shared" si="458"/>
        <v>5.1269999999999998</v>
      </c>
      <c r="AX493" s="620">
        <f t="shared" si="459"/>
        <v>33.449000000000005</v>
      </c>
      <c r="AY493" s="698">
        <f t="shared" si="460"/>
        <v>29.369037653864996</v>
      </c>
      <c r="AZ493" s="75"/>
      <c r="BA493" s="650">
        <v>350</v>
      </c>
      <c r="BB493" s="620">
        <v>103.50685607036536</v>
      </c>
      <c r="BC493" s="720">
        <f>(BB509-BB510)/BB491</f>
        <v>0.84371222656624678</v>
      </c>
      <c r="BD493" s="714">
        <f>D493-BB507</f>
        <v>40.569999999999993</v>
      </c>
      <c r="BE493" s="693">
        <f>BB509-BB510</f>
        <v>87.33</v>
      </c>
      <c r="BF493" s="693">
        <f t="shared" si="461"/>
        <v>46.45597160196953</v>
      </c>
      <c r="BG493" s="668">
        <f t="shared" si="462"/>
        <v>39.195471237596045</v>
      </c>
      <c r="BH493" s="650">
        <v>350</v>
      </c>
      <c r="BI493" s="620">
        <v>103.50685607036536</v>
      </c>
      <c r="BJ493" s="720">
        <f>(BI509-BI510)/BI491</f>
        <v>0.95153117135588738</v>
      </c>
      <c r="BK493" s="714">
        <f>I493-BI507</f>
        <v>45.519999999999982</v>
      </c>
      <c r="BL493" s="693">
        <f>BI509-BI510</f>
        <v>98.49</v>
      </c>
      <c r="BM493" s="693">
        <f t="shared" si="463"/>
        <v>46.217890141131065</v>
      </c>
      <c r="BN493" s="668">
        <f t="shared" si="464"/>
        <v>43.977763143588163</v>
      </c>
      <c r="BO493" s="650">
        <v>350</v>
      </c>
      <c r="BP493" s="681">
        <v>103.50685607036536</v>
      </c>
      <c r="BQ493" s="720">
        <f>(BP509-BP510)/BP491</f>
        <v>0.62556242608684853</v>
      </c>
      <c r="BR493" s="714">
        <f>N493-BP507</f>
        <v>39.850000000000023</v>
      </c>
      <c r="BS493" s="693">
        <f>BP509-BP510</f>
        <v>64.75</v>
      </c>
      <c r="BT493" s="693">
        <f t="shared" si="465"/>
        <v>61.54440154440158</v>
      </c>
      <c r="BU493" s="668">
        <f t="shared" si="466"/>
        <v>38.49986514217904</v>
      </c>
      <c r="BV493" s="650">
        <v>350</v>
      </c>
      <c r="BW493" s="620">
        <v>103.50685607036536</v>
      </c>
      <c r="BX493" s="720">
        <f>(BW509-BW510)/BW491</f>
        <v>1.0616688031302517</v>
      </c>
      <c r="BY493" s="714">
        <f>S493-BW507</f>
        <v>42.149999999999977</v>
      </c>
      <c r="BZ493" s="693">
        <f>BW509-BW510</f>
        <v>109.89000000000001</v>
      </c>
      <c r="CA493" s="693">
        <f t="shared" si="467"/>
        <v>38.35653835653833</v>
      </c>
      <c r="CB493" s="668">
        <f t="shared" si="468"/>
        <v>40.721940169205638</v>
      </c>
      <c r="CC493" s="560"/>
    </row>
    <row r="494" spans="1:81" ht="15.75">
      <c r="A494" s="564"/>
      <c r="B494" s="585" t="s">
        <v>116</v>
      </c>
      <c r="C494" s="559">
        <v>450</v>
      </c>
      <c r="D494" s="559">
        <v>413.32</v>
      </c>
      <c r="E494" s="27">
        <v>2.62</v>
      </c>
      <c r="F494" s="27">
        <v>2.3199999999999998</v>
      </c>
      <c r="G494" s="94">
        <v>1.72</v>
      </c>
      <c r="H494" s="559">
        <v>450</v>
      </c>
      <c r="I494" s="612">
        <v>428.09</v>
      </c>
      <c r="J494" s="260">
        <v>1.05</v>
      </c>
      <c r="K494" s="260">
        <v>1.61</v>
      </c>
      <c r="L494" s="548">
        <v>1.51</v>
      </c>
      <c r="M494" s="559">
        <v>450</v>
      </c>
      <c r="N494" s="639">
        <v>389.88</v>
      </c>
      <c r="O494" s="550">
        <v>4.83</v>
      </c>
      <c r="P494" s="550">
        <v>5.33</v>
      </c>
      <c r="Q494" s="94">
        <v>6.52</v>
      </c>
      <c r="R494" s="559">
        <v>450</v>
      </c>
      <c r="S494" s="649">
        <v>436.17</v>
      </c>
      <c r="T494" s="260">
        <v>0</v>
      </c>
      <c r="U494" s="260">
        <v>0</v>
      </c>
      <c r="V494" s="94">
        <v>0</v>
      </c>
      <c r="W494" s="564"/>
      <c r="X494" s="650">
        <v>450</v>
      </c>
      <c r="Y494" s="651">
        <f t="shared" si="445"/>
        <v>0.22199999999999998</v>
      </c>
      <c r="Z494" s="620">
        <v>9.6440000000000001</v>
      </c>
      <c r="AA494" s="620">
        <v>4.5170000000000003</v>
      </c>
      <c r="AB494" s="620">
        <f t="shared" si="446"/>
        <v>4.9049999999999994</v>
      </c>
      <c r="AC494" s="620">
        <f t="shared" si="447"/>
        <v>33.671000000000006</v>
      </c>
      <c r="AD494" s="653">
        <f t="shared" si="448"/>
        <v>46.754910009224993</v>
      </c>
      <c r="AE494" s="650">
        <v>450</v>
      </c>
      <c r="AF494" s="620">
        <f t="shared" si="449"/>
        <v>0.13899999999999998</v>
      </c>
      <c r="AG494" s="620">
        <v>9.6440000000000001</v>
      </c>
      <c r="AH494" s="620">
        <v>4.5170000000000003</v>
      </c>
      <c r="AI494" s="620">
        <f t="shared" si="450"/>
        <v>4.9879999999999995</v>
      </c>
      <c r="AJ494" s="620">
        <f t="shared" si="451"/>
        <v>33.588000000000008</v>
      </c>
      <c r="AK494" s="653">
        <f t="shared" si="452"/>
        <v>47.428871161679993</v>
      </c>
      <c r="AL494" s="650">
        <v>450</v>
      </c>
      <c r="AM494" s="620">
        <f t="shared" si="453"/>
        <v>0.55599999999999994</v>
      </c>
      <c r="AN494" s="620">
        <v>9.6440000000000001</v>
      </c>
      <c r="AO494" s="620">
        <v>4.5170000000000003</v>
      </c>
      <c r="AP494" s="620">
        <f t="shared" si="454"/>
        <v>4.5709999999999997</v>
      </c>
      <c r="AQ494" s="620">
        <f t="shared" si="455"/>
        <v>34.005000000000003</v>
      </c>
      <c r="AR494" s="698">
        <f t="shared" si="456"/>
        <v>44.003396466224991</v>
      </c>
      <c r="AS494" s="650">
        <v>450</v>
      </c>
      <c r="AT494" s="620">
        <f t="shared" si="457"/>
        <v>0</v>
      </c>
      <c r="AU494" s="620">
        <v>9.6440000000000001</v>
      </c>
      <c r="AV494" s="620">
        <v>4.5170000000000003</v>
      </c>
      <c r="AW494" s="620">
        <f t="shared" si="458"/>
        <v>5.1269999999999998</v>
      </c>
      <c r="AX494" s="620">
        <f t="shared" si="459"/>
        <v>33.449000000000005</v>
      </c>
      <c r="AY494" s="698">
        <f t="shared" si="460"/>
        <v>48.54881734618499</v>
      </c>
      <c r="AZ494" s="75"/>
      <c r="BA494" s="650">
        <v>450</v>
      </c>
      <c r="BB494" s="620">
        <v>103.50685607036536</v>
      </c>
      <c r="BC494" s="720">
        <f>(BB509-BB510)/BB491</f>
        <v>0.84371222656624678</v>
      </c>
      <c r="BD494" s="714">
        <f>D494-BB507</f>
        <v>39.259999999999991</v>
      </c>
      <c r="BE494" s="693">
        <f>BB509-BB510</f>
        <v>87.33</v>
      </c>
      <c r="BF494" s="693">
        <f t="shared" si="461"/>
        <v>44.955914347875861</v>
      </c>
      <c r="BG494" s="668">
        <f t="shared" si="462"/>
        <v>37.929854591767821</v>
      </c>
      <c r="BH494" s="650">
        <v>450</v>
      </c>
      <c r="BI494" s="620">
        <v>103.50685607036536</v>
      </c>
      <c r="BJ494" s="720">
        <f>(BI509-BI510)/BI491</f>
        <v>0.95153117135588738</v>
      </c>
      <c r="BK494" s="714">
        <f>I494-BI507</f>
        <v>41.95999999999998</v>
      </c>
      <c r="BL494" s="693">
        <f>BI509-BI510</f>
        <v>98.49</v>
      </c>
      <c r="BM494" s="693">
        <f t="shared" si="463"/>
        <v>42.60330998070868</v>
      </c>
      <c r="BN494" s="668">
        <f t="shared" si="464"/>
        <v>40.538377449581695</v>
      </c>
      <c r="BO494" s="650">
        <v>450</v>
      </c>
      <c r="BP494" s="681">
        <v>103.50685607036536</v>
      </c>
      <c r="BQ494" s="720">
        <f>(BP509-BP510)/BP491</f>
        <v>0.62556242608684853</v>
      </c>
      <c r="BR494" s="714">
        <f>N494-BP507</f>
        <v>37.110000000000014</v>
      </c>
      <c r="BS494" s="693">
        <f>BP509-BP510</f>
        <v>64.75</v>
      </c>
      <c r="BT494" s="693">
        <f t="shared" si="465"/>
        <v>57.312741312741331</v>
      </c>
      <c r="BU494" s="668">
        <f t="shared" si="466"/>
        <v>35.852697501286421</v>
      </c>
      <c r="BV494" s="650">
        <v>450</v>
      </c>
      <c r="BW494" s="620">
        <v>103.50685607036536</v>
      </c>
      <c r="BX494" s="720">
        <f>(BW509-BW510)/BW491</f>
        <v>1.0616688031302517</v>
      </c>
      <c r="BY494" s="714">
        <f>S494-BW507</f>
        <v>39.800000000000011</v>
      </c>
      <c r="BZ494" s="693">
        <f>BW509-BW510</f>
        <v>109.89000000000001</v>
      </c>
      <c r="CA494" s="693">
        <f t="shared" si="467"/>
        <v>36.218036218036225</v>
      </c>
      <c r="CB494" s="668">
        <f t="shared" si="468"/>
        <v>38.451559163330629</v>
      </c>
      <c r="CC494" s="560"/>
    </row>
    <row r="495" spans="1:81" ht="15.75">
      <c r="A495" s="564"/>
      <c r="B495" s="585" t="s">
        <v>116</v>
      </c>
      <c r="C495" s="559">
        <v>550</v>
      </c>
      <c r="D495" s="559">
        <v>411.56</v>
      </c>
      <c r="E495" s="652">
        <v>3.07</v>
      </c>
      <c r="F495" s="652">
        <v>2.4700000000000002</v>
      </c>
      <c r="G495" s="653">
        <v>2.6</v>
      </c>
      <c r="H495" s="559">
        <v>550</v>
      </c>
      <c r="I495" s="559">
        <v>425.28</v>
      </c>
      <c r="J495" s="260">
        <v>1.82</v>
      </c>
      <c r="K495" s="260">
        <v>2.11</v>
      </c>
      <c r="L495" s="548">
        <v>1.85</v>
      </c>
      <c r="M495" s="559">
        <v>550</v>
      </c>
      <c r="N495" s="639">
        <v>387.35</v>
      </c>
      <c r="O495" s="550">
        <v>6.44</v>
      </c>
      <c r="P495" s="550">
        <v>8.0399999999999991</v>
      </c>
      <c r="Q495" s="94">
        <v>7.73</v>
      </c>
      <c r="R495" s="559">
        <v>550</v>
      </c>
      <c r="S495" s="639">
        <v>434.71</v>
      </c>
      <c r="T495" s="550">
        <v>0.97</v>
      </c>
      <c r="U495" s="550">
        <v>1.1499999999999999</v>
      </c>
      <c r="V495" s="94">
        <v>0.74</v>
      </c>
      <c r="W495" s="564"/>
      <c r="X495" s="650">
        <v>550</v>
      </c>
      <c r="Y495" s="651">
        <f t="shared" si="445"/>
        <v>0.27133333333333332</v>
      </c>
      <c r="Z495" s="620">
        <v>9.6440000000000001</v>
      </c>
      <c r="AA495" s="620">
        <v>4.5170000000000003</v>
      </c>
      <c r="AB495" s="620">
        <f t="shared" si="446"/>
        <v>4.8556666666666661</v>
      </c>
      <c r="AC495" s="620">
        <f t="shared" si="447"/>
        <v>33.720333333333336</v>
      </c>
      <c r="AD495" s="653">
        <f t="shared" si="448"/>
        <v>69.242585345651648</v>
      </c>
      <c r="AE495" s="650">
        <v>550</v>
      </c>
      <c r="AF495" s="620">
        <f t="shared" si="449"/>
        <v>0.19266666666666665</v>
      </c>
      <c r="AG495" s="620">
        <v>9.6440000000000001</v>
      </c>
      <c r="AH495" s="620">
        <v>4.5170000000000003</v>
      </c>
      <c r="AI495" s="620">
        <f t="shared" si="450"/>
        <v>4.934333333333333</v>
      </c>
      <c r="AJ495" s="620">
        <f t="shared" si="451"/>
        <v>33.641666666666673</v>
      </c>
      <c r="AK495" s="653">
        <f t="shared" si="452"/>
        <v>70.200230509291671</v>
      </c>
      <c r="AL495" s="650">
        <v>550</v>
      </c>
      <c r="AM495" s="620">
        <f t="shared" si="453"/>
        <v>0.74033333333333329</v>
      </c>
      <c r="AN495" s="620">
        <v>9.6440000000000001</v>
      </c>
      <c r="AO495" s="620">
        <v>4.5170000000000003</v>
      </c>
      <c r="AP495" s="620">
        <f t="shared" si="454"/>
        <v>4.3866666666666667</v>
      </c>
      <c r="AQ495" s="620">
        <f t="shared" si="455"/>
        <v>34.189333333333337</v>
      </c>
      <c r="AR495" s="698">
        <f t="shared" si="456"/>
        <v>63.424611753066664</v>
      </c>
      <c r="AS495" s="650">
        <v>550</v>
      </c>
      <c r="AT495" s="620">
        <f t="shared" si="457"/>
        <v>9.5333333333333353E-2</v>
      </c>
      <c r="AU495" s="620">
        <v>9.6440000000000001</v>
      </c>
      <c r="AV495" s="620">
        <v>4.5170000000000003</v>
      </c>
      <c r="AW495" s="620">
        <f t="shared" si="458"/>
        <v>5.0316666666666663</v>
      </c>
      <c r="AX495" s="620">
        <f t="shared" si="459"/>
        <v>33.544333333333341</v>
      </c>
      <c r="AY495" s="698">
        <f t="shared" si="460"/>
        <v>71.377869035091663</v>
      </c>
      <c r="AZ495" s="75"/>
      <c r="BA495" s="650">
        <v>550</v>
      </c>
      <c r="BB495" s="620">
        <v>103.50685607036536</v>
      </c>
      <c r="BC495" s="720">
        <f>(BB509-BB510)/BB491</f>
        <v>0.84371222656624678</v>
      </c>
      <c r="BD495" s="714">
        <f>D495-BB507</f>
        <v>37.5</v>
      </c>
      <c r="BE495" s="693">
        <f>BB509-BB510</f>
        <v>87.33</v>
      </c>
      <c r="BF495" s="693">
        <f t="shared" si="461"/>
        <v>42.940570250772929</v>
      </c>
      <c r="BG495" s="668">
        <f t="shared" si="462"/>
        <v>36.229484136303967</v>
      </c>
      <c r="BH495" s="650">
        <v>550</v>
      </c>
      <c r="BI495" s="620">
        <v>103.50685607036536</v>
      </c>
      <c r="BJ495" s="720">
        <f>(BI509-BI510)/BI491</f>
        <v>0.95153117135588738</v>
      </c>
      <c r="BK495" s="714">
        <f>I495-BI507</f>
        <v>39.149999999999977</v>
      </c>
      <c r="BL495" s="693">
        <f>BI509-BI510</f>
        <v>98.49</v>
      </c>
      <c r="BM495" s="693">
        <f t="shared" si="463"/>
        <v>39.750228449588768</v>
      </c>
      <c r="BN495" s="668">
        <f t="shared" si="464"/>
        <v>37.823581438301318</v>
      </c>
      <c r="BO495" s="650">
        <v>550</v>
      </c>
      <c r="BP495" s="681">
        <v>103.50685607036536</v>
      </c>
      <c r="BQ495" s="720">
        <f>(BP509-BP510)/BP491</f>
        <v>0.62556242608684853</v>
      </c>
      <c r="BR495" s="714">
        <f>N495-BP507</f>
        <v>34.580000000000041</v>
      </c>
      <c r="BS495" s="693">
        <f>BP509-BP510</f>
        <v>64.75</v>
      </c>
      <c r="BT495" s="693">
        <f t="shared" si="465"/>
        <v>53.405405405405467</v>
      </c>
      <c r="BU495" s="668">
        <f t="shared" si="466"/>
        <v>33.408414971557136</v>
      </c>
      <c r="BV495" s="650">
        <v>550</v>
      </c>
      <c r="BW495" s="620">
        <v>103.50685607036536</v>
      </c>
      <c r="BX495" s="720">
        <f>(BW509-BW510)/BW491</f>
        <v>1.0616688031302517</v>
      </c>
      <c r="BY495" s="714">
        <f>S495-BW507</f>
        <v>38.339999999999975</v>
      </c>
      <c r="BZ495" s="693">
        <f>BW509-BW510</f>
        <v>109.89000000000001</v>
      </c>
      <c r="CA495" s="693">
        <f t="shared" si="467"/>
        <v>34.88943488943486</v>
      </c>
      <c r="CB495" s="668">
        <f t="shared" si="468"/>
        <v>37.041024580957149</v>
      </c>
      <c r="CC495" s="560"/>
    </row>
    <row r="496" spans="1:81" ht="15.75">
      <c r="A496" s="564"/>
      <c r="B496" s="585" t="s">
        <v>116</v>
      </c>
      <c r="C496" s="559">
        <v>650</v>
      </c>
      <c r="D496" s="559">
        <v>410.12</v>
      </c>
      <c r="E496" s="652">
        <v>4</v>
      </c>
      <c r="F496" s="652">
        <v>3.8</v>
      </c>
      <c r="G496" s="653">
        <v>3.54</v>
      </c>
      <c r="H496" s="559">
        <v>650</v>
      </c>
      <c r="I496" s="559">
        <v>423.37</v>
      </c>
      <c r="J496" s="260">
        <v>2.42</v>
      </c>
      <c r="K496" s="260">
        <v>2.54</v>
      </c>
      <c r="L496" s="548">
        <v>2.42</v>
      </c>
      <c r="M496" s="559">
        <v>650</v>
      </c>
      <c r="N496" s="639">
        <v>385.59</v>
      </c>
      <c r="O496" s="550">
        <v>8.1</v>
      </c>
      <c r="P496" s="550">
        <v>8.33</v>
      </c>
      <c r="Q496" s="94">
        <v>6.32</v>
      </c>
      <c r="R496" s="559">
        <v>650</v>
      </c>
      <c r="S496" s="639">
        <v>433.09</v>
      </c>
      <c r="T496" s="639">
        <v>1.1100000000000001</v>
      </c>
      <c r="U496" s="639">
        <v>1.31</v>
      </c>
      <c r="V496" s="654">
        <v>1.32</v>
      </c>
      <c r="W496" s="564"/>
      <c r="X496" s="650">
        <v>650</v>
      </c>
      <c r="Y496" s="651">
        <f t="shared" si="445"/>
        <v>0.378</v>
      </c>
      <c r="Z496" s="620">
        <v>9.6440000000000001</v>
      </c>
      <c r="AA496" s="620">
        <v>4.5170000000000003</v>
      </c>
      <c r="AB496" s="620">
        <f t="shared" si="446"/>
        <v>4.7489999999999997</v>
      </c>
      <c r="AC496" s="620">
        <f t="shared" si="447"/>
        <v>33.827000000000005</v>
      </c>
      <c r="AD496" s="653">
        <f t="shared" si="448"/>
        <v>94.885431667064992</v>
      </c>
      <c r="AE496" s="650">
        <v>650</v>
      </c>
      <c r="AF496" s="620">
        <f t="shared" si="449"/>
        <v>0.246</v>
      </c>
      <c r="AG496" s="620">
        <v>9.6440000000000001</v>
      </c>
      <c r="AH496" s="620">
        <v>4.5170000000000003</v>
      </c>
      <c r="AI496" s="620">
        <f t="shared" si="450"/>
        <v>4.8810000000000002</v>
      </c>
      <c r="AJ496" s="620">
        <f t="shared" si="451"/>
        <v>33.695000000000007</v>
      </c>
      <c r="AK496" s="653">
        <f t="shared" si="452"/>
        <v>97.142248818225013</v>
      </c>
      <c r="AL496" s="650">
        <v>650</v>
      </c>
      <c r="AM496" s="620">
        <f t="shared" si="453"/>
        <v>0.7583333333333333</v>
      </c>
      <c r="AN496" s="620">
        <v>9.6440000000000001</v>
      </c>
      <c r="AO496" s="620">
        <v>4.5170000000000003</v>
      </c>
      <c r="AP496" s="620">
        <f t="shared" si="454"/>
        <v>4.368666666666666</v>
      </c>
      <c r="AQ496" s="620">
        <f t="shared" si="455"/>
        <v>34.207333333333338</v>
      </c>
      <c r="AR496" s="698">
        <f t="shared" si="456"/>
        <v>88.267741250606662</v>
      </c>
      <c r="AS496" s="650">
        <v>650</v>
      </c>
      <c r="AT496" s="620">
        <f t="shared" si="457"/>
        <v>0.12466666666666668</v>
      </c>
      <c r="AU496" s="620">
        <v>9.6440000000000001</v>
      </c>
      <c r="AV496" s="620">
        <v>4.5170000000000003</v>
      </c>
      <c r="AW496" s="620">
        <f t="shared" si="458"/>
        <v>5.0023333333333335</v>
      </c>
      <c r="AX496" s="620">
        <f t="shared" si="459"/>
        <v>33.573666666666675</v>
      </c>
      <c r="AY496" s="698">
        <f t="shared" si="460"/>
        <v>99.198541484531674</v>
      </c>
      <c r="AZ496" s="75"/>
      <c r="BA496" s="650">
        <v>650</v>
      </c>
      <c r="BB496" s="620">
        <v>103.50685607036536</v>
      </c>
      <c r="BC496" s="720">
        <f>(BB509-BB510)/BB491</f>
        <v>0.84371222656624678</v>
      </c>
      <c r="BD496" s="714">
        <f>D496-BB507</f>
        <v>36.06</v>
      </c>
      <c r="BE496" s="693">
        <f>BB509-BB510</f>
        <v>87.33</v>
      </c>
      <c r="BF496" s="693">
        <f t="shared" si="461"/>
        <v>41.291652353143256</v>
      </c>
      <c r="BG496" s="668">
        <f t="shared" si="462"/>
        <v>34.838271945469899</v>
      </c>
      <c r="BH496" s="650">
        <v>650</v>
      </c>
      <c r="BI496" s="620">
        <v>103.50685607036536</v>
      </c>
      <c r="BJ496" s="720">
        <f>(BI509-BI510)/BI491</f>
        <v>0.95153117135588738</v>
      </c>
      <c r="BK496" s="714">
        <f>I496-BI507</f>
        <v>37.240000000000009</v>
      </c>
      <c r="BL496" s="693">
        <f>BI509-BI510</f>
        <v>98.49</v>
      </c>
      <c r="BM496" s="693">
        <f t="shared" si="463"/>
        <v>37.810945273631852</v>
      </c>
      <c r="BN496" s="668">
        <f t="shared" si="464"/>
        <v>35.978293046292272</v>
      </c>
      <c r="BO496" s="650">
        <v>650</v>
      </c>
      <c r="BP496" s="681">
        <v>103.50685607036536</v>
      </c>
      <c r="BQ496" s="720">
        <f>(BP509-BP510)/BP491</f>
        <v>0.62556242608684853</v>
      </c>
      <c r="BR496" s="714">
        <f>N496-BP507</f>
        <v>32.819999999999993</v>
      </c>
      <c r="BS496" s="693">
        <f>BP509-BP510</f>
        <v>64.75</v>
      </c>
      <c r="BT496" s="693">
        <f t="shared" si="465"/>
        <v>50.687258687258677</v>
      </c>
      <c r="BU496" s="668">
        <f t="shared" si="466"/>
        <v>31.708044516093228</v>
      </c>
      <c r="BV496" s="650">
        <v>650</v>
      </c>
      <c r="BW496" s="620">
        <v>103.50685607036536</v>
      </c>
      <c r="BX496" s="720">
        <f>(BW509-BW510)/BW491</f>
        <v>1.0616688031302517</v>
      </c>
      <c r="BY496" s="714">
        <f>S496-BW507</f>
        <v>36.71999999999997</v>
      </c>
      <c r="BZ496" s="693">
        <f>BW509-BW510</f>
        <v>109.89000000000001</v>
      </c>
      <c r="CA496" s="693">
        <f t="shared" si="467"/>
        <v>33.415233415233388</v>
      </c>
      <c r="CB496" s="668">
        <f t="shared" si="468"/>
        <v>35.475910866268826</v>
      </c>
      <c r="CC496" s="560"/>
    </row>
    <row r="497" spans="1:81" ht="15.75">
      <c r="A497" s="564"/>
      <c r="B497" s="585" t="s">
        <v>116</v>
      </c>
      <c r="C497" s="559">
        <v>750</v>
      </c>
      <c r="D497" s="559">
        <v>408.87</v>
      </c>
      <c r="E497" s="652">
        <v>4.99</v>
      </c>
      <c r="F497" s="652">
        <v>4.04</v>
      </c>
      <c r="G497" s="653">
        <v>3.92</v>
      </c>
      <c r="H497" s="559">
        <v>750</v>
      </c>
      <c r="I497" s="559">
        <v>422.03</v>
      </c>
      <c r="J497" s="260">
        <v>2.5299999999999998</v>
      </c>
      <c r="K497" s="260">
        <v>3.08</v>
      </c>
      <c r="L497" s="548">
        <v>2.72</v>
      </c>
      <c r="M497" s="559">
        <v>750</v>
      </c>
      <c r="N497" s="639">
        <v>384.54</v>
      </c>
      <c r="O497" s="562">
        <v>8.5</v>
      </c>
      <c r="P497" s="562">
        <v>9.11</v>
      </c>
      <c r="Q497" s="588">
        <v>7.2</v>
      </c>
      <c r="R497" s="559">
        <v>750</v>
      </c>
      <c r="S497" s="639">
        <v>432.15</v>
      </c>
      <c r="T497" s="639">
        <v>1.81</v>
      </c>
      <c r="U497" s="639">
        <v>1.56</v>
      </c>
      <c r="V497" s="654">
        <v>1.68</v>
      </c>
      <c r="W497" s="564"/>
      <c r="X497" s="650">
        <v>750</v>
      </c>
      <c r="Y497" s="651">
        <f t="shared" si="445"/>
        <v>0.43166666666666675</v>
      </c>
      <c r="Z497" s="620">
        <v>9.6440000000000001</v>
      </c>
      <c r="AA497" s="620">
        <v>4.5170000000000003</v>
      </c>
      <c r="AB497" s="620">
        <f t="shared" si="446"/>
        <v>4.6953333333333331</v>
      </c>
      <c r="AC497" s="620">
        <f t="shared" si="447"/>
        <v>33.88066666666667</v>
      </c>
      <c r="AD497" s="653">
        <f t="shared" si="448"/>
        <v>125.0973398985</v>
      </c>
      <c r="AE497" s="650">
        <v>750</v>
      </c>
      <c r="AF497" s="620">
        <f t="shared" si="449"/>
        <v>0.27766666666666667</v>
      </c>
      <c r="AG497" s="620">
        <v>9.6440000000000001</v>
      </c>
      <c r="AH497" s="620">
        <v>4.5170000000000003</v>
      </c>
      <c r="AI497" s="620">
        <f t="shared" si="450"/>
        <v>4.8493333333333331</v>
      </c>
      <c r="AJ497" s="620">
        <f t="shared" si="451"/>
        <v>33.726666666666674</v>
      </c>
      <c r="AK497" s="653">
        <f t="shared" si="452"/>
        <v>128.61308517000001</v>
      </c>
      <c r="AL497" s="650">
        <v>750</v>
      </c>
      <c r="AM497" s="620">
        <f t="shared" si="453"/>
        <v>0.82699999999999996</v>
      </c>
      <c r="AN497" s="620">
        <v>9.6440000000000001</v>
      </c>
      <c r="AO497" s="620">
        <v>4.5170000000000003</v>
      </c>
      <c r="AP497" s="620">
        <f t="shared" si="454"/>
        <v>4.3</v>
      </c>
      <c r="AQ497" s="620">
        <f t="shared" si="455"/>
        <v>34.276000000000003</v>
      </c>
      <c r="AR497" s="698">
        <f t="shared" si="456"/>
        <v>115.90129485</v>
      </c>
      <c r="AS497" s="650">
        <v>750</v>
      </c>
      <c r="AT497" s="620">
        <f t="shared" si="457"/>
        <v>0.16833333333333333</v>
      </c>
      <c r="AU497" s="620">
        <v>9.6440000000000001</v>
      </c>
      <c r="AV497" s="620">
        <v>4.5170000000000003</v>
      </c>
      <c r="AW497" s="620">
        <f t="shared" si="458"/>
        <v>4.9586666666666668</v>
      </c>
      <c r="AX497" s="620">
        <f t="shared" si="459"/>
        <v>33.617333333333342</v>
      </c>
      <c r="AY497" s="698">
        <f t="shared" si="460"/>
        <v>131.08647150600001</v>
      </c>
      <c r="AZ497" s="75"/>
      <c r="BA497" s="650">
        <v>750</v>
      </c>
      <c r="BB497" s="620">
        <v>103.50685607036536</v>
      </c>
      <c r="BC497" s="720">
        <f>(BB509-BB510)/BB491</f>
        <v>0.84371222656624678</v>
      </c>
      <c r="BD497" s="714">
        <f>D497-BB507</f>
        <v>34.81</v>
      </c>
      <c r="BE497" s="693">
        <f>BB509-BB510</f>
        <v>87.33</v>
      </c>
      <c r="BF497" s="693">
        <f t="shared" si="461"/>
        <v>39.860300011450825</v>
      </c>
      <c r="BG497" s="668">
        <f t="shared" si="462"/>
        <v>33.630622474259766</v>
      </c>
      <c r="BH497" s="650">
        <v>750</v>
      </c>
      <c r="BI497" s="620">
        <v>103.50685607036536</v>
      </c>
      <c r="BJ497" s="720">
        <f>(BI509-BI510)/BI491</f>
        <v>0.95153117135588738</v>
      </c>
      <c r="BK497" s="714">
        <f>I497-BI507</f>
        <v>35.899999999999977</v>
      </c>
      <c r="BL497" s="693">
        <f>BI509-BI510</f>
        <v>98.49</v>
      </c>
      <c r="BM497" s="693">
        <f t="shared" si="463"/>
        <v>36.450401055944745</v>
      </c>
      <c r="BN497" s="668">
        <f t="shared" si="464"/>
        <v>34.683692813154977</v>
      </c>
      <c r="BO497" s="650">
        <v>750</v>
      </c>
      <c r="BP497" s="681">
        <v>103.50685607036536</v>
      </c>
      <c r="BQ497" s="720">
        <f>(BP509-BP510)/BP491</f>
        <v>0.62556242608684853</v>
      </c>
      <c r="BR497" s="714">
        <f>N497-BP507</f>
        <v>31.770000000000039</v>
      </c>
      <c r="BS497" s="693">
        <f>BP509-BP510</f>
        <v>64.75</v>
      </c>
      <c r="BT497" s="693">
        <f t="shared" si="465"/>
        <v>49.065637065637127</v>
      </c>
      <c r="BU497" s="668">
        <f t="shared" si="466"/>
        <v>30.693618960276762</v>
      </c>
      <c r="BV497" s="650">
        <v>750</v>
      </c>
      <c r="BW497" s="620">
        <v>103.50685607036536</v>
      </c>
      <c r="BX497" s="720">
        <f>(BW509-BW510)/BW491</f>
        <v>1.0616688031302517</v>
      </c>
      <c r="BY497" s="714">
        <f>S497-BW507</f>
        <v>35.779999999999973</v>
      </c>
      <c r="BZ497" s="693">
        <f>BW509-BW510</f>
        <v>109.89000000000001</v>
      </c>
      <c r="CA497" s="693">
        <f t="shared" si="467"/>
        <v>32.559832559832529</v>
      </c>
      <c r="CB497" s="668">
        <f t="shared" si="468"/>
        <v>34.5677584639188</v>
      </c>
      <c r="CC497" s="560"/>
    </row>
    <row r="498" spans="1:81" ht="15.75">
      <c r="A498" s="564"/>
      <c r="B498" s="585" t="s">
        <v>116</v>
      </c>
      <c r="C498" s="559">
        <v>850</v>
      </c>
      <c r="D498" s="559">
        <v>407.7</v>
      </c>
      <c r="E498" s="652">
        <v>5.3</v>
      </c>
      <c r="F498" s="652">
        <v>4.32</v>
      </c>
      <c r="G498" s="653">
        <v>4.21</v>
      </c>
      <c r="H498" s="559">
        <v>850</v>
      </c>
      <c r="I498" s="559">
        <v>420.88</v>
      </c>
      <c r="J498" s="260">
        <v>3.19</v>
      </c>
      <c r="K498" s="260">
        <v>3.12</v>
      </c>
      <c r="L498" s="548">
        <v>3.03</v>
      </c>
      <c r="M498" s="559">
        <v>850</v>
      </c>
      <c r="N498" s="639">
        <v>383.61</v>
      </c>
      <c r="O498" s="562">
        <v>9.0299999999999994</v>
      </c>
      <c r="P498" s="562">
        <v>9.25</v>
      </c>
      <c r="Q498" s="588">
        <v>7.56</v>
      </c>
      <c r="R498" s="559">
        <v>850</v>
      </c>
      <c r="S498" s="639">
        <v>431.13</v>
      </c>
      <c r="T498" s="639">
        <v>1.92</v>
      </c>
      <c r="U498" s="639">
        <v>1.75</v>
      </c>
      <c r="V498" s="654">
        <v>1.79</v>
      </c>
      <c r="W498" s="564"/>
      <c r="X498" s="650">
        <v>850</v>
      </c>
      <c r="Y498" s="651">
        <f t="shared" si="445"/>
        <v>0.46100000000000002</v>
      </c>
      <c r="Z498" s="620">
        <v>9.6440000000000001</v>
      </c>
      <c r="AA498" s="620">
        <v>4.5170000000000003</v>
      </c>
      <c r="AB498" s="620">
        <f t="shared" si="446"/>
        <v>4.6659999999999995</v>
      </c>
      <c r="AC498" s="620">
        <f t="shared" si="447"/>
        <v>33.910000000000004</v>
      </c>
      <c r="AD498" s="653">
        <f t="shared" si="448"/>
        <v>159.81500292329997</v>
      </c>
      <c r="AE498" s="650">
        <v>850</v>
      </c>
      <c r="AF498" s="620">
        <f t="shared" si="449"/>
        <v>0.31133333333333335</v>
      </c>
      <c r="AG498" s="620">
        <v>9.6440000000000001</v>
      </c>
      <c r="AH498" s="620">
        <v>4.5170000000000003</v>
      </c>
      <c r="AI498" s="620">
        <f t="shared" si="450"/>
        <v>4.8156666666666661</v>
      </c>
      <c r="AJ498" s="620">
        <f t="shared" si="451"/>
        <v>33.760333333333335</v>
      </c>
      <c r="AK498" s="653">
        <f t="shared" si="452"/>
        <v>164.21323882593165</v>
      </c>
      <c r="AL498" s="650">
        <v>850</v>
      </c>
      <c r="AM498" s="620">
        <f t="shared" si="453"/>
        <v>0.86133333333333328</v>
      </c>
      <c r="AN498" s="620">
        <v>9.6440000000000001</v>
      </c>
      <c r="AO498" s="620">
        <v>4.5170000000000003</v>
      </c>
      <c r="AP498" s="620">
        <f t="shared" si="454"/>
        <v>4.2656666666666663</v>
      </c>
      <c r="AQ498" s="620">
        <f t="shared" si="455"/>
        <v>34.31033333333334</v>
      </c>
      <c r="AR498" s="698">
        <f t="shared" si="456"/>
        <v>147.82805927893168</v>
      </c>
      <c r="AS498" s="650">
        <v>850</v>
      </c>
      <c r="AT498" s="620">
        <f t="shared" si="457"/>
        <v>0.182</v>
      </c>
      <c r="AU498" s="620">
        <v>9.6440000000000001</v>
      </c>
      <c r="AV498" s="620">
        <v>4.5170000000000003</v>
      </c>
      <c r="AW498" s="620">
        <f t="shared" si="458"/>
        <v>4.9449999999999994</v>
      </c>
      <c r="AX498" s="620">
        <f t="shared" si="459"/>
        <v>33.631000000000007</v>
      </c>
      <c r="AY498" s="698">
        <f t="shared" si="460"/>
        <v>167.977494741225</v>
      </c>
      <c r="AZ498" s="75"/>
      <c r="BA498" s="650">
        <v>850</v>
      </c>
      <c r="BB498" s="620">
        <v>103.50685607036536</v>
      </c>
      <c r="BC498" s="720">
        <f>(BB509-BB510)/BB491</f>
        <v>0.84371222656624678</v>
      </c>
      <c r="BD498" s="714">
        <f>D498-BB507</f>
        <v>33.639999999999986</v>
      </c>
      <c r="BE498" s="693">
        <f>BB509-BB510</f>
        <v>87.33</v>
      </c>
      <c r="BF498" s="693">
        <f t="shared" si="461"/>
        <v>38.520554219626689</v>
      </c>
      <c r="BG498" s="668">
        <f t="shared" si="462"/>
        <v>32.500262569207067</v>
      </c>
      <c r="BH498" s="650">
        <v>850</v>
      </c>
      <c r="BI498" s="620">
        <v>103.50685607036536</v>
      </c>
      <c r="BJ498" s="720">
        <f>(BI509-BI510)/BI491</f>
        <v>0.95153117135588738</v>
      </c>
      <c r="BK498" s="714">
        <f>I498-BI507</f>
        <v>34.75</v>
      </c>
      <c r="BL498" s="693">
        <f>BI509-BI510</f>
        <v>98.49</v>
      </c>
      <c r="BM498" s="693">
        <f t="shared" si="463"/>
        <v>35.282769824347653</v>
      </c>
      <c r="BN498" s="668">
        <f t="shared" si="464"/>
        <v>33.572655299641681</v>
      </c>
      <c r="BO498" s="650">
        <v>850</v>
      </c>
      <c r="BP498" s="681">
        <v>103.50685607036536</v>
      </c>
      <c r="BQ498" s="720">
        <f>(BP509-BP510)/BP491</f>
        <v>0.62556242608684853</v>
      </c>
      <c r="BR498" s="714">
        <f>N498-BP507</f>
        <v>30.840000000000032</v>
      </c>
      <c r="BS498" s="693">
        <f>BP509-BP510</f>
        <v>64.75</v>
      </c>
      <c r="BT498" s="693">
        <f t="shared" si="465"/>
        <v>47.62934362934368</v>
      </c>
      <c r="BU498" s="668">
        <f t="shared" si="466"/>
        <v>29.795127753696416</v>
      </c>
      <c r="BV498" s="650">
        <v>850</v>
      </c>
      <c r="BW498" s="620">
        <v>103.50685607036536</v>
      </c>
      <c r="BX498" s="720">
        <f>(BW509-BW510)/BW491</f>
        <v>1.0616688031302517</v>
      </c>
      <c r="BY498" s="714">
        <f>S498-BW507</f>
        <v>34.759999999999991</v>
      </c>
      <c r="BZ498" s="693">
        <f>BW509-BW510</f>
        <v>109.89000000000001</v>
      </c>
      <c r="CA498" s="693">
        <f t="shared" si="467"/>
        <v>31.631631631631617</v>
      </c>
      <c r="CB498" s="668">
        <f t="shared" si="468"/>
        <v>33.582316495411348</v>
      </c>
      <c r="CC498" s="560"/>
    </row>
    <row r="499" spans="1:81" ht="15.75">
      <c r="A499" s="564"/>
      <c r="B499" s="585" t="s">
        <v>116</v>
      </c>
      <c r="C499" s="559">
        <v>950</v>
      </c>
      <c r="D499" s="559">
        <v>406.59</v>
      </c>
      <c r="E499" s="652">
        <v>5.61</v>
      </c>
      <c r="F499" s="652">
        <v>4.42</v>
      </c>
      <c r="G499" s="653">
        <v>4.6100000000000003</v>
      </c>
      <c r="H499" s="559">
        <v>950</v>
      </c>
      <c r="I499" s="559">
        <v>419.98</v>
      </c>
      <c r="J499" s="260">
        <v>3.32</v>
      </c>
      <c r="K499" s="260">
        <v>3.36</v>
      </c>
      <c r="L499" s="548">
        <v>3.36</v>
      </c>
      <c r="M499" s="559">
        <v>950</v>
      </c>
      <c r="N499" s="639">
        <v>382.78</v>
      </c>
      <c r="O499" s="562">
        <v>9.1999999999999993</v>
      </c>
      <c r="P499" s="562">
        <v>9.69</v>
      </c>
      <c r="Q499" s="588">
        <v>7.85</v>
      </c>
      <c r="R499" s="559">
        <v>950</v>
      </c>
      <c r="S499" s="639">
        <v>430.22</v>
      </c>
      <c r="T499" s="639">
        <v>2.13</v>
      </c>
      <c r="U499" s="639">
        <v>2.23</v>
      </c>
      <c r="V499" s="654">
        <v>2.5099999999999998</v>
      </c>
      <c r="W499" s="564"/>
      <c r="X499" s="650">
        <v>950</v>
      </c>
      <c r="Y499" s="651">
        <f t="shared" si="445"/>
        <v>0.48799999999999999</v>
      </c>
      <c r="Z499" s="620">
        <v>9.6440000000000001</v>
      </c>
      <c r="AA499" s="620">
        <v>4.5170000000000003</v>
      </c>
      <c r="AB499" s="620">
        <f t="shared" si="446"/>
        <v>4.6389999999999993</v>
      </c>
      <c r="AC499" s="620">
        <f t="shared" si="447"/>
        <v>33.937000000000005</v>
      </c>
      <c r="AD499" s="653">
        <f t="shared" si="448"/>
        <v>198.63336637438496</v>
      </c>
      <c r="AE499" s="650">
        <v>950</v>
      </c>
      <c r="AF499" s="620">
        <f t="shared" si="449"/>
        <v>0.33466666666666661</v>
      </c>
      <c r="AG499" s="620">
        <v>9.6440000000000001</v>
      </c>
      <c r="AH499" s="620">
        <v>4.5170000000000003</v>
      </c>
      <c r="AI499" s="620">
        <f t="shared" si="450"/>
        <v>4.7923333333333336</v>
      </c>
      <c r="AJ499" s="620">
        <f t="shared" si="451"/>
        <v>33.783666666666669</v>
      </c>
      <c r="AK499" s="653">
        <f t="shared" si="452"/>
        <v>204.27169067325167</v>
      </c>
      <c r="AL499" s="650">
        <v>950</v>
      </c>
      <c r="AM499" s="620">
        <f t="shared" si="453"/>
        <v>0.89133333333333342</v>
      </c>
      <c r="AN499" s="620">
        <v>9.6440000000000001</v>
      </c>
      <c r="AO499" s="620">
        <v>4.5170000000000003</v>
      </c>
      <c r="AP499" s="620">
        <f t="shared" si="454"/>
        <v>4.235666666666666</v>
      </c>
      <c r="AQ499" s="620">
        <f t="shared" si="455"/>
        <v>34.340333333333341</v>
      </c>
      <c r="AR499" s="698">
        <f t="shared" si="456"/>
        <v>183.51884345785166</v>
      </c>
      <c r="AS499" s="650">
        <v>950</v>
      </c>
      <c r="AT499" s="620">
        <f t="shared" si="457"/>
        <v>0.22899999999999995</v>
      </c>
      <c r="AU499" s="620">
        <v>9.6440000000000001</v>
      </c>
      <c r="AV499" s="620">
        <v>4.5170000000000003</v>
      </c>
      <c r="AW499" s="620">
        <f t="shared" si="458"/>
        <v>4.8979999999999997</v>
      </c>
      <c r="AX499" s="620">
        <f t="shared" si="459"/>
        <v>33.678000000000004</v>
      </c>
      <c r="AY499" s="698">
        <f t="shared" si="460"/>
        <v>208.12270190057998</v>
      </c>
      <c r="AZ499" s="75"/>
      <c r="BA499" s="650">
        <v>950</v>
      </c>
      <c r="BB499" s="620">
        <v>103.50685607036536</v>
      </c>
      <c r="BC499" s="720">
        <f>(BB509-BB510)/BB491</f>
        <v>0.84371222656624678</v>
      </c>
      <c r="BD499" s="714">
        <f>D499-BB507</f>
        <v>32.529999999999973</v>
      </c>
      <c r="BE499" s="693">
        <f>BB509-BB510</f>
        <v>87.33</v>
      </c>
      <c r="BF499" s="693">
        <f t="shared" si="461"/>
        <v>37.249513340203791</v>
      </c>
      <c r="BG499" s="668">
        <f t="shared" si="462"/>
        <v>31.427869838772452</v>
      </c>
      <c r="BH499" s="650">
        <v>950</v>
      </c>
      <c r="BI499" s="620">
        <v>103.50685607036536</v>
      </c>
      <c r="BJ499" s="720">
        <f>(BI509-BI510)/BI491</f>
        <v>0.95153117135588738</v>
      </c>
      <c r="BK499" s="714">
        <f>I499-BI507</f>
        <v>33.850000000000023</v>
      </c>
      <c r="BL499" s="693">
        <f>BI509-BI510</f>
        <v>98.49</v>
      </c>
      <c r="BM499" s="693">
        <f t="shared" si="463"/>
        <v>34.368971469184714</v>
      </c>
      <c r="BN499" s="668">
        <f t="shared" si="464"/>
        <v>32.703147680370407</v>
      </c>
      <c r="BO499" s="650">
        <v>950</v>
      </c>
      <c r="BP499" s="681">
        <v>103.50685607036536</v>
      </c>
      <c r="BQ499" s="720">
        <f>(BP509-BP510)/BP491</f>
        <v>0.62556242608684853</v>
      </c>
      <c r="BR499" s="714">
        <f>N499-BP507</f>
        <v>30.009999999999991</v>
      </c>
      <c r="BS499" s="693">
        <f>BP509-BP510</f>
        <v>64.75</v>
      </c>
      <c r="BT499" s="693">
        <f t="shared" si="465"/>
        <v>46.347490347490336</v>
      </c>
      <c r="BU499" s="668">
        <f t="shared" si="466"/>
        <v>28.993248504812851</v>
      </c>
      <c r="BV499" s="650">
        <v>950</v>
      </c>
      <c r="BW499" s="620">
        <v>103.50685607036536</v>
      </c>
      <c r="BX499" s="720">
        <f>(BW509-BW510)/BW491</f>
        <v>1.0616688031302517</v>
      </c>
      <c r="BY499" s="714">
        <f>S499-BW507</f>
        <v>33.850000000000023</v>
      </c>
      <c r="BZ499" s="693">
        <f>BW509-BW510</f>
        <v>109.89000000000001</v>
      </c>
      <c r="CA499" s="693">
        <f t="shared" si="467"/>
        <v>30.803530803530819</v>
      </c>
      <c r="CB499" s="668">
        <f t="shared" si="468"/>
        <v>32.703147680370407</v>
      </c>
      <c r="CC499" s="560"/>
    </row>
    <row r="500" spans="1:81" ht="15.75">
      <c r="A500" s="564"/>
      <c r="B500" s="585" t="s">
        <v>116</v>
      </c>
      <c r="C500" s="559">
        <v>1000</v>
      </c>
      <c r="D500" s="559">
        <v>405.92</v>
      </c>
      <c r="E500" s="652">
        <v>3.48</v>
      </c>
      <c r="F500" s="652">
        <v>3.83</v>
      </c>
      <c r="G500" s="653">
        <v>3.66</v>
      </c>
      <c r="H500" s="559">
        <v>1000</v>
      </c>
      <c r="I500" s="559">
        <v>419.39</v>
      </c>
      <c r="J500" s="260">
        <v>3.02</v>
      </c>
      <c r="K500" s="260">
        <v>2.71</v>
      </c>
      <c r="L500" s="548">
        <v>1.45</v>
      </c>
      <c r="M500" s="559">
        <v>1000</v>
      </c>
      <c r="N500" s="562">
        <v>382.24</v>
      </c>
      <c r="O500" s="639">
        <v>8.73</v>
      </c>
      <c r="P500" s="562">
        <v>6.75</v>
      </c>
      <c r="Q500" s="588">
        <v>8.7200000000000006</v>
      </c>
      <c r="R500" s="559">
        <v>1000</v>
      </c>
      <c r="S500" s="639">
        <v>429.68</v>
      </c>
      <c r="T500" s="639">
        <v>1.91</v>
      </c>
      <c r="U500" s="639">
        <v>1.6</v>
      </c>
      <c r="V500" s="654">
        <v>2.33</v>
      </c>
      <c r="W500" s="564"/>
      <c r="X500" s="650">
        <v>1000</v>
      </c>
      <c r="Y500" s="651">
        <f t="shared" si="445"/>
        <v>0.3656666666666667</v>
      </c>
      <c r="Z500" s="620">
        <v>9.6440000000000001</v>
      </c>
      <c r="AA500" s="620">
        <v>4.5170000000000003</v>
      </c>
      <c r="AB500" s="620">
        <f t="shared" si="446"/>
        <v>4.761333333333333</v>
      </c>
      <c r="AC500" s="620">
        <f t="shared" si="447"/>
        <v>33.814666666666675</v>
      </c>
      <c r="AD500" s="653">
        <f t="shared" si="448"/>
        <v>225.08205357866666</v>
      </c>
      <c r="AE500" s="650">
        <v>1000</v>
      </c>
      <c r="AF500" s="620">
        <f t="shared" si="449"/>
        <v>0.23933333333333334</v>
      </c>
      <c r="AG500" s="620">
        <v>9.6440000000000001</v>
      </c>
      <c r="AH500" s="620">
        <v>4.5170000000000003</v>
      </c>
      <c r="AI500" s="620">
        <f t="shared" si="450"/>
        <v>4.8876666666666662</v>
      </c>
      <c r="AJ500" s="620">
        <f t="shared" si="451"/>
        <v>33.68833333333334</v>
      </c>
      <c r="AK500" s="653">
        <f t="shared" si="452"/>
        <v>230.19096675666663</v>
      </c>
      <c r="AL500" s="650">
        <v>1000</v>
      </c>
      <c r="AM500" s="620">
        <f>AVERAGE(P500:Q500)/10</f>
        <v>0.77350000000000008</v>
      </c>
      <c r="AN500" s="620">
        <v>9.6440000000000001</v>
      </c>
      <c r="AO500" s="620">
        <v>4.5170000000000003</v>
      </c>
      <c r="AP500" s="620">
        <f t="shared" si="454"/>
        <v>4.3534999999999995</v>
      </c>
      <c r="AQ500" s="620">
        <f t="shared" si="455"/>
        <v>34.222500000000004</v>
      </c>
      <c r="AR500" s="698">
        <f t="shared" si="456"/>
        <v>208.28473994249995</v>
      </c>
      <c r="AS500" s="650">
        <v>1000</v>
      </c>
      <c r="AT500" s="620">
        <f t="shared" si="457"/>
        <v>0.19466666666666665</v>
      </c>
      <c r="AU500" s="620">
        <v>9.6440000000000001</v>
      </c>
      <c r="AV500" s="620">
        <v>4.5170000000000003</v>
      </c>
      <c r="AW500" s="620">
        <f t="shared" si="458"/>
        <v>4.9323333333333332</v>
      </c>
      <c r="AX500" s="620">
        <f t="shared" si="459"/>
        <v>33.643666666666675</v>
      </c>
      <c r="AY500" s="698">
        <f t="shared" si="460"/>
        <v>231.98660642066665</v>
      </c>
      <c r="AZ500" s="75"/>
      <c r="BA500" s="650">
        <v>1000</v>
      </c>
      <c r="BB500" s="620">
        <v>103.50685607036536</v>
      </c>
      <c r="BC500" s="720">
        <f>(BB509-BB510)/BB491</f>
        <v>0.84371222656624678</v>
      </c>
      <c r="BD500" s="714">
        <f>D500-BB507</f>
        <v>31.860000000000014</v>
      </c>
      <c r="BE500" s="693">
        <f>BB509-BB510</f>
        <v>87.33</v>
      </c>
      <c r="BF500" s="693">
        <f t="shared" si="461"/>
        <v>36.482308485056699</v>
      </c>
      <c r="BG500" s="668">
        <f t="shared" si="462"/>
        <v>30.780569722203865</v>
      </c>
      <c r="BH500" s="650">
        <v>1000</v>
      </c>
      <c r="BI500" s="620">
        <v>103.50685607036536</v>
      </c>
      <c r="BJ500" s="720">
        <f>(BI509-BI510)/BI491</f>
        <v>0.95153117135588738</v>
      </c>
      <c r="BK500" s="714">
        <f>I500-BI507</f>
        <v>33.259999999999991</v>
      </c>
      <c r="BL500" s="693">
        <f>BI509-BI510</f>
        <v>98.49</v>
      </c>
      <c r="BM500" s="693">
        <f t="shared" si="463"/>
        <v>33.769925880800074</v>
      </c>
      <c r="BN500" s="668">
        <f t="shared" si="464"/>
        <v>32.133137129959188</v>
      </c>
      <c r="BO500" s="650">
        <v>1000</v>
      </c>
      <c r="BP500" s="681">
        <v>103.50685607036536</v>
      </c>
      <c r="BQ500" s="720">
        <f>(BP509-BP510)/BP491</f>
        <v>0.62556242608684853</v>
      </c>
      <c r="BR500" s="714">
        <f>N500-BP507</f>
        <v>29.470000000000027</v>
      </c>
      <c r="BS500" s="693">
        <f>BP509-BP510</f>
        <v>64.75</v>
      </c>
      <c r="BT500" s="693">
        <f t="shared" si="465"/>
        <v>45.513513513513551</v>
      </c>
      <c r="BU500" s="668">
        <f t="shared" si="466"/>
        <v>28.471543933250103</v>
      </c>
      <c r="BV500" s="650">
        <v>1000</v>
      </c>
      <c r="BW500" s="620">
        <v>103.50685607036536</v>
      </c>
      <c r="BX500" s="720">
        <f>(BW509-BW510)/BW491</f>
        <v>1.0616688031302517</v>
      </c>
      <c r="BY500" s="714">
        <f>S500-BW507</f>
        <v>33.31</v>
      </c>
      <c r="BZ500" s="693">
        <f>BW509-BW510</f>
        <v>109.89000000000001</v>
      </c>
      <c r="CA500" s="693">
        <f t="shared" si="467"/>
        <v>30.312130312130307</v>
      </c>
      <c r="CB500" s="668">
        <f t="shared" si="468"/>
        <v>32.181443108807606</v>
      </c>
      <c r="CC500" s="560"/>
    </row>
    <row r="501" spans="1:81" ht="15.75">
      <c r="A501" s="564"/>
      <c r="B501" s="585" t="s">
        <v>116</v>
      </c>
      <c r="C501" s="559">
        <v>1350</v>
      </c>
      <c r="D501" s="559">
        <v>403.87</v>
      </c>
      <c r="E501" s="652">
        <v>6.36</v>
      </c>
      <c r="F501" s="652">
        <v>4.67</v>
      </c>
      <c r="G501" s="653">
        <v>5.07</v>
      </c>
      <c r="H501" s="559">
        <v>1350</v>
      </c>
      <c r="I501" s="559">
        <v>417.77</v>
      </c>
      <c r="J501" s="620">
        <v>4</v>
      </c>
      <c r="K501" s="649">
        <v>4.1900000000000004</v>
      </c>
      <c r="L501" s="619">
        <v>3.65</v>
      </c>
      <c r="M501" s="559">
        <v>1350</v>
      </c>
      <c r="N501" s="639">
        <v>380.82</v>
      </c>
      <c r="O501" s="562">
        <v>8.9</v>
      </c>
      <c r="P501" s="562">
        <v>10.35</v>
      </c>
      <c r="Q501" s="654">
        <v>10.59</v>
      </c>
      <c r="R501" s="559">
        <v>1350</v>
      </c>
      <c r="S501" s="639">
        <v>427.89</v>
      </c>
      <c r="T501" s="639">
        <v>3.84</v>
      </c>
      <c r="U501" s="639">
        <v>3.69</v>
      </c>
      <c r="V501" s="654"/>
      <c r="W501" s="564"/>
      <c r="X501" s="650">
        <v>1350</v>
      </c>
      <c r="Y501" s="651">
        <f t="shared" si="445"/>
        <v>0.53666666666666674</v>
      </c>
      <c r="Z501" s="620">
        <v>9.6440000000000001</v>
      </c>
      <c r="AA501" s="620">
        <v>4.5170000000000003</v>
      </c>
      <c r="AB501" s="620">
        <f t="shared" si="446"/>
        <v>4.5903333333333327</v>
      </c>
      <c r="AC501" s="620">
        <f t="shared" si="447"/>
        <v>33.985666666666674</v>
      </c>
      <c r="AD501" s="653">
        <f t="shared" si="448"/>
        <v>397.47949143646497</v>
      </c>
      <c r="AE501" s="650">
        <v>1350</v>
      </c>
      <c r="AF501" s="620">
        <f t="shared" si="449"/>
        <v>0.39466666666666672</v>
      </c>
      <c r="AG501" s="620">
        <v>9.6440000000000001</v>
      </c>
      <c r="AH501" s="620">
        <v>4.5170000000000003</v>
      </c>
      <c r="AI501" s="620">
        <f t="shared" si="450"/>
        <v>4.7323333333333331</v>
      </c>
      <c r="AJ501" s="620">
        <f t="shared" si="451"/>
        <v>33.843666666666671</v>
      </c>
      <c r="AK501" s="653">
        <f t="shared" si="452"/>
        <v>408.06321316366501</v>
      </c>
      <c r="AL501" s="650">
        <v>1350</v>
      </c>
      <c r="AM501" s="620">
        <f t="shared" ref="AM501:AM503" si="469">AVERAGE(O501:Q501)/10</f>
        <v>0.9946666666666667</v>
      </c>
      <c r="AN501" s="620">
        <v>9.6440000000000001</v>
      </c>
      <c r="AO501" s="620">
        <v>4.5170000000000003</v>
      </c>
      <c r="AP501" s="620">
        <f t="shared" si="454"/>
        <v>4.1323333333333334</v>
      </c>
      <c r="AQ501" s="620">
        <f t="shared" si="455"/>
        <v>34.443666666666672</v>
      </c>
      <c r="AR501" s="698">
        <f t="shared" si="456"/>
        <v>362.643111649665</v>
      </c>
      <c r="AS501" s="650">
        <v>1350</v>
      </c>
      <c r="AT501" s="620">
        <f t="shared" si="457"/>
        <v>0.37649999999999995</v>
      </c>
      <c r="AU501" s="620">
        <v>9.6440000000000001</v>
      </c>
      <c r="AV501" s="620">
        <v>4.5170000000000003</v>
      </c>
      <c r="AW501" s="620">
        <f t="shared" si="458"/>
        <v>4.7504999999999997</v>
      </c>
      <c r="AX501" s="620">
        <f t="shared" si="459"/>
        <v>33.825500000000005</v>
      </c>
      <c r="AY501" s="698">
        <f t="shared" si="460"/>
        <v>409.40982042152621</v>
      </c>
      <c r="AZ501" s="75"/>
      <c r="BA501" s="650">
        <v>1350</v>
      </c>
      <c r="BB501" s="620">
        <v>103.50685607036536</v>
      </c>
      <c r="BC501" s="720">
        <f>(BB509-BB510)/BB491</f>
        <v>0.84371222656624678</v>
      </c>
      <c r="BD501" s="714">
        <f>D501-BB507</f>
        <v>29.810000000000002</v>
      </c>
      <c r="BE501" s="693">
        <f>BB509-BB510</f>
        <v>87.33</v>
      </c>
      <c r="BF501" s="693">
        <f t="shared" si="461"/>
        <v>34.1348906446811</v>
      </c>
      <c r="BG501" s="668">
        <f t="shared" si="462"/>
        <v>28.800024589419237</v>
      </c>
      <c r="BH501" s="650">
        <v>1350</v>
      </c>
      <c r="BI501" s="620">
        <v>103.50685607036536</v>
      </c>
      <c r="BJ501" s="720">
        <f>(BI509-BI510)/BI491</f>
        <v>0.95153117135588738</v>
      </c>
      <c r="BK501" s="714">
        <f>I501-BI507</f>
        <v>31.639999999999986</v>
      </c>
      <c r="BL501" s="693">
        <f>BI509-BI510</f>
        <v>98.49</v>
      </c>
      <c r="BM501" s="693">
        <f t="shared" si="463"/>
        <v>32.125088841506738</v>
      </c>
      <c r="BN501" s="668">
        <f t="shared" si="464"/>
        <v>30.568023415270854</v>
      </c>
      <c r="BO501" s="650">
        <v>1350</v>
      </c>
      <c r="BP501" s="681">
        <v>103.50685607036536</v>
      </c>
      <c r="BQ501" s="720">
        <f>(BP509-BP510)/BP491</f>
        <v>0.62556242608684853</v>
      </c>
      <c r="BR501" s="714">
        <f>N501-BP507</f>
        <v>28.050000000000011</v>
      </c>
      <c r="BS501" s="693">
        <f>BP509-BP510</f>
        <v>64.75</v>
      </c>
      <c r="BT501" s="693">
        <f t="shared" si="465"/>
        <v>43.32046332046334</v>
      </c>
      <c r="BU501" s="668">
        <f t="shared" si="466"/>
        <v>27.099654133955379</v>
      </c>
      <c r="BV501" s="650">
        <v>1350</v>
      </c>
      <c r="BW501" s="620">
        <v>103.50685607036536</v>
      </c>
      <c r="BX501" s="720">
        <f>(BW509-BW510)/BW491</f>
        <v>1.0616688031302517</v>
      </c>
      <c r="BY501" s="714">
        <f>S501-BW507</f>
        <v>31.519999999999982</v>
      </c>
      <c r="BZ501" s="693">
        <f>BW509-BW510</f>
        <v>109.89000000000001</v>
      </c>
      <c r="CA501" s="693">
        <f t="shared" si="467"/>
        <v>28.683228683228663</v>
      </c>
      <c r="CB501" s="668">
        <f t="shared" si="468"/>
        <v>30.452089066034681</v>
      </c>
      <c r="CC501" s="560"/>
    </row>
    <row r="502" spans="1:81" ht="15.75">
      <c r="A502" s="564"/>
      <c r="B502" s="585" t="s">
        <v>116</v>
      </c>
      <c r="C502" s="559">
        <v>2500</v>
      </c>
      <c r="D502" s="559">
        <v>399.53</v>
      </c>
      <c r="E502" s="652">
        <v>9.66</v>
      </c>
      <c r="F502" s="652">
        <v>9.51</v>
      </c>
      <c r="G502" s="653">
        <v>8.9499999999999993</v>
      </c>
      <c r="H502" s="559">
        <v>2500</v>
      </c>
      <c r="I502" s="559">
        <v>414.74</v>
      </c>
      <c r="J502" s="559">
        <v>6.7</v>
      </c>
      <c r="K502" s="649">
        <v>6.97</v>
      </c>
      <c r="L502" s="588">
        <v>6.39</v>
      </c>
      <c r="M502" s="559">
        <v>2500</v>
      </c>
      <c r="N502" s="639">
        <v>377.8</v>
      </c>
      <c r="O502" s="562">
        <v>15.11</v>
      </c>
      <c r="P502" s="562">
        <v>15.74</v>
      </c>
      <c r="Q502" s="588">
        <v>13.84</v>
      </c>
      <c r="R502" s="559">
        <v>2500</v>
      </c>
      <c r="S502" s="639">
        <v>423.73</v>
      </c>
      <c r="T502" s="639">
        <v>6.53</v>
      </c>
      <c r="U502" s="639">
        <v>6.59</v>
      </c>
      <c r="V502" s="654">
        <v>6.42</v>
      </c>
      <c r="W502" s="564"/>
      <c r="X502" s="650">
        <v>2500</v>
      </c>
      <c r="Y502" s="651">
        <f t="shared" si="445"/>
        <v>0.93733333333333335</v>
      </c>
      <c r="Z502" s="620">
        <v>9.6440000000000001</v>
      </c>
      <c r="AA502" s="620">
        <v>4.5170000000000003</v>
      </c>
      <c r="AB502" s="620">
        <f t="shared" si="446"/>
        <v>4.1896666666666667</v>
      </c>
      <c r="AC502" s="620">
        <f t="shared" si="447"/>
        <v>34.38633333333334</v>
      </c>
      <c r="AD502" s="653">
        <f t="shared" si="448"/>
        <v>1258.7878114291668</v>
      </c>
      <c r="AE502" s="650">
        <v>2500</v>
      </c>
      <c r="AF502" s="620">
        <f t="shared" si="449"/>
        <v>0.66866666666666663</v>
      </c>
      <c r="AG502" s="620">
        <v>9.6440000000000001</v>
      </c>
      <c r="AH502" s="620">
        <v>4.5170000000000003</v>
      </c>
      <c r="AI502" s="620">
        <f t="shared" si="450"/>
        <v>4.458333333333333</v>
      </c>
      <c r="AJ502" s="620">
        <f t="shared" si="451"/>
        <v>34.117666666666672</v>
      </c>
      <c r="AK502" s="653">
        <f t="shared" si="452"/>
        <v>1329.0430432291666</v>
      </c>
      <c r="AL502" s="650">
        <v>2500</v>
      </c>
      <c r="AM502" s="620">
        <f t="shared" si="469"/>
        <v>1.4896666666666667</v>
      </c>
      <c r="AN502" s="620">
        <v>9.6440000000000001</v>
      </c>
      <c r="AO502" s="620">
        <v>4.5170000000000003</v>
      </c>
      <c r="AP502" s="620">
        <f t="shared" si="454"/>
        <v>3.6373333333333333</v>
      </c>
      <c r="AQ502" s="620">
        <f t="shared" si="455"/>
        <v>34.93866666666667</v>
      </c>
      <c r="AR502" s="698">
        <f t="shared" si="456"/>
        <v>1110.3927530666665</v>
      </c>
      <c r="AS502" s="650">
        <v>2500</v>
      </c>
      <c r="AT502" s="620">
        <f t="shared" si="457"/>
        <v>0.65133333333333332</v>
      </c>
      <c r="AU502" s="620">
        <v>9.6440000000000001</v>
      </c>
      <c r="AV502" s="620">
        <v>4.5170000000000003</v>
      </c>
      <c r="AW502" s="620">
        <f t="shared" si="458"/>
        <v>4.4756666666666662</v>
      </c>
      <c r="AX502" s="620">
        <f t="shared" si="459"/>
        <v>34.100333333333339</v>
      </c>
      <c r="AY502" s="698">
        <f t="shared" si="460"/>
        <v>1333.5323241291665</v>
      </c>
      <c r="AZ502" s="75"/>
      <c r="BA502" s="650">
        <v>2500</v>
      </c>
      <c r="BB502" s="620">
        <v>103.50685607036536</v>
      </c>
      <c r="BC502" s="720">
        <f>(BB509-BB510)/BB491</f>
        <v>0.84371222656624678</v>
      </c>
      <c r="BD502" s="714">
        <f>D502-BB507</f>
        <v>25.46999999999997</v>
      </c>
      <c r="BE502" s="693">
        <f>BB509-BB510</f>
        <v>87.33</v>
      </c>
      <c r="BF502" s="693">
        <f t="shared" si="461"/>
        <v>29.165235314324939</v>
      </c>
      <c r="BG502" s="668">
        <f t="shared" si="462"/>
        <v>24.607065625377626</v>
      </c>
      <c r="BH502" s="650">
        <v>2500</v>
      </c>
      <c r="BI502" s="620">
        <v>103.50685607036536</v>
      </c>
      <c r="BJ502" s="720">
        <f>(BI509-BI510)/BI491</f>
        <v>0.95153117135588738</v>
      </c>
      <c r="BK502" s="714">
        <f>I502-BI507</f>
        <v>28.610000000000014</v>
      </c>
      <c r="BL502" s="693">
        <f>BI509-BI510</f>
        <v>98.49</v>
      </c>
      <c r="BM502" s="693">
        <f t="shared" si="463"/>
        <v>29.048634379124799</v>
      </c>
      <c r="BN502" s="668">
        <f t="shared" si="464"/>
        <v>27.64068109705752</v>
      </c>
      <c r="BO502" s="650">
        <v>2500</v>
      </c>
      <c r="BP502" s="681">
        <v>103.50685607036536</v>
      </c>
      <c r="BQ502" s="720">
        <f>(BP509-BP510)/BP491</f>
        <v>0.62556242608684853</v>
      </c>
      <c r="BR502" s="714">
        <f>N502-BP507</f>
        <v>25.03000000000003</v>
      </c>
      <c r="BS502" s="693">
        <f>BP509-BP510</f>
        <v>64.75</v>
      </c>
      <c r="BT502" s="693">
        <f t="shared" si="465"/>
        <v>38.656370656370704</v>
      </c>
      <c r="BU502" s="668">
        <f t="shared" si="466"/>
        <v>24.181973011511719</v>
      </c>
      <c r="BV502" s="650">
        <v>2500</v>
      </c>
      <c r="BW502" s="620">
        <v>103.50685607036536</v>
      </c>
      <c r="BX502" s="720">
        <f>(BW509-BW510)/BW491</f>
        <v>1.0616688031302517</v>
      </c>
      <c r="BY502" s="714">
        <f>S502-BW507</f>
        <v>27.360000000000014</v>
      </c>
      <c r="BZ502" s="693">
        <f>BW509-BW510</f>
        <v>109.89000000000001</v>
      </c>
      <c r="CA502" s="693">
        <f t="shared" si="467"/>
        <v>24.897624897624908</v>
      </c>
      <c r="CB502" s="668">
        <f t="shared" si="468"/>
        <v>26.433031625847391</v>
      </c>
      <c r="CC502" s="560"/>
    </row>
    <row r="503" spans="1:81" ht="15.75">
      <c r="A503" s="564"/>
      <c r="B503" s="585" t="s">
        <v>116</v>
      </c>
      <c r="C503" s="559">
        <v>5000</v>
      </c>
      <c r="D503" s="559">
        <v>397.45</v>
      </c>
      <c r="E503" s="652">
        <v>15.6</v>
      </c>
      <c r="F503" s="652">
        <v>13.92</v>
      </c>
      <c r="G503" s="653">
        <v>14.01</v>
      </c>
      <c r="H503" s="559">
        <v>5000</v>
      </c>
      <c r="I503" s="559">
        <v>413.95</v>
      </c>
      <c r="J503" s="559">
        <v>10.66</v>
      </c>
      <c r="K503" s="649">
        <v>11.64</v>
      </c>
      <c r="L503" s="588">
        <v>10.94</v>
      </c>
      <c r="M503" s="559">
        <v>5000</v>
      </c>
      <c r="N503" s="639">
        <v>374.56</v>
      </c>
      <c r="O503" s="562">
        <v>19.59</v>
      </c>
      <c r="P503" s="562">
        <v>20.56</v>
      </c>
      <c r="Q503" s="588">
        <v>20.85</v>
      </c>
      <c r="R503" s="559">
        <v>5000</v>
      </c>
      <c r="S503" s="639">
        <v>420.19</v>
      </c>
      <c r="T503" s="639">
        <v>10.050000000000001</v>
      </c>
      <c r="U503" s="639">
        <v>10.33</v>
      </c>
      <c r="V503" s="654">
        <v>9.8699999999999992</v>
      </c>
      <c r="W503" s="564"/>
      <c r="X503" s="650">
        <v>5000</v>
      </c>
      <c r="Y503" s="651">
        <f t="shared" si="445"/>
        <v>1.4510000000000001</v>
      </c>
      <c r="Z503" s="620">
        <v>9.6440000000000001</v>
      </c>
      <c r="AA503" s="620">
        <v>4.5170000000000003</v>
      </c>
      <c r="AB503" s="620">
        <f t="shared" si="446"/>
        <v>3.6760000000000002</v>
      </c>
      <c r="AC503" s="620">
        <f t="shared" si="447"/>
        <v>34.900000000000006</v>
      </c>
      <c r="AD503" s="653">
        <f t="shared" si="448"/>
        <v>4483.8193799999999</v>
      </c>
      <c r="AE503" s="650">
        <v>5000</v>
      </c>
      <c r="AF503" s="620">
        <f t="shared" si="449"/>
        <v>1.1080000000000001</v>
      </c>
      <c r="AG503" s="620">
        <v>9.6440000000000001</v>
      </c>
      <c r="AH503" s="620">
        <v>4.5170000000000003</v>
      </c>
      <c r="AI503" s="620">
        <f t="shared" si="450"/>
        <v>4.0190000000000001</v>
      </c>
      <c r="AJ503" s="620">
        <f t="shared" si="451"/>
        <v>34.557000000000002</v>
      </c>
      <c r="AK503" s="653">
        <f t="shared" si="452"/>
        <v>4854.0161758499999</v>
      </c>
      <c r="AL503" s="650">
        <v>5000</v>
      </c>
      <c r="AM503" s="620">
        <f t="shared" si="469"/>
        <v>2.0333333333333332</v>
      </c>
      <c r="AN503" s="620">
        <v>9.6440000000000001</v>
      </c>
      <c r="AO503" s="620">
        <v>4.5170000000000003</v>
      </c>
      <c r="AP503" s="620">
        <f t="shared" si="454"/>
        <v>3.0936666666666666</v>
      </c>
      <c r="AQ503" s="620">
        <f t="shared" si="455"/>
        <v>35.482333333333337</v>
      </c>
      <c r="AR503" s="698">
        <f t="shared" si="456"/>
        <v>3836.4793905166666</v>
      </c>
      <c r="AS503" s="650">
        <v>5000</v>
      </c>
      <c r="AT503" s="620">
        <f t="shared" si="457"/>
        <v>1.0083333333333333</v>
      </c>
      <c r="AU503" s="620">
        <v>9.6440000000000001</v>
      </c>
      <c r="AV503" s="620">
        <v>4.5170000000000003</v>
      </c>
      <c r="AW503" s="620">
        <f t="shared" si="458"/>
        <v>4.118666666666666</v>
      </c>
      <c r="AX503" s="620">
        <f t="shared" si="459"/>
        <v>34.457333333333338</v>
      </c>
      <c r="AY503" s="698">
        <f t="shared" si="460"/>
        <v>4960.0435442666658</v>
      </c>
      <c r="AZ503" s="75"/>
      <c r="BA503" s="650">
        <v>5000</v>
      </c>
      <c r="BB503" s="620">
        <v>103.50685607036536</v>
      </c>
      <c r="BC503" s="720">
        <f>(BB509-BB510)/BB491</f>
        <v>0.84371222656624678</v>
      </c>
      <c r="BD503" s="714">
        <f>D503-BB507</f>
        <v>23.389999999999986</v>
      </c>
      <c r="BE503" s="693">
        <f>BB509-BB510</f>
        <v>87.33</v>
      </c>
      <c r="BF503" s="693">
        <f t="shared" si="461"/>
        <v>26.783465017748753</v>
      </c>
      <c r="BG503" s="668">
        <f t="shared" si="462"/>
        <v>22.597536905283981</v>
      </c>
      <c r="BH503" s="650">
        <v>5000</v>
      </c>
      <c r="BI503" s="620">
        <v>103.50685607036536</v>
      </c>
      <c r="BJ503" s="720">
        <f>(BI509-BI510)/BI491</f>
        <v>0.95153117135588738</v>
      </c>
      <c r="BK503" s="714">
        <f>I503-BI507</f>
        <v>27.819999999999993</v>
      </c>
      <c r="BL503" s="693">
        <f>BI509-BI510</f>
        <v>98.49</v>
      </c>
      <c r="BM503" s="693">
        <f t="shared" si="463"/>
        <v>28.246522489592845</v>
      </c>
      <c r="BN503" s="668">
        <f t="shared" si="464"/>
        <v>26.877446631252695</v>
      </c>
      <c r="BO503" s="650">
        <v>5000</v>
      </c>
      <c r="BP503" s="681">
        <v>103.50685607036536</v>
      </c>
      <c r="BQ503" s="720">
        <f>(BP509-BP510)/BP491</f>
        <v>0.62556242608684853</v>
      </c>
      <c r="BR503" s="714">
        <f>N503-BP507</f>
        <v>21.79000000000002</v>
      </c>
      <c r="BS503" s="693">
        <f>BP509-BP510</f>
        <v>64.75</v>
      </c>
      <c r="BT503" s="693">
        <f t="shared" si="465"/>
        <v>33.652509652509686</v>
      </c>
      <c r="BU503" s="668">
        <f t="shared" si="466"/>
        <v>21.051745582135048</v>
      </c>
      <c r="BV503" s="650">
        <v>5000</v>
      </c>
      <c r="BW503" s="620">
        <v>103.50685607036536</v>
      </c>
      <c r="BX503" s="720">
        <f>(BW509-BW510)/BW491</f>
        <v>1.0616688031302517</v>
      </c>
      <c r="BY503" s="714">
        <f>S503-BW507</f>
        <v>23.819999999999993</v>
      </c>
      <c r="BZ503" s="693">
        <f>BW509-BW510</f>
        <v>109.89000000000001</v>
      </c>
      <c r="CA503" s="693">
        <f t="shared" si="467"/>
        <v>21.676221676221665</v>
      </c>
      <c r="CB503" s="668">
        <f t="shared" si="468"/>
        <v>23.012968323380274</v>
      </c>
      <c r="CC503" s="560"/>
    </row>
    <row r="504" spans="1:81" ht="15.75">
      <c r="A504" s="564"/>
      <c r="B504" s="585" t="s">
        <v>116</v>
      </c>
      <c r="C504" s="559">
        <v>7000</v>
      </c>
      <c r="D504" s="559">
        <v>395.16</v>
      </c>
      <c r="E504" s="652">
        <v>17.13</v>
      </c>
      <c r="F504" s="652">
        <v>16.350000000000001</v>
      </c>
      <c r="G504" s="653">
        <v>16.2</v>
      </c>
      <c r="H504" s="559">
        <v>7000</v>
      </c>
      <c r="I504" s="655">
        <v>412.54</v>
      </c>
      <c r="J504" s="559">
        <v>13.7</v>
      </c>
      <c r="K504" s="649">
        <v>14.23</v>
      </c>
      <c r="L504" s="588">
        <v>13.54</v>
      </c>
      <c r="M504" s="559">
        <v>7000</v>
      </c>
      <c r="N504" s="639">
        <v>373.23</v>
      </c>
      <c r="O504" s="639">
        <v>22.03</v>
      </c>
      <c r="P504" s="562">
        <v>22.5</v>
      </c>
      <c r="Q504" s="588">
        <v>21.56</v>
      </c>
      <c r="R504" s="559">
        <v>7000</v>
      </c>
      <c r="S504" s="639">
        <v>418.13</v>
      </c>
      <c r="T504" s="639">
        <v>11.79</v>
      </c>
      <c r="U504" s="639">
        <v>12.13</v>
      </c>
      <c r="V504" s="654">
        <v>11.89</v>
      </c>
      <c r="W504" s="564"/>
      <c r="X504" s="650">
        <v>7000</v>
      </c>
      <c r="Y504" s="651">
        <f t="shared" si="445"/>
        <v>1.6560000000000001</v>
      </c>
      <c r="Z504" s="620">
        <v>9.6440000000000001</v>
      </c>
      <c r="AA504" s="620">
        <v>4.5170000000000003</v>
      </c>
      <c r="AB504" s="620">
        <f t="shared" si="446"/>
        <v>3.4710000000000001</v>
      </c>
      <c r="AC504" s="620">
        <f t="shared" si="447"/>
        <v>35.105000000000004</v>
      </c>
      <c r="AD504" s="653">
        <f t="shared" si="448"/>
        <v>8346.9313664100009</v>
      </c>
      <c r="AE504" s="650">
        <v>7000</v>
      </c>
      <c r="AF504" s="620">
        <f t="shared" si="449"/>
        <v>1.3823333333333332</v>
      </c>
      <c r="AG504" s="620">
        <v>9.6440000000000001</v>
      </c>
      <c r="AH504" s="620">
        <v>4.5170000000000003</v>
      </c>
      <c r="AI504" s="620">
        <f t="shared" si="450"/>
        <v>3.7446666666666664</v>
      </c>
      <c r="AJ504" s="620">
        <f t="shared" si="451"/>
        <v>34.83133333333334</v>
      </c>
      <c r="AK504" s="653">
        <f t="shared" si="452"/>
        <v>8934.8345663546661</v>
      </c>
      <c r="AL504" s="650">
        <v>7000</v>
      </c>
      <c r="AM504" s="620">
        <f>AVERAGE(O504:Q504)/10</f>
        <v>2.2030000000000003</v>
      </c>
      <c r="AN504" s="620">
        <v>9.6440000000000001</v>
      </c>
      <c r="AO504" s="620">
        <v>4.5170000000000003</v>
      </c>
      <c r="AP504" s="620">
        <f t="shared" si="454"/>
        <v>2.9239999999999995</v>
      </c>
      <c r="AQ504" s="620">
        <f t="shared" si="455"/>
        <v>35.652000000000008</v>
      </c>
      <c r="AR504" s="698">
        <f t="shared" si="456"/>
        <v>7141.0901808959998</v>
      </c>
      <c r="AS504" s="650">
        <v>7000</v>
      </c>
      <c r="AT504" s="620">
        <f t="shared" si="457"/>
        <v>1.1936666666666667</v>
      </c>
      <c r="AU504" s="620">
        <v>9.6440000000000001</v>
      </c>
      <c r="AV504" s="620">
        <v>4.5170000000000003</v>
      </c>
      <c r="AW504" s="620">
        <f t="shared" si="458"/>
        <v>3.9333333333333336</v>
      </c>
      <c r="AX504" s="620">
        <f t="shared" si="459"/>
        <v>34.64266666666667</v>
      </c>
      <c r="AY504" s="698">
        <f t="shared" si="460"/>
        <v>9334.1616778666667</v>
      </c>
      <c r="AZ504" s="75"/>
      <c r="BA504" s="650">
        <v>7000</v>
      </c>
      <c r="BB504" s="620">
        <v>103.50685607036536</v>
      </c>
      <c r="BC504" s="720">
        <f>(BB509-BB510)/BB491</f>
        <v>0.84371222656624678</v>
      </c>
      <c r="BD504" s="714">
        <f>D504-BB507</f>
        <v>21.100000000000023</v>
      </c>
      <c r="BE504" s="693">
        <f>BB509-BB510</f>
        <v>87.33</v>
      </c>
      <c r="BF504" s="693">
        <f t="shared" si="461"/>
        <v>24.161227527768261</v>
      </c>
      <c r="BG504" s="668">
        <f t="shared" si="462"/>
        <v>20.385123074027053</v>
      </c>
      <c r="BH504" s="650">
        <v>7000</v>
      </c>
      <c r="BI504" s="620">
        <v>103.50685607036536</v>
      </c>
      <c r="BJ504" s="720">
        <f>(BI509-BI510)/BI491</f>
        <v>0.95153117135588738</v>
      </c>
      <c r="BK504" s="714">
        <f>I504-BI507</f>
        <v>26.410000000000025</v>
      </c>
      <c r="BL504" s="693">
        <f>BI509-BI510</f>
        <v>98.49</v>
      </c>
      <c r="BM504" s="693">
        <f t="shared" si="463"/>
        <v>26.814905066504242</v>
      </c>
      <c r="BN504" s="668">
        <f t="shared" si="464"/>
        <v>25.515218027727702</v>
      </c>
      <c r="BO504" s="650">
        <v>7000</v>
      </c>
      <c r="BP504" s="681">
        <v>103.50685607036536</v>
      </c>
      <c r="BQ504" s="720">
        <f>(BP509-BP510)/BP491</f>
        <v>0.62556242608684853</v>
      </c>
      <c r="BR504" s="714">
        <f>N504-BP507</f>
        <v>20.460000000000036</v>
      </c>
      <c r="BS504" s="693">
        <f>BP509-BP510</f>
        <v>64.75</v>
      </c>
      <c r="BT504" s="693">
        <f t="shared" si="465"/>
        <v>31.598455598455654</v>
      </c>
      <c r="BU504" s="668">
        <f t="shared" si="466"/>
        <v>19.76680654476748</v>
      </c>
      <c r="BV504" s="650">
        <v>7000</v>
      </c>
      <c r="BW504" s="620">
        <v>103.50685607036536</v>
      </c>
      <c r="BX504" s="720">
        <f>(BW509-BW510)/BW491</f>
        <v>1.0616688031302517</v>
      </c>
      <c r="BY504" s="714">
        <f>S504-BW507</f>
        <v>21.759999999999991</v>
      </c>
      <c r="BZ504" s="693">
        <f>BW509-BW510</f>
        <v>109.89000000000001</v>
      </c>
      <c r="CA504" s="693">
        <f t="shared" si="467"/>
        <v>19.80161980161979</v>
      </c>
      <c r="CB504" s="668">
        <f t="shared" si="468"/>
        <v>21.022761994825974</v>
      </c>
      <c r="CC504" s="560"/>
    </row>
    <row r="505" spans="1:81" ht="15.75">
      <c r="A505" s="564"/>
      <c r="B505" s="585" t="s">
        <v>116</v>
      </c>
      <c r="C505" s="559">
        <v>9000</v>
      </c>
      <c r="D505" s="559">
        <v>393.04</v>
      </c>
      <c r="E505" s="27">
        <v>19.329999999999998</v>
      </c>
      <c r="F505" s="27">
        <v>18.82</v>
      </c>
      <c r="G505" s="94">
        <v>18.3</v>
      </c>
      <c r="H505" s="559">
        <v>9000</v>
      </c>
      <c r="I505" s="559">
        <v>411.5</v>
      </c>
      <c r="J505" s="559">
        <v>15.61</v>
      </c>
      <c r="K505" s="649">
        <v>15.52</v>
      </c>
      <c r="L505" s="588">
        <v>15.91</v>
      </c>
      <c r="M505" s="559">
        <v>9000</v>
      </c>
      <c r="N505" s="639">
        <v>371.54</v>
      </c>
      <c r="O505" s="639">
        <v>24.75</v>
      </c>
      <c r="P505" s="562">
        <v>24.83</v>
      </c>
      <c r="Q505" s="588">
        <v>24.57</v>
      </c>
      <c r="R505" s="559">
        <v>9000</v>
      </c>
      <c r="S505" s="639">
        <v>416.51</v>
      </c>
      <c r="T505" s="639">
        <v>13.23</v>
      </c>
      <c r="U505" s="639">
        <v>13.66</v>
      </c>
      <c r="V505" s="654">
        <v>13.47</v>
      </c>
      <c r="W505" s="564"/>
      <c r="X505" s="650">
        <v>9000</v>
      </c>
      <c r="Y505" s="651">
        <f t="shared" si="445"/>
        <v>1.8816666666666666</v>
      </c>
      <c r="Z505" s="620">
        <v>9.6440000000000001</v>
      </c>
      <c r="AA505" s="620">
        <v>4.5170000000000003</v>
      </c>
      <c r="AB505" s="620">
        <f t="shared" si="446"/>
        <v>3.245333333333333</v>
      </c>
      <c r="AC505" s="620">
        <f t="shared" si="447"/>
        <v>35.330666666666673</v>
      </c>
      <c r="AD505" s="653">
        <f t="shared" si="448"/>
        <v>12983.845325184</v>
      </c>
      <c r="AE505" s="650">
        <v>9000</v>
      </c>
      <c r="AF505" s="620">
        <f t="shared" si="449"/>
        <v>1.5680000000000001</v>
      </c>
      <c r="AG505" s="620">
        <v>9.6440000000000001</v>
      </c>
      <c r="AH505" s="620">
        <v>4.5170000000000003</v>
      </c>
      <c r="AI505" s="620">
        <f t="shared" si="450"/>
        <v>3.5589999999999993</v>
      </c>
      <c r="AJ505" s="620">
        <f t="shared" si="451"/>
        <v>35.017000000000003</v>
      </c>
      <c r="AK505" s="653">
        <f t="shared" si="452"/>
        <v>14112.342708713995</v>
      </c>
      <c r="AL505" s="650">
        <v>9000</v>
      </c>
      <c r="AM505" s="620">
        <f>AVERAGE(O505:Q505)/10</f>
        <v>2.4716666666666667</v>
      </c>
      <c r="AN505" s="620">
        <v>9.6440000000000001</v>
      </c>
      <c r="AO505" s="620">
        <v>4.5170000000000003</v>
      </c>
      <c r="AP505" s="620">
        <f t="shared" si="454"/>
        <v>2.6553333333333331</v>
      </c>
      <c r="AQ505" s="620">
        <f t="shared" si="455"/>
        <v>35.920666666666669</v>
      </c>
      <c r="AR505" s="698">
        <f t="shared" si="456"/>
        <v>10800.792581543999</v>
      </c>
      <c r="AS505" s="650">
        <v>9000</v>
      </c>
      <c r="AT505" s="620">
        <f t="shared" si="457"/>
        <v>1.3453333333333333</v>
      </c>
      <c r="AU505" s="620">
        <v>9.6440000000000001</v>
      </c>
      <c r="AV505" s="620">
        <v>4.5170000000000003</v>
      </c>
      <c r="AW505" s="620">
        <f t="shared" si="458"/>
        <v>3.7816666666666663</v>
      </c>
      <c r="AX505" s="620">
        <f t="shared" si="459"/>
        <v>34.794333333333341</v>
      </c>
      <c r="AY505" s="698">
        <f t="shared" si="460"/>
        <v>14899.920648570002</v>
      </c>
      <c r="AZ505" s="75"/>
      <c r="BA505" s="650">
        <v>9000</v>
      </c>
      <c r="BB505" s="620">
        <v>103.50685607036536</v>
      </c>
      <c r="BC505" s="720">
        <f>(BB509-BB510)/BB491</f>
        <v>0.84371222656624678</v>
      </c>
      <c r="BD505" s="714">
        <f>D505-BB507</f>
        <v>18.980000000000018</v>
      </c>
      <c r="BE505" s="693">
        <f>BB509-BB510</f>
        <v>87.33</v>
      </c>
      <c r="BF505" s="693">
        <f t="shared" si="461"/>
        <v>21.733653956257893</v>
      </c>
      <c r="BG505" s="668">
        <f t="shared" si="462"/>
        <v>18.336949570854664</v>
      </c>
      <c r="BH505" s="650">
        <v>9000</v>
      </c>
      <c r="BI505" s="620">
        <v>103.50685607036536</v>
      </c>
      <c r="BJ505" s="720">
        <f>(BI509-BI510)/BI491</f>
        <v>0.95153117135588738</v>
      </c>
      <c r="BK505" s="714">
        <f>I505-BI507</f>
        <v>25.370000000000005</v>
      </c>
      <c r="BL505" s="693">
        <f>BI509-BI510</f>
        <v>98.49</v>
      </c>
      <c r="BM505" s="693">
        <f t="shared" si="463"/>
        <v>25.758960300538131</v>
      </c>
      <c r="BN505" s="668">
        <f t="shared" si="464"/>
        <v>24.510453667680849</v>
      </c>
      <c r="BO505" s="650">
        <v>9000</v>
      </c>
      <c r="BP505" s="681">
        <v>103.50685607036536</v>
      </c>
      <c r="BQ505" s="720">
        <f>(BP509-BP510)/BP491</f>
        <v>0.62556242608684853</v>
      </c>
      <c r="BR505" s="714">
        <f>N505-BP507</f>
        <v>18.770000000000039</v>
      </c>
      <c r="BS505" s="693">
        <f>BP509-BP510</f>
        <v>64.75</v>
      </c>
      <c r="BT505" s="693">
        <f t="shared" si="465"/>
        <v>28.988416988417047</v>
      </c>
      <c r="BU505" s="668">
        <f t="shared" si="466"/>
        <v>18.134064459691384</v>
      </c>
      <c r="BV505" s="650">
        <v>9000</v>
      </c>
      <c r="BW505" s="620">
        <v>103.50685607036536</v>
      </c>
      <c r="BX505" s="720">
        <f>(BW509-BW510)/BW491</f>
        <v>1.0616688031302517</v>
      </c>
      <c r="BY505" s="714">
        <f>S505-BW507</f>
        <v>20.139999999999986</v>
      </c>
      <c r="BZ505" s="693">
        <f>BW509-BW510</f>
        <v>109.89000000000001</v>
      </c>
      <c r="CA505" s="693">
        <f t="shared" si="467"/>
        <v>18.327418327418314</v>
      </c>
      <c r="CB505" s="668">
        <f t="shared" si="468"/>
        <v>19.45764828013764</v>
      </c>
      <c r="CC505" s="560"/>
    </row>
    <row r="506" spans="1:81" ht="15.75">
      <c r="A506" s="564"/>
      <c r="B506" s="599" t="s">
        <v>116</v>
      </c>
      <c r="C506" s="605">
        <v>10000</v>
      </c>
      <c r="D506" s="605">
        <v>391.7</v>
      </c>
      <c r="E506" s="656">
        <v>20.76</v>
      </c>
      <c r="F506" s="656">
        <v>19.899999999999999</v>
      </c>
      <c r="G506" s="657">
        <v>19.72</v>
      </c>
      <c r="H506" s="605">
        <v>10000</v>
      </c>
      <c r="I506" s="605">
        <v>410.72</v>
      </c>
      <c r="J506" s="605">
        <v>16.41</v>
      </c>
      <c r="K506" s="658">
        <v>16.22</v>
      </c>
      <c r="L506" s="646">
        <v>16.600000000000001</v>
      </c>
      <c r="M506" s="605">
        <v>10000</v>
      </c>
      <c r="N506" s="658">
        <v>370.68</v>
      </c>
      <c r="O506" s="658">
        <v>25.5</v>
      </c>
      <c r="P506" s="605">
        <v>25.72</v>
      </c>
      <c r="Q506" s="646">
        <v>24.8</v>
      </c>
      <c r="R506" s="605">
        <v>10000</v>
      </c>
      <c r="S506" s="658">
        <v>415.35</v>
      </c>
      <c r="T506" s="658">
        <v>13.87</v>
      </c>
      <c r="U506" s="658">
        <v>14.54</v>
      </c>
      <c r="V506" s="659">
        <v>14.09</v>
      </c>
      <c r="W506" s="564"/>
      <c r="X506" s="660">
        <v>10000</v>
      </c>
      <c r="Y506" s="608">
        <f t="shared" si="445"/>
        <v>2.0126666666666666</v>
      </c>
      <c r="Z506" s="609">
        <v>9.6440000000000001</v>
      </c>
      <c r="AA506" s="609">
        <v>4.5170000000000003</v>
      </c>
      <c r="AB506" s="609">
        <f t="shared" si="446"/>
        <v>3.1143333333333327</v>
      </c>
      <c r="AC506" s="609">
        <f t="shared" si="447"/>
        <v>35.461666666666673</v>
      </c>
      <c r="AD506" s="702">
        <f t="shared" si="448"/>
        <v>15439.435187666664</v>
      </c>
      <c r="AE506" s="660">
        <v>10000</v>
      </c>
      <c r="AF506" s="609">
        <f t="shared" si="449"/>
        <v>1.641</v>
      </c>
      <c r="AG506" s="609">
        <v>9.6440000000000001</v>
      </c>
      <c r="AH506" s="609">
        <v>4.5170000000000003</v>
      </c>
      <c r="AI506" s="609">
        <f t="shared" si="450"/>
        <v>3.4859999999999998</v>
      </c>
      <c r="AJ506" s="609">
        <f t="shared" si="451"/>
        <v>35.090000000000003</v>
      </c>
      <c r="AK506" s="702">
        <f t="shared" si="452"/>
        <v>17100.858851999998</v>
      </c>
      <c r="AL506" s="660">
        <v>10000</v>
      </c>
      <c r="AM506" s="609">
        <f>AVERAGE(O506:Q506)/10</f>
        <v>2.5339999999999998</v>
      </c>
      <c r="AN506" s="609">
        <v>9.6440000000000001</v>
      </c>
      <c r="AO506" s="609">
        <v>4.5170000000000003</v>
      </c>
      <c r="AP506" s="609">
        <f t="shared" si="454"/>
        <v>2.593</v>
      </c>
      <c r="AQ506" s="609">
        <f t="shared" si="455"/>
        <v>35.983000000000004</v>
      </c>
      <c r="AR506" s="699">
        <f t="shared" si="456"/>
        <v>13043.887876199999</v>
      </c>
      <c r="AS506" s="660">
        <v>10000</v>
      </c>
      <c r="AT506" s="609">
        <f t="shared" si="457"/>
        <v>1.4166666666666665</v>
      </c>
      <c r="AU506" s="609">
        <v>9.6440000000000001</v>
      </c>
      <c r="AV506" s="609">
        <v>4.5170000000000003</v>
      </c>
      <c r="AW506" s="609">
        <f t="shared" si="458"/>
        <v>3.7103333333333328</v>
      </c>
      <c r="AX506" s="609">
        <f t="shared" si="459"/>
        <v>34.865666666666669</v>
      </c>
      <c r="AY506" s="699">
        <f t="shared" si="460"/>
        <v>18084.981682066664</v>
      </c>
      <c r="AZ506" s="75"/>
      <c r="BA506" s="660">
        <v>10000</v>
      </c>
      <c r="BB506" s="609">
        <v>103.50685607036536</v>
      </c>
      <c r="BC506" s="720">
        <f>(BB509-BB510)/BB491</f>
        <v>0.84371222656624678</v>
      </c>
      <c r="BD506" s="714">
        <f>D506-BB507</f>
        <v>17.639999999999986</v>
      </c>
      <c r="BE506" s="682">
        <f>BB509-BB510</f>
        <v>87.33</v>
      </c>
      <c r="BF506" s="682">
        <f t="shared" si="461"/>
        <v>20.19924424596357</v>
      </c>
      <c r="BG506" s="683">
        <f t="shared" si="462"/>
        <v>17.042349337717372</v>
      </c>
      <c r="BH506" s="660">
        <v>10000</v>
      </c>
      <c r="BI506" s="609">
        <v>103.50685607036536</v>
      </c>
      <c r="BJ506" s="720">
        <f>(BI509-BI510)/BI491</f>
        <v>0.95153117135588738</v>
      </c>
      <c r="BK506" s="714">
        <f>I506-BI507</f>
        <v>24.590000000000032</v>
      </c>
      <c r="BL506" s="682">
        <f>BI509-BI510</f>
        <v>98.49</v>
      </c>
      <c r="BM506" s="682">
        <f t="shared" si="463"/>
        <v>24.967001726063593</v>
      </c>
      <c r="BN506" s="683">
        <f t="shared" si="464"/>
        <v>23.756880397645752</v>
      </c>
      <c r="BO506" s="660">
        <v>10000</v>
      </c>
      <c r="BP506" s="684">
        <v>103.50685607036536</v>
      </c>
      <c r="BQ506" s="720">
        <f>(BP509-BP510)/BP491</f>
        <v>0.62556242608684853</v>
      </c>
      <c r="BR506" s="714">
        <f>N506-BP507</f>
        <v>17.910000000000025</v>
      </c>
      <c r="BS506" s="682">
        <f>BP509-BP510</f>
        <v>64.75</v>
      </c>
      <c r="BT506" s="682">
        <f t="shared" si="465"/>
        <v>27.660231660231698</v>
      </c>
      <c r="BU506" s="683">
        <f t="shared" si="466"/>
        <v>17.303201623498801</v>
      </c>
      <c r="BV506" s="660">
        <v>10000</v>
      </c>
      <c r="BW506" s="609">
        <v>103.50685607036536</v>
      </c>
      <c r="BX506" s="720">
        <f>(BW509-BW510)/BW491</f>
        <v>1.0616688031302517</v>
      </c>
      <c r="BY506" s="714">
        <f>S506-BW507</f>
        <v>18.980000000000018</v>
      </c>
      <c r="BZ506" s="682">
        <f>BW509-BW510</f>
        <v>109.89000000000001</v>
      </c>
      <c r="CA506" s="682">
        <f t="shared" si="467"/>
        <v>17.271817271817287</v>
      </c>
      <c r="CB506" s="683">
        <f t="shared" si="468"/>
        <v>18.336949570854667</v>
      </c>
      <c r="CC506" s="560"/>
    </row>
    <row r="507" spans="1:81" ht="45">
      <c r="A507" s="560"/>
      <c r="B507" s="560"/>
      <c r="C507" s="559"/>
      <c r="D507" s="559"/>
      <c r="E507" s="560"/>
      <c r="F507" s="560"/>
      <c r="G507" s="560"/>
      <c r="H507" s="560"/>
      <c r="I507" s="560"/>
      <c r="J507" s="560"/>
      <c r="K507" s="560"/>
      <c r="L507" s="560"/>
      <c r="M507" s="560"/>
      <c r="N507" s="661"/>
      <c r="O507" s="559"/>
      <c r="P507" s="559"/>
      <c r="Q507" s="559"/>
      <c r="R507" s="560"/>
      <c r="S507" s="661"/>
      <c r="T507" s="560"/>
      <c r="U507" s="560"/>
      <c r="V507" s="560"/>
      <c r="AE507" s="549"/>
      <c r="AF507" s="549"/>
      <c r="AG507" s="549"/>
      <c r="AH507" s="549"/>
      <c r="AI507" s="549"/>
      <c r="AJ507" s="549"/>
      <c r="AK507" s="549"/>
      <c r="AN507" s="549"/>
      <c r="AO507" s="549"/>
      <c r="AZ507" s="791" t="s">
        <v>144</v>
      </c>
      <c r="BA507" s="709" t="s">
        <v>1047</v>
      </c>
      <c r="BB507" s="565">
        <f>BB508+BB509</f>
        <v>374.06</v>
      </c>
      <c r="BC507" s="559"/>
      <c r="BD507" s="559"/>
      <c r="BE507" s="559"/>
      <c r="BF507" s="559"/>
      <c r="BG507" s="559"/>
      <c r="BH507" s="709" t="s">
        <v>1047</v>
      </c>
      <c r="BI507" s="719">
        <f>BI508+BI509</f>
        <v>386.13</v>
      </c>
      <c r="BJ507" s="559"/>
      <c r="BK507" s="569"/>
      <c r="BL507" s="569"/>
      <c r="BM507" s="569"/>
      <c r="BN507" s="569"/>
      <c r="BO507" s="709" t="s">
        <v>1047</v>
      </c>
      <c r="BP507" s="697">
        <f>BP508+BP509</f>
        <v>352.77</v>
      </c>
      <c r="BQ507" s="560"/>
      <c r="BR507" s="559"/>
      <c r="BS507" s="559"/>
      <c r="BT507" s="559"/>
      <c r="BU507" s="559"/>
      <c r="BV507" s="709" t="s">
        <v>1047</v>
      </c>
      <c r="BW507" s="697">
        <f>BW508+BW509</f>
        <v>396.37</v>
      </c>
      <c r="BX507" s="560"/>
      <c r="BY507" s="560"/>
      <c r="BZ507" s="560"/>
      <c r="CA507" s="560"/>
      <c r="CB507" s="560"/>
      <c r="CC507" s="560"/>
    </row>
    <row r="508" spans="1:81">
      <c r="A508" s="560"/>
      <c r="B508" s="560"/>
      <c r="C508" s="559"/>
      <c r="D508" s="560" t="s">
        <v>1062</v>
      </c>
      <c r="E508" s="560"/>
      <c r="F508" s="560"/>
      <c r="G508" s="560"/>
      <c r="H508" s="560"/>
      <c r="I508" s="560"/>
      <c r="K508" s="560"/>
      <c r="L508" s="560"/>
      <c r="M508" s="560"/>
      <c r="N508" s="560"/>
      <c r="O508" s="559"/>
      <c r="P508" s="559"/>
      <c r="Q508" s="559"/>
      <c r="R508" s="560"/>
      <c r="S508" s="560"/>
      <c r="T508" s="560"/>
      <c r="U508" s="560"/>
      <c r="V508" s="560"/>
      <c r="AE508" s="549"/>
      <c r="AF508" s="549"/>
      <c r="AG508" s="549"/>
      <c r="AH508" s="549"/>
      <c r="AI508" s="549"/>
      <c r="AJ508" s="549"/>
      <c r="AK508" s="549"/>
      <c r="AN508" s="549"/>
      <c r="AO508" s="549"/>
      <c r="AZ508" s="791"/>
      <c r="BA508" s="655" t="s">
        <v>1048</v>
      </c>
      <c r="BB508" s="569">
        <v>214.97</v>
      </c>
      <c r="BC508" s="759"/>
      <c r="BD508" s="759"/>
      <c r="BE508" s="759"/>
      <c r="BF508" s="759"/>
      <c r="BG508" s="759"/>
      <c r="BH508" s="655" t="s">
        <v>1048</v>
      </c>
      <c r="BI508" s="718">
        <v>214.9</v>
      </c>
      <c r="BJ508" s="759"/>
      <c r="BK508" s="569"/>
      <c r="BL508" s="569"/>
      <c r="BM508" s="569"/>
      <c r="BN508" s="569"/>
      <c r="BO508" s="655" t="s">
        <v>1048</v>
      </c>
      <c r="BP508" s="759">
        <v>214.77</v>
      </c>
      <c r="BQ508" s="560"/>
      <c r="BR508" s="759"/>
      <c r="BS508" s="759"/>
      <c r="BT508" s="620"/>
      <c r="BU508" s="620"/>
      <c r="BV508" s="655" t="s">
        <v>1048</v>
      </c>
      <c r="BW508" s="759">
        <v>214.54</v>
      </c>
      <c r="BX508" s="560"/>
      <c r="BY508" s="560"/>
      <c r="BZ508" s="560"/>
      <c r="CA508" s="560"/>
      <c r="CB508" s="560"/>
      <c r="CC508" s="560"/>
    </row>
    <row r="509" spans="1:81">
      <c r="A509" s="560"/>
      <c r="B509" s="560"/>
      <c r="C509" s="559"/>
      <c r="D509" s="560"/>
      <c r="E509" s="560"/>
      <c r="F509" s="560"/>
      <c r="G509" s="560"/>
      <c r="H509" s="560"/>
      <c r="I509" s="560"/>
      <c r="J509" s="560"/>
      <c r="K509" s="560"/>
      <c r="L509" s="560"/>
      <c r="M509" s="617"/>
      <c r="N509" s="560"/>
      <c r="O509" s="559"/>
      <c r="P509" s="559"/>
      <c r="Q509" s="559"/>
      <c r="R509" s="560"/>
      <c r="S509" s="560"/>
      <c r="T509" s="560"/>
      <c r="U509" s="560"/>
      <c r="V509" s="560"/>
      <c r="AE509" s="549"/>
      <c r="AF509" s="549"/>
      <c r="AG509" s="549"/>
      <c r="AH509" s="549"/>
      <c r="AI509" s="549"/>
      <c r="AJ509" s="549"/>
      <c r="AK509" s="549"/>
      <c r="AN509" s="549"/>
      <c r="AO509" s="549"/>
      <c r="AZ509" s="791"/>
      <c r="BA509" s="655" t="s">
        <v>1049</v>
      </c>
      <c r="BB509" s="565">
        <v>159.09</v>
      </c>
      <c r="BC509" s="559"/>
      <c r="BD509" s="559"/>
      <c r="BE509" s="559"/>
      <c r="BF509" s="559"/>
      <c r="BG509" s="559"/>
      <c r="BH509" s="655" t="s">
        <v>1049</v>
      </c>
      <c r="BI509" s="565">
        <v>171.23</v>
      </c>
      <c r="BJ509" s="559"/>
      <c r="BK509" s="569"/>
      <c r="BL509" s="569"/>
      <c r="BM509" s="569"/>
      <c r="BN509" s="569"/>
      <c r="BO509" s="655" t="s">
        <v>1049</v>
      </c>
      <c r="BP509" s="697">
        <v>138</v>
      </c>
      <c r="BQ509" s="560"/>
      <c r="BR509" s="559"/>
      <c r="BS509" s="559"/>
      <c r="BT509" s="620"/>
      <c r="BU509" s="620"/>
      <c r="BV509" s="655" t="s">
        <v>1049</v>
      </c>
      <c r="BW509" s="697">
        <v>181.83</v>
      </c>
      <c r="BX509" s="560"/>
      <c r="BY509" s="560"/>
      <c r="BZ509" s="560"/>
      <c r="CA509" s="560"/>
      <c r="CB509" s="560"/>
      <c r="CC509" s="560"/>
    </row>
    <row r="510" spans="1:81">
      <c r="A510" s="560"/>
      <c r="B510" s="560"/>
      <c r="C510" s="559"/>
      <c r="D510" s="560"/>
      <c r="E510" s="560"/>
      <c r="F510" s="560"/>
      <c r="G510" s="560"/>
      <c r="H510" s="560"/>
      <c r="I510" s="560"/>
      <c r="J510" s="560"/>
      <c r="K510" s="560"/>
      <c r="L510" s="560"/>
      <c r="M510" s="617"/>
      <c r="N510" s="560"/>
      <c r="O510" s="559"/>
      <c r="P510" s="559"/>
      <c r="Q510" s="559"/>
      <c r="R510" s="560"/>
      <c r="S510" s="560"/>
      <c r="T510" s="560"/>
      <c r="U510" s="560"/>
      <c r="V510" s="560"/>
      <c r="AE510" s="549"/>
      <c r="AF510" s="549"/>
      <c r="AG510" s="549"/>
      <c r="AH510" s="549"/>
      <c r="AI510" s="549"/>
      <c r="AJ510" s="549"/>
      <c r="AK510" s="549"/>
      <c r="AN510" s="549"/>
      <c r="AO510" s="549"/>
      <c r="AZ510" s="791"/>
      <c r="BA510" s="655" t="s">
        <v>1050</v>
      </c>
      <c r="BB510" s="569">
        <v>71.760000000000005</v>
      </c>
      <c r="BC510" s="559"/>
      <c r="BD510" s="560"/>
      <c r="BE510" s="560"/>
      <c r="BF510" s="560"/>
      <c r="BG510" s="560"/>
      <c r="BH510" s="655" t="s">
        <v>1050</v>
      </c>
      <c r="BI510" s="569">
        <v>72.739999999999995</v>
      </c>
      <c r="BJ510" s="559"/>
      <c r="BK510" s="560"/>
      <c r="BL510" s="560"/>
      <c r="BM510" s="560"/>
      <c r="BN510" s="560"/>
      <c r="BO510" s="655" t="s">
        <v>1050</v>
      </c>
      <c r="BP510" s="559">
        <v>73.25</v>
      </c>
      <c r="BQ510" s="560"/>
      <c r="BR510" s="560"/>
      <c r="BS510" s="560"/>
      <c r="BT510" s="560"/>
      <c r="BU510" s="560"/>
      <c r="BV510" s="655" t="s">
        <v>1050</v>
      </c>
      <c r="BW510" s="559">
        <v>71.94</v>
      </c>
      <c r="BX510" s="560"/>
      <c r="BY510" s="560"/>
      <c r="BZ510" s="560"/>
      <c r="CA510" s="560"/>
      <c r="CB510" s="560"/>
      <c r="CC510" s="560"/>
    </row>
    <row r="511" spans="1:81" ht="18.75">
      <c r="A511" s="557" t="s">
        <v>1054</v>
      </c>
      <c r="B511" s="558"/>
      <c r="C511" s="639"/>
      <c r="D511" s="639"/>
      <c r="E511" s="562"/>
      <c r="F511" s="639"/>
      <c r="G511" s="560"/>
      <c r="H511" s="560"/>
      <c r="I511" s="560"/>
      <c r="J511" s="560"/>
      <c r="K511" s="560"/>
      <c r="L511" s="560"/>
      <c r="M511" s="560"/>
      <c r="N511" s="560"/>
      <c r="O511" s="730"/>
      <c r="P511" s="730"/>
      <c r="Q511" s="73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560"/>
      <c r="AD511" s="560"/>
      <c r="AE511" s="730"/>
      <c r="AF511" s="730"/>
      <c r="AG511" s="730"/>
      <c r="AH511" s="730"/>
      <c r="AI511" s="730"/>
      <c r="AJ511" s="730"/>
      <c r="AK511" s="730"/>
      <c r="AL511" s="560"/>
      <c r="AM511" s="560"/>
      <c r="AN511" s="730"/>
      <c r="AO511" s="730"/>
      <c r="AP511" s="560"/>
      <c r="AQ511" s="560"/>
      <c r="AR511" s="560"/>
      <c r="AS511" s="560"/>
      <c r="AT511" s="560"/>
      <c r="AU511" s="560"/>
      <c r="AV511" s="560"/>
      <c r="AW511" s="560"/>
      <c r="AX511" s="560"/>
      <c r="AY511" s="560"/>
      <c r="AZ511" s="732"/>
      <c r="BA511" s="560"/>
      <c r="BB511" s="560"/>
      <c r="BC511" s="730"/>
      <c r="BD511" s="560"/>
      <c r="BE511" s="560"/>
      <c r="BF511" s="560"/>
      <c r="BG511" s="560"/>
      <c r="BH511" s="560"/>
      <c r="BI511" s="560"/>
      <c r="BJ511" s="730"/>
      <c r="BK511" s="560"/>
      <c r="BL511" s="560"/>
      <c r="BM511" s="560"/>
      <c r="BN511" s="560"/>
      <c r="BO511" s="560"/>
      <c r="BP511" s="560"/>
      <c r="BQ511" s="560"/>
      <c r="BR511" s="560"/>
      <c r="BS511" s="560"/>
      <c r="BT511" s="560"/>
      <c r="BU511" s="560"/>
      <c r="BV511" s="560"/>
      <c r="BW511" s="560"/>
      <c r="BX511" s="560"/>
      <c r="BY511" s="560"/>
      <c r="BZ511" s="560"/>
      <c r="CA511" s="560"/>
      <c r="CB511" s="560"/>
    </row>
    <row r="512" spans="1:81" ht="18.75">
      <c r="A512" s="792" t="s">
        <v>1055</v>
      </c>
      <c r="B512" s="792"/>
      <c r="C512" s="792"/>
      <c r="D512" s="792"/>
      <c r="E512" s="613"/>
      <c r="F512" s="613"/>
      <c r="G512" s="613"/>
      <c r="H512" s="613"/>
      <c r="I512" s="613"/>
      <c r="J512" s="613"/>
      <c r="K512" s="613"/>
      <c r="L512" s="613"/>
      <c r="M512" s="613"/>
      <c r="N512" s="613"/>
      <c r="O512" s="614"/>
      <c r="P512" s="614"/>
      <c r="Q512" s="614"/>
      <c r="R512" s="613"/>
      <c r="S512" s="613"/>
      <c r="T512" s="613"/>
      <c r="U512" s="613"/>
      <c r="V512" s="613"/>
      <c r="W512" s="613"/>
      <c r="X512" s="613"/>
      <c r="Y512" s="613"/>
      <c r="Z512" s="613"/>
      <c r="AA512" s="613"/>
      <c r="AB512" s="613"/>
      <c r="AC512" s="613"/>
      <c r="AD512" s="613"/>
      <c r="AE512" s="614"/>
      <c r="AF512" s="614"/>
      <c r="AG512" s="614"/>
      <c r="AH512" s="614"/>
      <c r="AI512" s="614"/>
      <c r="AJ512" s="614"/>
      <c r="AK512" s="614"/>
      <c r="AL512" s="613"/>
      <c r="AM512" s="613"/>
      <c r="AN512" s="614"/>
      <c r="AO512" s="614"/>
      <c r="AP512" s="613"/>
      <c r="AQ512" s="613"/>
      <c r="AR512" s="613"/>
      <c r="AS512" s="613"/>
      <c r="AT512" s="613"/>
      <c r="AU512" s="613"/>
      <c r="AV512" s="613"/>
      <c r="AW512" s="613"/>
      <c r="AX512" s="613"/>
      <c r="AY512" s="613"/>
      <c r="AZ512" s="89"/>
      <c r="BA512" s="613"/>
      <c r="BB512" s="613"/>
      <c r="BC512" s="614"/>
      <c r="BD512" s="613"/>
      <c r="BE512" s="613"/>
      <c r="BF512" s="613"/>
      <c r="BG512" s="613"/>
      <c r="BH512" s="613"/>
      <c r="BI512" s="613"/>
      <c r="BJ512" s="614"/>
      <c r="BK512" s="613"/>
      <c r="BL512" s="613"/>
      <c r="BM512" s="613"/>
      <c r="BN512" s="613"/>
      <c r="BO512" s="613"/>
      <c r="BP512" s="613"/>
      <c r="BQ512" s="613"/>
      <c r="BR512" s="613"/>
      <c r="BS512" s="613"/>
      <c r="BT512" s="613"/>
      <c r="BU512" s="613"/>
      <c r="BV512" s="613"/>
      <c r="BW512" s="613"/>
      <c r="BX512" s="613"/>
      <c r="BY512" s="613"/>
      <c r="BZ512" s="613"/>
      <c r="CA512" s="613"/>
      <c r="CB512" s="613"/>
    </row>
    <row r="513" spans="1:80">
      <c r="A513" s="560"/>
      <c r="B513" s="560"/>
      <c r="C513" s="730"/>
      <c r="D513" s="560"/>
      <c r="E513" s="560"/>
      <c r="F513" s="560"/>
      <c r="G513" s="560"/>
      <c r="H513" s="560"/>
      <c r="I513" s="560"/>
      <c r="J513" s="560"/>
      <c r="K513" s="560"/>
      <c r="L513" s="560"/>
      <c r="M513" s="560"/>
      <c r="N513" s="560"/>
      <c r="O513" s="730"/>
      <c r="P513" s="730"/>
      <c r="Q513" s="730"/>
      <c r="R513" s="560"/>
      <c r="S513" s="560"/>
      <c r="T513" s="560"/>
      <c r="U513" s="560"/>
      <c r="V513" s="560"/>
      <c r="W513" s="560"/>
      <c r="X513" s="560"/>
      <c r="Y513" s="560"/>
      <c r="Z513" s="560"/>
      <c r="AA513" s="560"/>
      <c r="AB513" s="560"/>
      <c r="AC513" s="560"/>
      <c r="AD513" s="560"/>
      <c r="AE513" s="730"/>
      <c r="AF513" s="730"/>
      <c r="AG513" s="730"/>
      <c r="AH513" s="730"/>
      <c r="AI513" s="730"/>
      <c r="AJ513" s="730"/>
      <c r="AK513" s="730"/>
      <c r="AL513" s="560"/>
      <c r="AM513" s="560"/>
      <c r="AN513" s="730"/>
      <c r="AO513" s="730"/>
      <c r="AP513" s="560"/>
      <c r="AQ513" s="560"/>
      <c r="AR513" s="560"/>
      <c r="AS513" s="560"/>
      <c r="AT513" s="560"/>
      <c r="AU513" s="560"/>
      <c r="AV513" s="560"/>
      <c r="AW513" s="560"/>
      <c r="AX513" s="560"/>
      <c r="AY513" s="560"/>
      <c r="AZ513" s="732"/>
      <c r="BA513" s="560"/>
      <c r="BB513" s="560"/>
      <c r="BC513" s="730"/>
      <c r="BD513" s="560"/>
      <c r="BE513" s="560"/>
      <c r="BF513" s="560"/>
      <c r="BG513" s="560"/>
      <c r="BH513" s="560"/>
      <c r="BI513" s="560"/>
      <c r="BJ513" s="730"/>
      <c r="BK513" s="560"/>
      <c r="BL513" s="560"/>
      <c r="BM513" s="560"/>
      <c r="BN513" s="560"/>
      <c r="BO513" s="560"/>
      <c r="BP513" s="560"/>
      <c r="BQ513" s="560"/>
      <c r="BR513" s="560"/>
      <c r="BS513" s="560"/>
      <c r="BT513" s="560"/>
      <c r="BU513" s="560"/>
      <c r="BV513" s="560"/>
      <c r="BW513" s="560"/>
      <c r="BX513" s="560"/>
      <c r="BY513" s="560"/>
      <c r="BZ513" s="560"/>
      <c r="CA513" s="560"/>
      <c r="CB513" s="560"/>
    </row>
    <row r="514" spans="1:80" ht="15" customHeight="1">
      <c r="A514" s="565" t="s">
        <v>134</v>
      </c>
      <c r="B514" s="640" t="s">
        <v>124</v>
      </c>
      <c r="C514" s="641" t="s">
        <v>119</v>
      </c>
      <c r="D514" s="642" t="s">
        <v>111</v>
      </c>
      <c r="E514" s="793" t="s">
        <v>1063</v>
      </c>
      <c r="F514" s="569"/>
      <c r="G514" s="570"/>
      <c r="H514" s="640" t="s">
        <v>124</v>
      </c>
      <c r="I514" s="642" t="s">
        <v>119</v>
      </c>
      <c r="J514" s="642" t="s">
        <v>111</v>
      </c>
      <c r="K514" s="793" t="s">
        <v>1063</v>
      </c>
      <c r="L514" s="569"/>
      <c r="M514" s="571" t="s">
        <v>124</v>
      </c>
      <c r="N514" s="642" t="s">
        <v>119</v>
      </c>
      <c r="O514" s="641" t="s">
        <v>111</v>
      </c>
      <c r="P514" s="793" t="s">
        <v>1063</v>
      </c>
      <c r="Q514" s="730"/>
      <c r="R514" s="571" t="s">
        <v>124</v>
      </c>
      <c r="S514" s="642" t="s">
        <v>119</v>
      </c>
      <c r="T514" s="642" t="s">
        <v>111</v>
      </c>
      <c r="U514" s="793" t="s">
        <v>1063</v>
      </c>
      <c r="V514" s="569"/>
      <c r="W514" s="565" t="s">
        <v>133</v>
      </c>
      <c r="X514" s="640" t="s">
        <v>124</v>
      </c>
      <c r="Y514" s="641" t="s">
        <v>119</v>
      </c>
      <c r="Z514" s="642" t="s">
        <v>111</v>
      </c>
      <c r="AA514" s="569"/>
      <c r="AB514" s="569"/>
      <c r="AC514" s="569"/>
      <c r="AD514" s="570"/>
      <c r="AE514" s="640" t="s">
        <v>124</v>
      </c>
      <c r="AF514" s="642" t="s">
        <v>119</v>
      </c>
      <c r="AG514" s="642" t="s">
        <v>111</v>
      </c>
      <c r="AH514" s="569"/>
      <c r="AI514" s="569"/>
      <c r="AJ514" s="569"/>
      <c r="AK514" s="570"/>
      <c r="AL514" s="571" t="s">
        <v>124</v>
      </c>
      <c r="AM514" s="642" t="s">
        <v>119</v>
      </c>
      <c r="AN514" s="641" t="s">
        <v>111</v>
      </c>
      <c r="AO514" s="569"/>
      <c r="AP514" s="569"/>
      <c r="AQ514" s="569"/>
      <c r="AR514" s="700"/>
      <c r="AS514" s="571" t="s">
        <v>124</v>
      </c>
      <c r="AT514" s="642" t="s">
        <v>119</v>
      </c>
      <c r="AU514" s="642" t="s">
        <v>111</v>
      </c>
      <c r="AV514" s="569"/>
      <c r="AW514" s="569"/>
      <c r="AX514" s="569"/>
      <c r="AY514" s="700"/>
      <c r="AZ514" s="447" t="s">
        <v>141</v>
      </c>
      <c r="BA514" s="640" t="s">
        <v>124</v>
      </c>
      <c r="BB514" s="641" t="s">
        <v>119</v>
      </c>
      <c r="BC514" s="642" t="s">
        <v>111</v>
      </c>
      <c r="BD514" s="569"/>
      <c r="BE514" s="569"/>
      <c r="BF514" s="569"/>
      <c r="BG514" s="569"/>
      <c r="BH514" s="640" t="s">
        <v>124</v>
      </c>
      <c r="BI514" s="642" t="s">
        <v>119</v>
      </c>
      <c r="BJ514" s="642" t="s">
        <v>111</v>
      </c>
      <c r="BK514" s="569"/>
      <c r="BL514" s="569"/>
      <c r="BM514" s="569"/>
      <c r="BN514" s="569"/>
      <c r="BO514" s="571" t="s">
        <v>124</v>
      </c>
      <c r="BP514" s="642" t="s">
        <v>119</v>
      </c>
      <c r="BQ514" s="641" t="s">
        <v>111</v>
      </c>
      <c r="BR514" s="560"/>
      <c r="BS514" s="569"/>
      <c r="BT514" s="569"/>
      <c r="BU514" s="569"/>
      <c r="BV514" s="571" t="s">
        <v>124</v>
      </c>
      <c r="BW514" s="642" t="s">
        <v>119</v>
      </c>
      <c r="BX514" s="642" t="s">
        <v>111</v>
      </c>
      <c r="BY514" s="730"/>
      <c r="BZ514" s="730"/>
      <c r="CA514" s="730"/>
      <c r="CB514" s="570"/>
    </row>
    <row r="515" spans="1:80">
      <c r="A515" s="565"/>
      <c r="B515" s="572"/>
      <c r="C515" s="573" t="s">
        <v>790</v>
      </c>
      <c r="D515" s="574" t="s">
        <v>112</v>
      </c>
      <c r="E515" s="794"/>
      <c r="F515" s="740" t="s">
        <v>1058</v>
      </c>
      <c r="G515" s="570"/>
      <c r="H515" s="572"/>
      <c r="I515" s="573" t="s">
        <v>1056</v>
      </c>
      <c r="J515" s="574" t="s">
        <v>112</v>
      </c>
      <c r="K515" s="794"/>
      <c r="L515" s="740" t="s">
        <v>1059</v>
      </c>
      <c r="M515" s="572"/>
      <c r="N515" s="573" t="s">
        <v>88</v>
      </c>
      <c r="O515" s="645" t="s">
        <v>112</v>
      </c>
      <c r="P515" s="794"/>
      <c r="Q515" s="740" t="s">
        <v>1060</v>
      </c>
      <c r="R515" s="572"/>
      <c r="S515" s="573" t="s">
        <v>1057</v>
      </c>
      <c r="T515" s="643" t="s">
        <v>112</v>
      </c>
      <c r="U515" s="794"/>
      <c r="V515" s="740" t="s">
        <v>1061</v>
      </c>
      <c r="W515" s="647"/>
      <c r="X515" s="572"/>
      <c r="Y515" s="573" t="s">
        <v>790</v>
      </c>
      <c r="Z515" s="574" t="s">
        <v>112</v>
      </c>
      <c r="AA515" s="569"/>
      <c r="AB515" s="569"/>
      <c r="AC515" s="569"/>
      <c r="AD515" s="570"/>
      <c r="AE515" s="572"/>
      <c r="AF515" s="573" t="s">
        <v>1056</v>
      </c>
      <c r="AG515" s="574" t="s">
        <v>112</v>
      </c>
      <c r="AH515" s="569"/>
      <c r="AI515" s="569"/>
      <c r="AJ515" s="569"/>
      <c r="AK515" s="570"/>
      <c r="AL515" s="572"/>
      <c r="AM515" s="573" t="s">
        <v>88</v>
      </c>
      <c r="AN515" s="645" t="s">
        <v>112</v>
      </c>
      <c r="AO515" s="569"/>
      <c r="AP515" s="569"/>
      <c r="AQ515" s="569"/>
      <c r="AR515" s="700"/>
      <c r="AS515" s="572"/>
      <c r="AT515" s="573" t="s">
        <v>1057</v>
      </c>
      <c r="AU515" s="643" t="s">
        <v>112</v>
      </c>
      <c r="AV515" s="795"/>
      <c r="AW515" s="795"/>
      <c r="AX515" s="569"/>
      <c r="AY515" s="700"/>
      <c r="AZ515" s="80"/>
      <c r="BA515" s="572"/>
      <c r="BB515" s="573" t="s">
        <v>790</v>
      </c>
      <c r="BC515" s="574" t="s">
        <v>112</v>
      </c>
      <c r="BD515" s="569"/>
      <c r="BE515" s="569"/>
      <c r="BF515" s="569"/>
      <c r="BG515" s="570"/>
      <c r="BH515" s="572"/>
      <c r="BI515" s="573" t="s">
        <v>1056</v>
      </c>
      <c r="BJ515" s="574" t="s">
        <v>112</v>
      </c>
      <c r="BK515" s="569"/>
      <c r="BL515" s="569"/>
      <c r="BM515" s="569"/>
      <c r="BN515" s="570"/>
      <c r="BO515" s="572"/>
      <c r="BP515" s="573" t="s">
        <v>88</v>
      </c>
      <c r="BQ515" s="645" t="s">
        <v>112</v>
      </c>
      <c r="BR515" s="569"/>
      <c r="BS515" s="569"/>
      <c r="BT515" s="569"/>
      <c r="BU515" s="700"/>
      <c r="BV515" s="572"/>
      <c r="BW515" s="573" t="s">
        <v>1057</v>
      </c>
      <c r="BX515" s="643" t="s">
        <v>112</v>
      </c>
      <c r="BY515" s="795"/>
      <c r="BZ515" s="795"/>
      <c r="CA515" s="569"/>
      <c r="CB515" s="700"/>
    </row>
    <row r="516" spans="1:80" ht="63">
      <c r="A516" s="564"/>
      <c r="B516" s="579" t="s">
        <v>122</v>
      </c>
      <c r="C516" s="582" t="s">
        <v>121</v>
      </c>
      <c r="D516" s="729" t="s">
        <v>125</v>
      </c>
      <c r="E516" s="796" t="s">
        <v>1013</v>
      </c>
      <c r="F516" s="796"/>
      <c r="G516" s="797"/>
      <c r="H516" s="582" t="s">
        <v>121</v>
      </c>
      <c r="I516" s="729" t="s">
        <v>125</v>
      </c>
      <c r="J516" s="796" t="s">
        <v>1013</v>
      </c>
      <c r="K516" s="796"/>
      <c r="L516" s="797"/>
      <c r="M516" s="582" t="s">
        <v>121</v>
      </c>
      <c r="N516" s="729" t="s">
        <v>125</v>
      </c>
      <c r="O516" s="798" t="s">
        <v>1013</v>
      </c>
      <c r="P516" s="798"/>
      <c r="Q516" s="799"/>
      <c r="R516" s="582" t="s">
        <v>121</v>
      </c>
      <c r="S516" s="729" t="s">
        <v>125</v>
      </c>
      <c r="T516" s="798" t="s">
        <v>1013</v>
      </c>
      <c r="U516" s="798"/>
      <c r="V516" s="799"/>
      <c r="W516" s="564"/>
      <c r="X516" s="582" t="s">
        <v>121</v>
      </c>
      <c r="Y516" s="584" t="s">
        <v>126</v>
      </c>
      <c r="Z516" s="583" t="s">
        <v>127</v>
      </c>
      <c r="AA516" s="583" t="s">
        <v>128</v>
      </c>
      <c r="AB516" s="583" t="s">
        <v>129</v>
      </c>
      <c r="AC516" s="583" t="s">
        <v>130</v>
      </c>
      <c r="AD516" s="701" t="s">
        <v>131</v>
      </c>
      <c r="AE516" s="582" t="s">
        <v>121</v>
      </c>
      <c r="AF516" s="583" t="s">
        <v>126</v>
      </c>
      <c r="AG516" s="583" t="s">
        <v>127</v>
      </c>
      <c r="AH516" s="583" t="s">
        <v>128</v>
      </c>
      <c r="AI516" s="583" t="s">
        <v>129</v>
      </c>
      <c r="AJ516" s="583" t="s">
        <v>130</v>
      </c>
      <c r="AK516" s="701" t="s">
        <v>131</v>
      </c>
      <c r="AL516" s="582" t="s">
        <v>121</v>
      </c>
      <c r="AM516" s="583" t="s">
        <v>126</v>
      </c>
      <c r="AN516" s="583" t="s">
        <v>127</v>
      </c>
      <c r="AO516" s="583" t="s">
        <v>128</v>
      </c>
      <c r="AP516" s="583" t="s">
        <v>129</v>
      </c>
      <c r="AQ516" s="583" t="s">
        <v>130</v>
      </c>
      <c r="AR516" s="696" t="s">
        <v>131</v>
      </c>
      <c r="AS516" s="582" t="s">
        <v>121</v>
      </c>
      <c r="AT516" s="583" t="s">
        <v>126</v>
      </c>
      <c r="AU516" s="695" t="s">
        <v>127</v>
      </c>
      <c r="AV516" s="695" t="s">
        <v>128</v>
      </c>
      <c r="AW516" s="583" t="s">
        <v>129</v>
      </c>
      <c r="AX516" s="583" t="s">
        <v>130</v>
      </c>
      <c r="AY516" s="696" t="s">
        <v>131</v>
      </c>
      <c r="AZ516" s="75"/>
      <c r="BA516" s="648" t="s">
        <v>121</v>
      </c>
      <c r="BB516" s="583" t="s">
        <v>143</v>
      </c>
      <c r="BC516" s="583" t="s">
        <v>888</v>
      </c>
      <c r="BD516" s="583" t="s">
        <v>1045</v>
      </c>
      <c r="BE516" s="583" t="s">
        <v>1044</v>
      </c>
      <c r="BF516" s="666" t="s">
        <v>1051</v>
      </c>
      <c r="BG516" s="666" t="s">
        <v>1052</v>
      </c>
      <c r="BH516" s="648" t="s">
        <v>121</v>
      </c>
      <c r="BI516" s="583" t="s">
        <v>143</v>
      </c>
      <c r="BJ516" s="583" t="s">
        <v>888</v>
      </c>
      <c r="BK516" s="583" t="s">
        <v>1045</v>
      </c>
      <c r="BL516" s="583" t="s">
        <v>1044</v>
      </c>
      <c r="BM516" s="666" t="s">
        <v>1051</v>
      </c>
      <c r="BN516" s="666" t="s">
        <v>1052</v>
      </c>
      <c r="BO516" s="648" t="s">
        <v>121</v>
      </c>
      <c r="BP516" s="583" t="s">
        <v>143</v>
      </c>
      <c r="BQ516" s="583" t="s">
        <v>888</v>
      </c>
      <c r="BR516" s="583" t="s">
        <v>1045</v>
      </c>
      <c r="BS516" s="583" t="s">
        <v>1044</v>
      </c>
      <c r="BT516" s="666" t="s">
        <v>1051</v>
      </c>
      <c r="BU516" s="666" t="s">
        <v>1052</v>
      </c>
      <c r="BV516" s="648" t="s">
        <v>121</v>
      </c>
      <c r="BW516" s="583" t="s">
        <v>143</v>
      </c>
      <c r="BX516" s="583" t="s">
        <v>888</v>
      </c>
      <c r="BY516" s="583" t="s">
        <v>1045</v>
      </c>
      <c r="BZ516" s="583" t="s">
        <v>1044</v>
      </c>
      <c r="CA516" s="666" t="s">
        <v>1051</v>
      </c>
      <c r="CB516" s="666" t="s">
        <v>1052</v>
      </c>
    </row>
    <row r="517" spans="1:80" ht="15.75">
      <c r="A517" s="564"/>
      <c r="B517" s="585" t="s">
        <v>120</v>
      </c>
      <c r="C517" s="730">
        <v>0</v>
      </c>
      <c r="D517" s="731">
        <v>404.69</v>
      </c>
      <c r="E517" s="27">
        <v>4.51</v>
      </c>
      <c r="F517" s="27">
        <v>3.39</v>
      </c>
      <c r="G517" s="94">
        <v>4.57</v>
      </c>
      <c r="H517" s="730">
        <v>0</v>
      </c>
      <c r="I517" s="27">
        <v>405.74</v>
      </c>
      <c r="J517" s="260">
        <v>6.41</v>
      </c>
      <c r="K517" s="260">
        <v>5.82</v>
      </c>
      <c r="L517" s="745">
        <v>5.93</v>
      </c>
      <c r="M517" s="730">
        <v>0</v>
      </c>
      <c r="N517" s="747">
        <v>408.43</v>
      </c>
      <c r="O517" s="260">
        <v>4.05</v>
      </c>
      <c r="P517" s="260">
        <v>5.27</v>
      </c>
      <c r="Q517" s="94">
        <v>4.5599999999999996</v>
      </c>
      <c r="R517" s="730">
        <v>0</v>
      </c>
      <c r="S517" s="649">
        <v>418.87</v>
      </c>
      <c r="T517" s="260">
        <v>0</v>
      </c>
      <c r="U517" s="260">
        <v>2.99</v>
      </c>
      <c r="V517" s="94">
        <v>1.55</v>
      </c>
      <c r="W517" s="564"/>
      <c r="X517" s="650">
        <v>0</v>
      </c>
      <c r="Y517" s="651">
        <f t="shared" ref="Y517:Y532" si="470">AVERAGE(E517:G517)/10</f>
        <v>0.41566666666666674</v>
      </c>
      <c r="Z517" s="620">
        <v>9.6440000000000001</v>
      </c>
      <c r="AA517" s="620">
        <v>4.5170000000000003</v>
      </c>
      <c r="AB517" s="620">
        <f t="shared" ref="AB517:AB532" si="471">Z517-(AA517+Y517)</f>
        <v>4.7113333333333332</v>
      </c>
      <c r="AC517" s="620">
        <f t="shared" ref="AC517:AC532" si="472">3*Z517+AA517+Y517</f>
        <v>33.864666666666672</v>
      </c>
      <c r="AD517" s="653">
        <f t="shared" ref="AD517:AD532" si="473">1.398*(10^-6)*(X517^2)*AB517*AC517</f>
        <v>0</v>
      </c>
      <c r="AE517" s="650">
        <v>0</v>
      </c>
      <c r="AF517" s="620">
        <f t="shared" ref="AF517:AF532" si="474">AVERAGE(J517:L517)/10</f>
        <v>0.60533333333333339</v>
      </c>
      <c r="AG517" s="620">
        <v>9.6440000000000001</v>
      </c>
      <c r="AH517" s="620">
        <v>4.5170000000000003</v>
      </c>
      <c r="AI517" s="620">
        <f t="shared" ref="AI517:AI532" si="475">AG517-(AH517+AF517)</f>
        <v>4.5216666666666665</v>
      </c>
      <c r="AJ517" s="620">
        <f t="shared" ref="AJ517:AJ532" si="476">3*AG517+AH517+AF517</f>
        <v>34.054333333333339</v>
      </c>
      <c r="AK517" s="653">
        <f t="shared" ref="AK517:AK532" si="477">1.398*(10^-6)*(AE517^2)*AI517*AJ517</f>
        <v>0</v>
      </c>
      <c r="AL517" s="650">
        <v>0</v>
      </c>
      <c r="AM517" s="620">
        <f t="shared" ref="AM517:AM525" si="478">AVERAGE(O517:Q517)/10</f>
        <v>0.46266666666666662</v>
      </c>
      <c r="AN517" s="620">
        <v>9.6440000000000001</v>
      </c>
      <c r="AO517" s="620">
        <v>4.5170000000000003</v>
      </c>
      <c r="AP517" s="620">
        <f t="shared" ref="AP517:AP532" si="479">AN517-(AO517+AM517)</f>
        <v>4.6643333333333334</v>
      </c>
      <c r="AQ517" s="620">
        <f t="shared" ref="AQ517:AQ532" si="480">3*AN517+AO517+AM517</f>
        <v>33.911666666666669</v>
      </c>
      <c r="AR517" s="698">
        <f t="shared" ref="AR517:AR532" si="481">1.398*(10^-6)*(AL517^2)*AP517*AQ517</f>
        <v>0</v>
      </c>
      <c r="AS517" s="650">
        <v>0</v>
      </c>
      <c r="AT517" s="620">
        <f t="shared" ref="AT517:AT532" si="482">AVERAGE(T517:V517)/10</f>
        <v>0.15133333333333335</v>
      </c>
      <c r="AU517" s="620">
        <v>9.6440000000000001</v>
      </c>
      <c r="AV517" s="620">
        <v>4.5170000000000003</v>
      </c>
      <c r="AW517" s="620">
        <f t="shared" ref="AW517:AW532" si="483">AU517-(AV517+AT517)</f>
        <v>4.9756666666666662</v>
      </c>
      <c r="AX517" s="620">
        <f t="shared" ref="AX517:AX532" si="484">3*AU517+AV517+AT517</f>
        <v>33.600333333333339</v>
      </c>
      <c r="AY517" s="698">
        <f t="shared" ref="AY517:AY532" si="485">1.398*(10^-6)*(AS517^2)*AW517*AX517</f>
        <v>0</v>
      </c>
      <c r="AZ517" s="75"/>
      <c r="BA517" s="650">
        <v>0</v>
      </c>
      <c r="BB517" s="620">
        <v>103.50685607036536</v>
      </c>
      <c r="BC517" s="720">
        <f>(BB535-BB536)/BB517</f>
        <v>0.63899148820670526</v>
      </c>
      <c r="BD517" s="714">
        <f>D517-BB533</f>
        <v>51.729999999999961</v>
      </c>
      <c r="BE517" s="693">
        <f>BB535-BB536</f>
        <v>66.14</v>
      </c>
      <c r="BF517" s="693">
        <f t="shared" ref="BF517:BF532" si="486">BD517/BE517*100</f>
        <v>78.212881765950954</v>
      </c>
      <c r="BG517" s="668">
        <f t="shared" ref="BG517:BG532" si="487">BF517*BC517</f>
        <v>49.97736571656008</v>
      </c>
      <c r="BH517" s="650">
        <v>0</v>
      </c>
      <c r="BI517" s="620">
        <v>103.50685607036536</v>
      </c>
      <c r="BJ517" s="720">
        <f>(BI535-BI536)/BI517</f>
        <v>0.58131414946170945</v>
      </c>
      <c r="BK517" s="714">
        <f>I517-BI533</f>
        <v>57.740000000000009</v>
      </c>
      <c r="BL517" s="693">
        <f>BI535-BI536</f>
        <v>60.170000000000016</v>
      </c>
      <c r="BM517" s="693">
        <f t="shared" ref="BM517:BM532" si="488">BK517/BL517*100</f>
        <v>95.961442579358476</v>
      </c>
      <c r="BN517" s="668">
        <f t="shared" ref="BN517:BN532" si="489">BM517*BJ517</f>
        <v>55.783744374138443</v>
      </c>
      <c r="BO517" s="650">
        <v>0</v>
      </c>
      <c r="BP517" s="681">
        <v>103.50685607036536</v>
      </c>
      <c r="BQ517" s="720">
        <f>(BP535-BP536)/BP517</f>
        <v>0.69956718568260545</v>
      </c>
      <c r="BR517" s="714">
        <f>N517-BP533</f>
        <v>48.45999999999998</v>
      </c>
      <c r="BS517" s="693">
        <f>BP535-BP536</f>
        <v>72.41</v>
      </c>
      <c r="BT517" s="693">
        <f t="shared" ref="BT517:BT532" si="490">BR517/BS517*100</f>
        <v>66.924457947797251</v>
      </c>
      <c r="BU517" s="668">
        <f t="shared" ref="BU517:BU532" si="491">BT517*BQ517</f>
        <v>46.818154699874398</v>
      </c>
      <c r="BV517" s="650">
        <v>0</v>
      </c>
      <c r="BW517" s="620">
        <v>103.50685607036536</v>
      </c>
      <c r="BX517" s="720">
        <f>(BW535-BW536)/BW517</f>
        <v>0.76371752559328776</v>
      </c>
      <c r="BY517" s="714">
        <f>S517-BW533</f>
        <v>52.419999999999959</v>
      </c>
      <c r="BZ517" s="693">
        <f>BW535-BW536</f>
        <v>79.050000000000011</v>
      </c>
      <c r="CA517" s="693">
        <f t="shared" ref="CA517:CA532" si="492">BY517/BZ517*100</f>
        <v>66.312460468058134</v>
      </c>
      <c r="CB517" s="668">
        <f t="shared" ref="CB517:CB532" si="493">CA517*BX517</f>
        <v>50.643988224668071</v>
      </c>
    </row>
    <row r="518" spans="1:80" ht="15.75">
      <c r="A518" s="564"/>
      <c r="B518" s="585" t="s">
        <v>116</v>
      </c>
      <c r="C518" s="730">
        <v>300</v>
      </c>
      <c r="D518" s="731">
        <v>392.32</v>
      </c>
      <c r="E518" s="27">
        <v>8.16</v>
      </c>
      <c r="F518" s="27">
        <v>6.25</v>
      </c>
      <c r="G518" s="94">
        <v>7.1</v>
      </c>
      <c r="H518" s="730">
        <v>300</v>
      </c>
      <c r="I518" s="27">
        <v>390.37</v>
      </c>
      <c r="J518" s="260">
        <v>7.69</v>
      </c>
      <c r="K518" s="260">
        <v>7.61</v>
      </c>
      <c r="L518" s="548">
        <v>7.44</v>
      </c>
      <c r="M518" s="730">
        <v>300</v>
      </c>
      <c r="N518" s="649">
        <v>401.46</v>
      </c>
      <c r="O518" s="260">
        <v>6.12</v>
      </c>
      <c r="P518" s="260">
        <v>5.85</v>
      </c>
      <c r="Q518" s="94">
        <v>7.55</v>
      </c>
      <c r="R518" s="730">
        <v>300</v>
      </c>
      <c r="S518" s="649">
        <v>405.57</v>
      </c>
      <c r="T518" s="260">
        <v>3.89</v>
      </c>
      <c r="U518" s="260">
        <v>2.0299999999999998</v>
      </c>
      <c r="V518" s="94">
        <v>3.89</v>
      </c>
      <c r="W518" s="564"/>
      <c r="X518" s="650">
        <v>300</v>
      </c>
      <c r="Y518" s="651">
        <f t="shared" si="470"/>
        <v>0.71699999999999986</v>
      </c>
      <c r="Z518" s="620">
        <v>9.6440000000000001</v>
      </c>
      <c r="AA518" s="620">
        <v>4.5170000000000003</v>
      </c>
      <c r="AB518" s="620">
        <f t="shared" si="471"/>
        <v>4.41</v>
      </c>
      <c r="AC518" s="620">
        <f t="shared" si="472"/>
        <v>34.166000000000004</v>
      </c>
      <c r="AD518" s="653">
        <f t="shared" si="473"/>
        <v>18.957558589200001</v>
      </c>
      <c r="AE518" s="650">
        <v>300</v>
      </c>
      <c r="AF518" s="620">
        <f t="shared" si="474"/>
        <v>0.75800000000000012</v>
      </c>
      <c r="AG518" s="620">
        <v>9.6440000000000001</v>
      </c>
      <c r="AH518" s="620">
        <v>4.5170000000000003</v>
      </c>
      <c r="AI518" s="620">
        <f t="shared" si="475"/>
        <v>4.3689999999999998</v>
      </c>
      <c r="AJ518" s="620">
        <f t="shared" si="476"/>
        <v>34.207000000000008</v>
      </c>
      <c r="AK518" s="653">
        <f t="shared" si="477"/>
        <v>18.803847189060001</v>
      </c>
      <c r="AL518" s="650">
        <v>300</v>
      </c>
      <c r="AM518" s="620">
        <f t="shared" si="478"/>
        <v>0.65066666666666673</v>
      </c>
      <c r="AN518" s="620">
        <v>9.6440000000000001</v>
      </c>
      <c r="AO518" s="620">
        <v>4.5170000000000003</v>
      </c>
      <c r="AP518" s="620">
        <f t="shared" si="479"/>
        <v>4.4763333333333328</v>
      </c>
      <c r="AQ518" s="620">
        <f t="shared" si="480"/>
        <v>34.099666666666671</v>
      </c>
      <c r="AR518" s="698">
        <f t="shared" si="481"/>
        <v>19.20535032858</v>
      </c>
      <c r="AS518" s="650">
        <v>300</v>
      </c>
      <c r="AT518" s="620">
        <f t="shared" si="482"/>
        <v>0.32700000000000001</v>
      </c>
      <c r="AU518" s="620">
        <v>9.6440000000000001</v>
      </c>
      <c r="AV518" s="620">
        <v>4.5170000000000003</v>
      </c>
      <c r="AW518" s="620">
        <f t="shared" si="483"/>
        <v>4.8</v>
      </c>
      <c r="AX518" s="620">
        <f t="shared" si="484"/>
        <v>33.776000000000003</v>
      </c>
      <c r="AY518" s="698">
        <f t="shared" si="485"/>
        <v>20.398542335999998</v>
      </c>
      <c r="AZ518" s="75"/>
      <c r="BA518" s="650">
        <v>300</v>
      </c>
      <c r="BB518" s="620">
        <v>103.50685607036536</v>
      </c>
      <c r="BC518" s="720">
        <f>(BB535-BB536)/BB517</f>
        <v>0.63899148820670526</v>
      </c>
      <c r="BD518" s="714">
        <f>D518-BB533</f>
        <v>39.359999999999957</v>
      </c>
      <c r="BE518" s="693">
        <f>BB535-BB536</f>
        <v>66.14</v>
      </c>
      <c r="BF518" s="693">
        <f t="shared" si="486"/>
        <v>59.510130027214935</v>
      </c>
      <c r="BG518" s="668">
        <f t="shared" si="487"/>
        <v>38.026466549464608</v>
      </c>
      <c r="BH518" s="650">
        <v>300</v>
      </c>
      <c r="BI518" s="620">
        <v>103.50685607036536</v>
      </c>
      <c r="BJ518" s="720">
        <f>(BI535-BI536)/BI517</f>
        <v>0.58131414946170945</v>
      </c>
      <c r="BK518" s="714">
        <f>I518-BI533</f>
        <v>42.370000000000005</v>
      </c>
      <c r="BL518" s="693">
        <f>BI535-BI536</f>
        <v>60.170000000000016</v>
      </c>
      <c r="BM518" s="693">
        <f t="shared" si="488"/>
        <v>70.417151404354314</v>
      </c>
      <c r="BN518" s="668">
        <f t="shared" si="489"/>
        <v>40.934486476138645</v>
      </c>
      <c r="BO518" s="650">
        <v>300</v>
      </c>
      <c r="BP518" s="681">
        <v>103.50685607036536</v>
      </c>
      <c r="BQ518" s="720">
        <f>(BP535-BP536)/BP517</f>
        <v>0.69956718568260545</v>
      </c>
      <c r="BR518" s="714">
        <f>N518-BP533</f>
        <v>41.489999999999952</v>
      </c>
      <c r="BS518" s="693">
        <f>BP535-BP536</f>
        <v>72.41</v>
      </c>
      <c r="BT518" s="693">
        <f t="shared" si="490"/>
        <v>57.29871564701002</v>
      </c>
      <c r="BU518" s="668">
        <f t="shared" si="491"/>
        <v>40.084301248406668</v>
      </c>
      <c r="BV518" s="650">
        <v>300</v>
      </c>
      <c r="BW518" s="620">
        <v>103.50685607036536</v>
      </c>
      <c r="BX518" s="720">
        <f>(BW535-BW536)/BW517</f>
        <v>0.76371752559328776</v>
      </c>
      <c r="BY518" s="714">
        <f>S518-BW533</f>
        <v>39.119999999999948</v>
      </c>
      <c r="BZ518" s="693">
        <f>BW535-BW536</f>
        <v>79.050000000000011</v>
      </c>
      <c r="CA518" s="693">
        <f t="shared" si="492"/>
        <v>49.487666034155524</v>
      </c>
      <c r="CB518" s="668">
        <f t="shared" si="493"/>
        <v>37.794597850992247</v>
      </c>
    </row>
    <row r="519" spans="1:80" ht="15.75">
      <c r="A519" s="564"/>
      <c r="B519" s="585" t="s">
        <v>116</v>
      </c>
      <c r="C519" s="730">
        <v>350</v>
      </c>
      <c r="D519" s="730">
        <v>389.38</v>
      </c>
      <c r="E519" s="27">
        <v>7.87</v>
      </c>
      <c r="F519" s="27">
        <v>7.13</v>
      </c>
      <c r="G519" s="94">
        <v>7.24</v>
      </c>
      <c r="H519" s="730">
        <v>350</v>
      </c>
      <c r="I519" s="27">
        <v>387.57</v>
      </c>
      <c r="J519" s="260">
        <v>8.43</v>
      </c>
      <c r="K519" s="260">
        <v>7.14</v>
      </c>
      <c r="L519" s="548">
        <v>8.6</v>
      </c>
      <c r="M519" s="730">
        <v>350</v>
      </c>
      <c r="N519" s="649">
        <v>399.85</v>
      </c>
      <c r="O519" s="260">
        <v>6.87</v>
      </c>
      <c r="P519" s="260">
        <v>8.91</v>
      </c>
      <c r="Q519" s="94">
        <v>6.73</v>
      </c>
      <c r="R519" s="730">
        <v>350</v>
      </c>
      <c r="S519" s="649">
        <v>405.68</v>
      </c>
      <c r="T519" s="260">
        <v>4.3899999999999997</v>
      </c>
      <c r="U519" s="260">
        <v>4.17</v>
      </c>
      <c r="V519" s="94">
        <v>1.3</v>
      </c>
      <c r="W519" s="564"/>
      <c r="X519" s="650">
        <v>350</v>
      </c>
      <c r="Y519" s="651">
        <f t="shared" si="470"/>
        <v>0.7413333333333334</v>
      </c>
      <c r="Z519" s="620">
        <v>9.6440000000000001</v>
      </c>
      <c r="AA519" s="620">
        <v>4.5170000000000003</v>
      </c>
      <c r="AB519" s="620">
        <f t="shared" si="471"/>
        <v>4.3856666666666664</v>
      </c>
      <c r="AC519" s="620">
        <f t="shared" si="472"/>
        <v>34.190333333333342</v>
      </c>
      <c r="AD519" s="653">
        <f t="shared" si="473"/>
        <v>25.679242881331668</v>
      </c>
      <c r="AE519" s="650">
        <v>350</v>
      </c>
      <c r="AF519" s="620">
        <f t="shared" si="474"/>
        <v>0.80566666666666664</v>
      </c>
      <c r="AG519" s="620">
        <v>9.6440000000000001</v>
      </c>
      <c r="AH519" s="620">
        <v>4.5170000000000003</v>
      </c>
      <c r="AI519" s="620">
        <f t="shared" si="475"/>
        <v>4.3213333333333335</v>
      </c>
      <c r="AJ519" s="620">
        <f t="shared" si="476"/>
        <v>34.254666666666672</v>
      </c>
      <c r="AK519" s="653">
        <f t="shared" si="477"/>
        <v>25.350164011386667</v>
      </c>
      <c r="AL519" s="650">
        <v>350</v>
      </c>
      <c r="AM519" s="620">
        <f t="shared" si="478"/>
        <v>0.75033333333333341</v>
      </c>
      <c r="AN519" s="620">
        <v>9.6440000000000001</v>
      </c>
      <c r="AO519" s="620">
        <v>4.5170000000000003</v>
      </c>
      <c r="AP519" s="620">
        <f t="shared" si="479"/>
        <v>4.376666666666666</v>
      </c>
      <c r="AQ519" s="620">
        <f t="shared" si="480"/>
        <v>34.199333333333335</v>
      </c>
      <c r="AR519" s="698">
        <f t="shared" si="481"/>
        <v>25.633291225966659</v>
      </c>
      <c r="AS519" s="650">
        <v>350</v>
      </c>
      <c r="AT519" s="620">
        <f t="shared" si="482"/>
        <v>0.32866666666666666</v>
      </c>
      <c r="AU519" s="620">
        <v>9.6440000000000001</v>
      </c>
      <c r="AV519" s="620">
        <v>4.5170000000000003</v>
      </c>
      <c r="AW519" s="620">
        <f t="shared" si="483"/>
        <v>4.7983333333333329</v>
      </c>
      <c r="AX519" s="620">
        <f t="shared" si="484"/>
        <v>33.777666666666669</v>
      </c>
      <c r="AY519" s="698">
        <f t="shared" si="485"/>
        <v>27.756411673491659</v>
      </c>
      <c r="AZ519" s="75"/>
      <c r="BA519" s="650">
        <v>350</v>
      </c>
      <c r="BB519" s="620">
        <v>103.50685607036536</v>
      </c>
      <c r="BC519" s="720">
        <f>(BB535-BB536)/BB517</f>
        <v>0.63899148820670526</v>
      </c>
      <c r="BD519" s="714">
        <f>D519-BB533</f>
        <v>36.419999999999959</v>
      </c>
      <c r="BE519" s="693">
        <f>BB535-BB536</f>
        <v>66.14</v>
      </c>
      <c r="BF519" s="693">
        <f t="shared" si="486"/>
        <v>55.065013607499182</v>
      </c>
      <c r="BG519" s="668">
        <f t="shared" si="487"/>
        <v>35.18607499317838</v>
      </c>
      <c r="BH519" s="650">
        <v>350</v>
      </c>
      <c r="BI519" s="620">
        <v>103.50685607036536</v>
      </c>
      <c r="BJ519" s="720">
        <f>(BI535-BI536)/BI517</f>
        <v>0.58131414946170945</v>
      </c>
      <c r="BK519" s="714">
        <f>I519-BI533</f>
        <v>39.569999999999993</v>
      </c>
      <c r="BL519" s="693">
        <f>BI535-BI536</f>
        <v>60.170000000000016</v>
      </c>
      <c r="BM519" s="693">
        <f t="shared" si="488"/>
        <v>65.763669602792064</v>
      </c>
      <c r="BN519" s="668">
        <f t="shared" si="489"/>
        <v>38.229351660627941</v>
      </c>
      <c r="BO519" s="650">
        <v>350</v>
      </c>
      <c r="BP519" s="681">
        <v>103.50685607036536</v>
      </c>
      <c r="BQ519" s="720">
        <f>(BP535-BP536)/BP517</f>
        <v>0.69956718568260545</v>
      </c>
      <c r="BR519" s="714">
        <f>N519-BP533</f>
        <v>39.879999999999995</v>
      </c>
      <c r="BS519" s="693">
        <f>BP535-BP536</f>
        <v>72.41</v>
      </c>
      <c r="BT519" s="693">
        <f t="shared" si="490"/>
        <v>55.075265847258656</v>
      </c>
      <c r="BU519" s="668">
        <f t="shared" si="491"/>
        <v>38.528848729488054</v>
      </c>
      <c r="BV519" s="650">
        <v>350</v>
      </c>
      <c r="BW519" s="620">
        <v>103.50685607036536</v>
      </c>
      <c r="BX519" s="720">
        <f>(BW535-BW536)/BW517</f>
        <v>0.76371752559328776</v>
      </c>
      <c r="BY519" s="714">
        <f>S519-BW533</f>
        <v>39.229999999999961</v>
      </c>
      <c r="BZ519" s="693">
        <f>BW535-BW536</f>
        <v>79.050000000000011</v>
      </c>
      <c r="CA519" s="693">
        <f t="shared" si="492"/>
        <v>49.626818469323162</v>
      </c>
      <c r="CB519" s="668">
        <f t="shared" si="493"/>
        <v>37.900871004458757</v>
      </c>
    </row>
    <row r="520" spans="1:80" ht="15.75">
      <c r="A520" s="564"/>
      <c r="B520" s="585" t="s">
        <v>116</v>
      </c>
      <c r="C520" s="730">
        <v>450</v>
      </c>
      <c r="D520" s="730">
        <v>386.77</v>
      </c>
      <c r="E520" s="27">
        <v>9.77</v>
      </c>
      <c r="F520" s="27">
        <v>7.42</v>
      </c>
      <c r="G520" s="94">
        <v>8.34</v>
      </c>
      <c r="H520" s="730">
        <v>450</v>
      </c>
      <c r="I520" s="27">
        <v>384.48</v>
      </c>
      <c r="J520" s="260">
        <v>8.6999999999999993</v>
      </c>
      <c r="K520" s="260">
        <v>8.0500000000000007</v>
      </c>
      <c r="L520" s="548">
        <v>8.43</v>
      </c>
      <c r="M520" s="730">
        <v>450</v>
      </c>
      <c r="N520" s="639">
        <v>397.04</v>
      </c>
      <c r="O520" s="550">
        <v>7.41</v>
      </c>
      <c r="P520" s="550">
        <v>9.61</v>
      </c>
      <c r="Q520" s="94">
        <v>6.53</v>
      </c>
      <c r="R520" s="730">
        <v>450</v>
      </c>
      <c r="S520" s="649">
        <v>402.77</v>
      </c>
      <c r="T520" s="260">
        <v>4.53</v>
      </c>
      <c r="U520" s="260">
        <v>4.0599999999999996</v>
      </c>
      <c r="V520" s="94">
        <v>2.7</v>
      </c>
      <c r="W520" s="564"/>
      <c r="X520" s="650">
        <v>450</v>
      </c>
      <c r="Y520" s="651">
        <f t="shared" si="470"/>
        <v>0.85099999999999998</v>
      </c>
      <c r="Z520" s="620">
        <v>9.6440000000000001</v>
      </c>
      <c r="AA520" s="620">
        <v>4.5170000000000003</v>
      </c>
      <c r="AB520" s="620">
        <f t="shared" si="471"/>
        <v>4.2759999999999998</v>
      </c>
      <c r="AC520" s="620">
        <f t="shared" si="472"/>
        <v>34.300000000000004</v>
      </c>
      <c r="AD520" s="653">
        <f t="shared" si="473"/>
        <v>41.520637745999991</v>
      </c>
      <c r="AE520" s="650">
        <v>450</v>
      </c>
      <c r="AF520" s="620">
        <f t="shared" si="474"/>
        <v>0.83933333333333326</v>
      </c>
      <c r="AG520" s="620">
        <v>9.6440000000000001</v>
      </c>
      <c r="AH520" s="620">
        <v>4.5170000000000003</v>
      </c>
      <c r="AI520" s="620">
        <f t="shared" si="475"/>
        <v>4.2876666666666665</v>
      </c>
      <c r="AJ520" s="620">
        <f t="shared" si="476"/>
        <v>34.288333333333341</v>
      </c>
      <c r="AK520" s="653">
        <f t="shared" si="477"/>
        <v>41.619761730225001</v>
      </c>
      <c r="AL520" s="650">
        <v>450</v>
      </c>
      <c r="AM520" s="620">
        <f t="shared" si="478"/>
        <v>0.78500000000000003</v>
      </c>
      <c r="AN520" s="620">
        <v>9.6440000000000001</v>
      </c>
      <c r="AO520" s="620">
        <v>4.5170000000000003</v>
      </c>
      <c r="AP520" s="620">
        <f t="shared" si="479"/>
        <v>4.3419999999999996</v>
      </c>
      <c r="AQ520" s="620">
        <f t="shared" si="480"/>
        <v>34.234000000000002</v>
      </c>
      <c r="AR520" s="698">
        <f t="shared" si="481"/>
        <v>42.080381106659992</v>
      </c>
      <c r="AS520" s="650">
        <v>450</v>
      </c>
      <c r="AT520" s="620">
        <f t="shared" si="482"/>
        <v>0.3763333333333333</v>
      </c>
      <c r="AU520" s="620">
        <v>9.6440000000000001</v>
      </c>
      <c r="AV520" s="620">
        <v>4.5170000000000003</v>
      </c>
      <c r="AW520" s="620">
        <f t="shared" si="483"/>
        <v>4.7506666666666666</v>
      </c>
      <c r="AX520" s="620">
        <f t="shared" si="484"/>
        <v>33.82533333333334</v>
      </c>
      <c r="AY520" s="698">
        <f t="shared" si="485"/>
        <v>45.491351870159995</v>
      </c>
      <c r="AZ520" s="75"/>
      <c r="BA520" s="650">
        <v>450</v>
      </c>
      <c r="BB520" s="620">
        <v>103.50685607036536</v>
      </c>
      <c r="BC520" s="720">
        <f>(BB535-BB536)/BB517</f>
        <v>0.63899148820670526</v>
      </c>
      <c r="BD520" s="714">
        <f>D520-BB533</f>
        <v>33.809999999999945</v>
      </c>
      <c r="BE520" s="693">
        <f>BB535-BB536</f>
        <v>66.14</v>
      </c>
      <c r="BF520" s="693">
        <f t="shared" si="486"/>
        <v>51.118838826731093</v>
      </c>
      <c r="BG520" s="668">
        <f t="shared" si="487"/>
        <v>32.664502897291605</v>
      </c>
      <c r="BH520" s="650">
        <v>450</v>
      </c>
      <c r="BI520" s="620">
        <v>103.50685607036536</v>
      </c>
      <c r="BJ520" s="720">
        <f>(BI535-BI536)/BI517</f>
        <v>0.58131414946170945</v>
      </c>
      <c r="BK520" s="714">
        <f>I520-BI533</f>
        <v>36.480000000000018</v>
      </c>
      <c r="BL520" s="693">
        <f>BI535-BI536</f>
        <v>60.170000000000016</v>
      </c>
      <c r="BM520" s="693">
        <f t="shared" si="488"/>
        <v>60.628220043210909</v>
      </c>
      <c r="BN520" s="668">
        <f t="shared" si="489"/>
        <v>35.244042167796515</v>
      </c>
      <c r="BO520" s="650">
        <v>450</v>
      </c>
      <c r="BP520" s="681">
        <v>103.50685607036536</v>
      </c>
      <c r="BQ520" s="720">
        <f>(BP535-BP536)/BP517</f>
        <v>0.69956718568260545</v>
      </c>
      <c r="BR520" s="714">
        <f>N520-BP533</f>
        <v>37.069999999999993</v>
      </c>
      <c r="BS520" s="693">
        <f>BP535-BP536</f>
        <v>72.41</v>
      </c>
      <c r="BT520" s="693">
        <f t="shared" si="490"/>
        <v>51.194586383096251</v>
      </c>
      <c r="BU520" s="668">
        <f t="shared" si="491"/>
        <v>35.814052718207677</v>
      </c>
      <c r="BV520" s="650">
        <v>450</v>
      </c>
      <c r="BW520" s="620">
        <v>103.50685607036536</v>
      </c>
      <c r="BX520" s="720">
        <f>(BW535-BW536)/BW517</f>
        <v>0.76371752559328776</v>
      </c>
      <c r="BY520" s="714">
        <f>S520-BW533</f>
        <v>36.319999999999936</v>
      </c>
      <c r="BZ520" s="693">
        <f>BW535-BW536</f>
        <v>79.050000000000011</v>
      </c>
      <c r="CA520" s="693">
        <f t="shared" si="492"/>
        <v>45.945604048070756</v>
      </c>
      <c r="CB520" s="668">
        <f t="shared" si="493"/>
        <v>35.089463035481543</v>
      </c>
    </row>
    <row r="521" spans="1:80" ht="15.75">
      <c r="A521" s="564"/>
      <c r="B521" s="585" t="s">
        <v>116</v>
      </c>
      <c r="C521" s="730">
        <v>550</v>
      </c>
      <c r="D521" s="730">
        <v>384.08</v>
      </c>
      <c r="E521" s="652">
        <v>8.81</v>
      </c>
      <c r="F521" s="652">
        <v>8.85</v>
      </c>
      <c r="G521" s="653">
        <v>8.89</v>
      </c>
      <c r="H521" s="730">
        <v>550</v>
      </c>
      <c r="I521" s="652">
        <v>381.77</v>
      </c>
      <c r="J521" s="260">
        <v>9.57</v>
      </c>
      <c r="K521" s="260">
        <v>8.4700000000000006</v>
      </c>
      <c r="L521" s="548">
        <v>9.31</v>
      </c>
      <c r="M521" s="730">
        <v>550</v>
      </c>
      <c r="N521" s="639">
        <v>394.69</v>
      </c>
      <c r="O521" s="550">
        <v>7.93</v>
      </c>
      <c r="P521" s="550">
        <v>7.56</v>
      </c>
      <c r="Q521" s="94">
        <v>10.14</v>
      </c>
      <c r="R521" s="730">
        <v>550</v>
      </c>
      <c r="S521" s="639">
        <v>400.48</v>
      </c>
      <c r="T521" s="550">
        <v>5.42</v>
      </c>
      <c r="U521" s="550">
        <v>5.03</v>
      </c>
      <c r="V521" s="94">
        <v>3.45</v>
      </c>
      <c r="W521" s="564"/>
      <c r="X521" s="650">
        <v>550</v>
      </c>
      <c r="Y521" s="651">
        <f t="shared" si="470"/>
        <v>0.88500000000000001</v>
      </c>
      <c r="Z521" s="620">
        <v>9.6440000000000001</v>
      </c>
      <c r="AA521" s="620">
        <v>4.5170000000000003</v>
      </c>
      <c r="AB521" s="620">
        <f t="shared" si="471"/>
        <v>4.242</v>
      </c>
      <c r="AC521" s="620">
        <f t="shared" si="472"/>
        <v>34.334000000000003</v>
      </c>
      <c r="AD521" s="653">
        <f t="shared" si="473"/>
        <v>61.592469537059998</v>
      </c>
      <c r="AE521" s="650">
        <v>550</v>
      </c>
      <c r="AF521" s="620">
        <f t="shared" si="474"/>
        <v>0.91166666666666674</v>
      </c>
      <c r="AG521" s="620">
        <v>9.6440000000000001</v>
      </c>
      <c r="AH521" s="620">
        <v>4.5170000000000003</v>
      </c>
      <c r="AI521" s="620">
        <f t="shared" si="475"/>
        <v>4.2153333333333327</v>
      </c>
      <c r="AJ521" s="620">
        <f t="shared" si="476"/>
        <v>34.360666666666674</v>
      </c>
      <c r="AK521" s="653">
        <f t="shared" si="477"/>
        <v>61.252815309326657</v>
      </c>
      <c r="AL521" s="650">
        <v>550</v>
      </c>
      <c r="AM521" s="620">
        <f t="shared" si="478"/>
        <v>0.85433333333333328</v>
      </c>
      <c r="AN521" s="620">
        <v>9.6440000000000001</v>
      </c>
      <c r="AO521" s="620">
        <v>4.5170000000000003</v>
      </c>
      <c r="AP521" s="620">
        <f t="shared" si="479"/>
        <v>4.2726666666666668</v>
      </c>
      <c r="AQ521" s="620">
        <f t="shared" si="480"/>
        <v>34.303333333333342</v>
      </c>
      <c r="AR521" s="698">
        <f t="shared" si="481"/>
        <v>61.982328355566672</v>
      </c>
      <c r="AS521" s="650">
        <v>550</v>
      </c>
      <c r="AT521" s="620">
        <f t="shared" si="482"/>
        <v>0.46333333333333326</v>
      </c>
      <c r="AU521" s="620">
        <v>9.6440000000000001</v>
      </c>
      <c r="AV521" s="620">
        <v>4.5170000000000003</v>
      </c>
      <c r="AW521" s="620">
        <f t="shared" si="483"/>
        <v>4.6636666666666668</v>
      </c>
      <c r="AX521" s="620">
        <f t="shared" si="484"/>
        <v>33.912333333333336</v>
      </c>
      <c r="AY521" s="698">
        <f t="shared" si="485"/>
        <v>66.883304888051654</v>
      </c>
      <c r="AZ521" s="75"/>
      <c r="BA521" s="650">
        <v>550</v>
      </c>
      <c r="BB521" s="620">
        <v>103.50685607036536</v>
      </c>
      <c r="BC521" s="720">
        <f>(BB535-BB536)/BB517</f>
        <v>0.63899148820670526</v>
      </c>
      <c r="BD521" s="714">
        <f>D521-BB533</f>
        <v>31.119999999999948</v>
      </c>
      <c r="BE521" s="693">
        <f>BB535-BB536</f>
        <v>66.14</v>
      </c>
      <c r="BF521" s="693">
        <f t="shared" si="486"/>
        <v>47.051708497127223</v>
      </c>
      <c r="BG521" s="668">
        <f t="shared" si="487"/>
        <v>30.065641235247405</v>
      </c>
      <c r="BH521" s="650">
        <v>550</v>
      </c>
      <c r="BI521" s="620">
        <v>103.50685607036536</v>
      </c>
      <c r="BJ521" s="720">
        <f>(BI535-BI536)/BI517</f>
        <v>0.58131414946170945</v>
      </c>
      <c r="BK521" s="714">
        <f>I521-BI533</f>
        <v>33.769999999999982</v>
      </c>
      <c r="BL521" s="693">
        <f>BI535-BI536</f>
        <v>60.170000000000016</v>
      </c>
      <c r="BM521" s="693">
        <f t="shared" si="488"/>
        <v>56.124314442413116</v>
      </c>
      <c r="BN521" s="668">
        <f t="shared" si="489"/>
        <v>32.625858114212917</v>
      </c>
      <c r="BO521" s="650">
        <v>550</v>
      </c>
      <c r="BP521" s="681">
        <v>103.50685607036536</v>
      </c>
      <c r="BQ521" s="720">
        <f>(BP535-BP536)/BP517</f>
        <v>0.69956718568260545</v>
      </c>
      <c r="BR521" s="714">
        <f>N521-BP533</f>
        <v>34.71999999999997</v>
      </c>
      <c r="BS521" s="693">
        <f>BP535-BP536</f>
        <v>72.41</v>
      </c>
      <c r="BT521" s="693">
        <f t="shared" si="490"/>
        <v>47.949178290291357</v>
      </c>
      <c r="BU521" s="668">
        <f t="shared" si="491"/>
        <v>33.54367171233261</v>
      </c>
      <c r="BV521" s="650">
        <v>550</v>
      </c>
      <c r="BW521" s="620">
        <v>103.50685607036536</v>
      </c>
      <c r="BX521" s="720">
        <f>(BW535-BW536)/BW517</f>
        <v>0.76371752559328776</v>
      </c>
      <c r="BY521" s="714">
        <f>S521-BW533</f>
        <v>34.029999999999973</v>
      </c>
      <c r="BZ521" s="693">
        <f>BW535-BW536</f>
        <v>79.050000000000011</v>
      </c>
      <c r="CA521" s="693">
        <f t="shared" si="492"/>
        <v>43.048703352308628</v>
      </c>
      <c r="CB521" s="668">
        <f t="shared" si="493"/>
        <v>32.877049204224619</v>
      </c>
    </row>
    <row r="522" spans="1:80" ht="15.75">
      <c r="A522" s="564"/>
      <c r="B522" s="585" t="s">
        <v>116</v>
      </c>
      <c r="C522" s="730">
        <v>650</v>
      </c>
      <c r="D522" s="730">
        <v>382.36</v>
      </c>
      <c r="E522" s="652">
        <v>12.15</v>
      </c>
      <c r="F522" s="652">
        <v>9.18</v>
      </c>
      <c r="G522" s="653">
        <v>8.89</v>
      </c>
      <c r="H522" s="730">
        <v>650</v>
      </c>
      <c r="I522" s="652">
        <v>379.94</v>
      </c>
      <c r="J522" s="260">
        <v>9.6199999999999992</v>
      </c>
      <c r="K522" s="260">
        <v>9.19</v>
      </c>
      <c r="L522" s="548">
        <v>9.2799999999999994</v>
      </c>
      <c r="M522" s="730">
        <v>650</v>
      </c>
      <c r="N522" s="639">
        <v>392.63</v>
      </c>
      <c r="O522" s="550">
        <v>8.83</v>
      </c>
      <c r="P522" s="550">
        <v>9.99</v>
      </c>
      <c r="Q522" s="94">
        <v>8.6999999999999993</v>
      </c>
      <c r="R522" s="730">
        <v>650</v>
      </c>
      <c r="S522" s="639">
        <v>398.84</v>
      </c>
      <c r="T522" s="639">
        <v>5.4</v>
      </c>
      <c r="U522" s="639">
        <v>6.92</v>
      </c>
      <c r="V522" s="654">
        <v>3.52</v>
      </c>
      <c r="W522" s="564"/>
      <c r="X522" s="650">
        <v>650</v>
      </c>
      <c r="Y522" s="651">
        <f t="shared" si="470"/>
        <v>1.0073333333333332</v>
      </c>
      <c r="Z522" s="620">
        <v>9.6440000000000001</v>
      </c>
      <c r="AA522" s="620">
        <v>4.5170000000000003</v>
      </c>
      <c r="AB522" s="620">
        <f t="shared" si="471"/>
        <v>4.1196666666666664</v>
      </c>
      <c r="AC522" s="620">
        <f t="shared" si="472"/>
        <v>34.45633333333334</v>
      </c>
      <c r="AD522" s="653">
        <f t="shared" si="473"/>
        <v>83.842654992611656</v>
      </c>
      <c r="AE522" s="650">
        <v>650</v>
      </c>
      <c r="AF522" s="620">
        <f t="shared" si="474"/>
        <v>0.93633333333333313</v>
      </c>
      <c r="AG522" s="620">
        <v>9.6440000000000001</v>
      </c>
      <c r="AH522" s="620">
        <v>4.5170000000000003</v>
      </c>
      <c r="AI522" s="620">
        <f t="shared" si="475"/>
        <v>4.190666666666667</v>
      </c>
      <c r="AJ522" s="620">
        <f t="shared" si="476"/>
        <v>34.385333333333335</v>
      </c>
      <c r="AK522" s="653">
        <f t="shared" si="477"/>
        <v>85.111891274106668</v>
      </c>
      <c r="AL522" s="650">
        <v>650</v>
      </c>
      <c r="AM522" s="620">
        <f t="shared" si="478"/>
        <v>0.91733333333333333</v>
      </c>
      <c r="AN522" s="620">
        <v>9.6440000000000001</v>
      </c>
      <c r="AO522" s="620">
        <v>4.5170000000000003</v>
      </c>
      <c r="AP522" s="620">
        <f t="shared" si="479"/>
        <v>4.2096666666666662</v>
      </c>
      <c r="AQ522" s="620">
        <f t="shared" si="480"/>
        <v>34.366333333333337</v>
      </c>
      <c r="AR522" s="698">
        <f t="shared" si="481"/>
        <v>85.450536033611669</v>
      </c>
      <c r="AS522" s="650">
        <v>650</v>
      </c>
      <c r="AT522" s="620">
        <f t="shared" si="482"/>
        <v>0.52800000000000002</v>
      </c>
      <c r="AU522" s="620">
        <v>9.6440000000000001</v>
      </c>
      <c r="AV522" s="620">
        <v>4.5170000000000003</v>
      </c>
      <c r="AW522" s="620">
        <f t="shared" si="483"/>
        <v>4.5990000000000002</v>
      </c>
      <c r="AX522" s="620">
        <f t="shared" si="484"/>
        <v>33.977000000000004</v>
      </c>
      <c r="AY522" s="698">
        <f t="shared" si="485"/>
        <v>92.295882016065008</v>
      </c>
      <c r="AZ522" s="75"/>
      <c r="BA522" s="650">
        <v>650</v>
      </c>
      <c r="BB522" s="620">
        <v>103.50685607036536</v>
      </c>
      <c r="BC522" s="720">
        <f>(BB535-BB536)/BB517</f>
        <v>0.63899148820670526</v>
      </c>
      <c r="BD522" s="714">
        <f>D522-BB533</f>
        <v>29.399999999999977</v>
      </c>
      <c r="BE522" s="693">
        <f>BB535-BB536</f>
        <v>66.14</v>
      </c>
      <c r="BF522" s="693">
        <f t="shared" si="486"/>
        <v>44.45116419715751</v>
      </c>
      <c r="BG522" s="668">
        <f t="shared" si="487"/>
        <v>28.403915562862291</v>
      </c>
      <c r="BH522" s="650">
        <v>650</v>
      </c>
      <c r="BI522" s="620">
        <v>103.50685607036536</v>
      </c>
      <c r="BJ522" s="720">
        <f>(BI535-BI536)/BI517</f>
        <v>0.58131414946170945</v>
      </c>
      <c r="BK522" s="714">
        <f>I522-BI533</f>
        <v>31.939999999999998</v>
      </c>
      <c r="BL522" s="693">
        <f>BI535-BI536</f>
        <v>60.170000000000016</v>
      </c>
      <c r="BM522" s="693">
        <f t="shared" si="488"/>
        <v>53.08293169353496</v>
      </c>
      <c r="BN522" s="668">
        <f t="shared" si="489"/>
        <v>30.857859288361293</v>
      </c>
      <c r="BO522" s="650">
        <v>650</v>
      </c>
      <c r="BP522" s="681">
        <v>103.50685607036536</v>
      </c>
      <c r="BQ522" s="720">
        <f>(BP535-BP536)/BP517</f>
        <v>0.69956718568260545</v>
      </c>
      <c r="BR522" s="714">
        <f>N522-BP533</f>
        <v>32.659999999999968</v>
      </c>
      <c r="BS522" s="693">
        <f>BP535-BP536</f>
        <v>72.41</v>
      </c>
      <c r="BT522" s="693">
        <f t="shared" si="490"/>
        <v>45.104267366385812</v>
      </c>
      <c r="BU522" s="668">
        <f t="shared" si="491"/>
        <v>31.553465383778306</v>
      </c>
      <c r="BV522" s="650">
        <v>650</v>
      </c>
      <c r="BW522" s="620">
        <v>103.50685607036536</v>
      </c>
      <c r="BX522" s="720">
        <f>(BW535-BW536)/BW517</f>
        <v>0.76371752559328776</v>
      </c>
      <c r="BY522" s="714">
        <f>S522-BW533</f>
        <v>32.38999999999993</v>
      </c>
      <c r="BZ522" s="693">
        <f>BW535-BW536</f>
        <v>79.050000000000011</v>
      </c>
      <c r="CA522" s="693">
        <f t="shared" si="492"/>
        <v>40.974067046173211</v>
      </c>
      <c r="CB522" s="668">
        <f t="shared" si="493"/>
        <v>31.292613097996878</v>
      </c>
    </row>
    <row r="523" spans="1:80" ht="15.75">
      <c r="A523" s="564"/>
      <c r="B523" s="585" t="s">
        <v>116</v>
      </c>
      <c r="C523" s="730">
        <v>750</v>
      </c>
      <c r="D523" s="730">
        <v>380.79</v>
      </c>
      <c r="E523" s="652">
        <v>3.45</v>
      </c>
      <c r="F523" s="652">
        <v>13.08</v>
      </c>
      <c r="G523" s="653">
        <v>6.02</v>
      </c>
      <c r="H523" s="730">
        <v>750</v>
      </c>
      <c r="I523" s="652">
        <v>378.34</v>
      </c>
      <c r="J523" s="260">
        <v>6.46</v>
      </c>
      <c r="K523" s="260">
        <v>11.05</v>
      </c>
      <c r="L523" s="548">
        <v>9.35</v>
      </c>
      <c r="M523" s="730">
        <v>750</v>
      </c>
      <c r="N523" s="639">
        <v>390.67</v>
      </c>
      <c r="O523" s="562">
        <v>7.78</v>
      </c>
      <c r="P523" s="562">
        <v>6.61</v>
      </c>
      <c r="Q523" s="588">
        <v>10.08</v>
      </c>
      <c r="R523" s="730">
        <v>750</v>
      </c>
      <c r="S523" s="639">
        <v>397.47</v>
      </c>
      <c r="T523" s="639">
        <v>7.12</v>
      </c>
      <c r="U523" s="639">
        <v>4.2300000000000004</v>
      </c>
      <c r="V523" s="654">
        <v>5.46</v>
      </c>
      <c r="W523" s="564"/>
      <c r="X523" s="650">
        <v>750</v>
      </c>
      <c r="Y523" s="651">
        <f t="shared" si="470"/>
        <v>0.75166666666666671</v>
      </c>
      <c r="Z523" s="620">
        <v>9.6440000000000001</v>
      </c>
      <c r="AA523" s="620">
        <v>4.5170000000000003</v>
      </c>
      <c r="AB523" s="620">
        <f t="shared" si="471"/>
        <v>4.3753333333333329</v>
      </c>
      <c r="AC523" s="620">
        <f t="shared" si="472"/>
        <v>34.20066666666667</v>
      </c>
      <c r="AD523" s="653">
        <f t="shared" si="473"/>
        <v>117.6726178185</v>
      </c>
      <c r="AE523" s="650">
        <v>750</v>
      </c>
      <c r="AF523" s="620">
        <f t="shared" si="474"/>
        <v>0.89533333333333331</v>
      </c>
      <c r="AG523" s="620">
        <v>9.6440000000000001</v>
      </c>
      <c r="AH523" s="620">
        <v>4.5170000000000003</v>
      </c>
      <c r="AI523" s="620">
        <f t="shared" si="475"/>
        <v>4.2316666666666665</v>
      </c>
      <c r="AJ523" s="620">
        <f t="shared" si="476"/>
        <v>34.344333333333338</v>
      </c>
      <c r="AK523" s="653">
        <f t="shared" si="477"/>
        <v>114.28684382062499</v>
      </c>
      <c r="AL523" s="650">
        <v>750</v>
      </c>
      <c r="AM523" s="620">
        <f t="shared" si="478"/>
        <v>0.81566666666666665</v>
      </c>
      <c r="AN523" s="620">
        <v>9.6440000000000001</v>
      </c>
      <c r="AO523" s="620">
        <v>4.5170000000000003</v>
      </c>
      <c r="AP523" s="620">
        <f t="shared" si="479"/>
        <v>4.3113333333333328</v>
      </c>
      <c r="AQ523" s="620">
        <f t="shared" si="480"/>
        <v>34.26466666666667</v>
      </c>
      <c r="AR523" s="698">
        <f t="shared" si="481"/>
        <v>116.16834745049998</v>
      </c>
      <c r="AS523" s="650">
        <v>750</v>
      </c>
      <c r="AT523" s="620">
        <f t="shared" si="482"/>
        <v>0.56033333333333346</v>
      </c>
      <c r="AU523" s="620">
        <v>9.6440000000000001</v>
      </c>
      <c r="AV523" s="620">
        <v>4.5170000000000003</v>
      </c>
      <c r="AW523" s="620">
        <f t="shared" si="483"/>
        <v>4.5666666666666664</v>
      </c>
      <c r="AX523" s="620">
        <f t="shared" si="484"/>
        <v>34.009333333333338</v>
      </c>
      <c r="AY523" s="698">
        <f t="shared" si="485"/>
        <v>122.13134205</v>
      </c>
      <c r="AZ523" s="75"/>
      <c r="BA523" s="650">
        <v>750</v>
      </c>
      <c r="BB523" s="620">
        <v>103.50685607036536</v>
      </c>
      <c r="BC523" s="720">
        <f>(BB535-BB536)/BB517</f>
        <v>0.63899148820670526</v>
      </c>
      <c r="BD523" s="714">
        <f>D523-BB533</f>
        <v>27.829999999999984</v>
      </c>
      <c r="BE523" s="693">
        <f>BB535-BB536</f>
        <v>66.14</v>
      </c>
      <c r="BF523" s="693">
        <f t="shared" si="486"/>
        <v>42.07741155125489</v>
      </c>
      <c r="BG523" s="668">
        <f t="shared" si="487"/>
        <v>26.887107827022373</v>
      </c>
      <c r="BH523" s="650">
        <v>750</v>
      </c>
      <c r="BI523" s="620">
        <v>103.50685607036536</v>
      </c>
      <c r="BJ523" s="720">
        <f>(BI535-BI536)/BI517</f>
        <v>0.58131414946170945</v>
      </c>
      <c r="BK523" s="714">
        <f>I523-BI533</f>
        <v>30.339999999999975</v>
      </c>
      <c r="BL523" s="693">
        <f>BI535-BI536</f>
        <v>60.170000000000016</v>
      </c>
      <c r="BM523" s="693">
        <f t="shared" si="488"/>
        <v>50.423799235499366</v>
      </c>
      <c r="BN523" s="668">
        <f t="shared" si="489"/>
        <v>29.312067965212311</v>
      </c>
      <c r="BO523" s="650">
        <v>750</v>
      </c>
      <c r="BP523" s="681">
        <v>103.50685607036536</v>
      </c>
      <c r="BQ523" s="720">
        <f>(BP535-BP536)/BP517</f>
        <v>0.69956718568260545</v>
      </c>
      <c r="BR523" s="714">
        <f>N523-BP533</f>
        <v>30.699999999999989</v>
      </c>
      <c r="BS523" s="693">
        <f>BP535-BP536</f>
        <v>72.41</v>
      </c>
      <c r="BT523" s="693">
        <f t="shared" si="490"/>
        <v>42.397458914514559</v>
      </c>
      <c r="BU523" s="668">
        <f t="shared" si="491"/>
        <v>29.659871012920842</v>
      </c>
      <c r="BV523" s="650">
        <v>750</v>
      </c>
      <c r="BW523" s="620">
        <v>103.50685607036536</v>
      </c>
      <c r="BX523" s="720">
        <f>(BW535-BW536)/BW517</f>
        <v>0.76371752559328776</v>
      </c>
      <c r="BY523" s="714">
        <f>S523-BW533</f>
        <v>31.019999999999982</v>
      </c>
      <c r="BZ523" s="693">
        <f>BW535-BW536</f>
        <v>79.050000000000011</v>
      </c>
      <c r="CA523" s="693">
        <f t="shared" si="492"/>
        <v>39.240986717267525</v>
      </c>
      <c r="CB523" s="668">
        <f t="shared" si="493"/>
        <v>29.969029277550625</v>
      </c>
    </row>
    <row r="524" spans="1:80" ht="15.75">
      <c r="A524" s="564"/>
      <c r="B524" s="585" t="s">
        <v>116</v>
      </c>
      <c r="C524" s="730">
        <v>850</v>
      </c>
      <c r="D524" s="730">
        <v>379.66</v>
      </c>
      <c r="E524" s="652">
        <v>5.05</v>
      </c>
      <c r="F524" s="652">
        <v>4.42</v>
      </c>
      <c r="G524" s="653">
        <v>15.99</v>
      </c>
      <c r="H524" s="730">
        <v>850</v>
      </c>
      <c r="I524" s="652">
        <v>377.3</v>
      </c>
      <c r="J524" s="260">
        <v>11.8</v>
      </c>
      <c r="K524" s="260">
        <v>7.69</v>
      </c>
      <c r="L524" s="548">
        <v>9.92</v>
      </c>
      <c r="M524" s="730">
        <v>850</v>
      </c>
      <c r="N524" s="639">
        <v>389.11</v>
      </c>
      <c r="O524" s="562">
        <v>8.98</v>
      </c>
      <c r="P524" s="562">
        <v>8.64</v>
      </c>
      <c r="Q524" s="588">
        <v>10.53</v>
      </c>
      <c r="R524" s="730">
        <v>850</v>
      </c>
      <c r="S524" s="639">
        <v>396.44</v>
      </c>
      <c r="T524" s="639">
        <v>6.66</v>
      </c>
      <c r="U524" s="639">
        <v>5.81</v>
      </c>
      <c r="V524" s="654">
        <v>5.78</v>
      </c>
      <c r="W524" s="564"/>
      <c r="X524" s="650">
        <v>850</v>
      </c>
      <c r="Y524" s="651">
        <f t="shared" si="470"/>
        <v>0.84866666666666668</v>
      </c>
      <c r="Z524" s="620">
        <v>9.6440000000000001</v>
      </c>
      <c r="AA524" s="620">
        <v>4.5170000000000003</v>
      </c>
      <c r="AB524" s="620">
        <f t="shared" si="471"/>
        <v>4.2783333333333333</v>
      </c>
      <c r="AC524" s="620">
        <f t="shared" si="472"/>
        <v>34.297666666666672</v>
      </c>
      <c r="AD524" s="653">
        <f t="shared" si="473"/>
        <v>148.21228958789169</v>
      </c>
      <c r="AE524" s="650">
        <v>850</v>
      </c>
      <c r="AF524" s="620">
        <f t="shared" si="474"/>
        <v>0.9803333333333335</v>
      </c>
      <c r="AG524" s="620">
        <v>9.6440000000000001</v>
      </c>
      <c r="AH524" s="620">
        <v>4.5170000000000003</v>
      </c>
      <c r="AI524" s="620">
        <f t="shared" si="475"/>
        <v>4.1466666666666665</v>
      </c>
      <c r="AJ524" s="620">
        <f t="shared" si="476"/>
        <v>34.429333333333339</v>
      </c>
      <c r="AK524" s="653">
        <f t="shared" si="477"/>
        <v>144.20249076106668</v>
      </c>
      <c r="AL524" s="650">
        <v>850</v>
      </c>
      <c r="AM524" s="620">
        <f t="shared" si="478"/>
        <v>0.93833333333333324</v>
      </c>
      <c r="AN524" s="620">
        <v>9.6440000000000001</v>
      </c>
      <c r="AO524" s="620">
        <v>4.5170000000000003</v>
      </c>
      <c r="AP524" s="620">
        <f t="shared" si="479"/>
        <v>4.1886666666666663</v>
      </c>
      <c r="AQ524" s="620">
        <f t="shared" si="480"/>
        <v>34.387333333333338</v>
      </c>
      <c r="AR524" s="698">
        <f t="shared" si="481"/>
        <v>145.48536969700666</v>
      </c>
      <c r="AS524" s="650">
        <v>850</v>
      </c>
      <c r="AT524" s="620">
        <f t="shared" si="482"/>
        <v>0.60833333333333328</v>
      </c>
      <c r="AU524" s="620">
        <v>9.6440000000000001</v>
      </c>
      <c r="AV524" s="620">
        <v>4.5170000000000003</v>
      </c>
      <c r="AW524" s="620">
        <f t="shared" si="483"/>
        <v>4.5186666666666664</v>
      </c>
      <c r="AX524" s="620">
        <f t="shared" si="484"/>
        <v>34.057333333333339</v>
      </c>
      <c r="AY524" s="698">
        <f t="shared" si="485"/>
        <v>155.44113841330667</v>
      </c>
      <c r="AZ524" s="75"/>
      <c r="BA524" s="650">
        <v>850</v>
      </c>
      <c r="BB524" s="620">
        <v>103.50685607036536</v>
      </c>
      <c r="BC524" s="720">
        <f>(BB535-BB536)/BB517</f>
        <v>0.63899148820670526</v>
      </c>
      <c r="BD524" s="714">
        <f>D524-BB533</f>
        <v>26.699999999999989</v>
      </c>
      <c r="BE524" s="693">
        <f>BB535-BB536</f>
        <v>66.14</v>
      </c>
      <c r="BF524" s="693">
        <f t="shared" si="486"/>
        <v>40.368914423949178</v>
      </c>
      <c r="BG524" s="668">
        <f t="shared" si="487"/>
        <v>25.795392705048414</v>
      </c>
      <c r="BH524" s="650">
        <v>850</v>
      </c>
      <c r="BI524" s="620">
        <v>103.50685607036536</v>
      </c>
      <c r="BJ524" s="720">
        <f>(BI535-BI536)/BI517</f>
        <v>0.58131414946170945</v>
      </c>
      <c r="BK524" s="714">
        <f>I524-BI533</f>
        <v>29.300000000000011</v>
      </c>
      <c r="BL524" s="693">
        <f>BI535-BI536</f>
        <v>60.170000000000016</v>
      </c>
      <c r="BM524" s="693">
        <f t="shared" si="488"/>
        <v>48.695363137776305</v>
      </c>
      <c r="BN524" s="668">
        <f t="shared" si="489"/>
        <v>28.307303605165512</v>
      </c>
      <c r="BO524" s="650">
        <v>850</v>
      </c>
      <c r="BP524" s="681">
        <v>103.50685607036536</v>
      </c>
      <c r="BQ524" s="720">
        <f>(BP535-BP536)/BP517</f>
        <v>0.69956718568260545</v>
      </c>
      <c r="BR524" s="714">
        <f>N524-BP533</f>
        <v>29.139999999999986</v>
      </c>
      <c r="BS524" s="693">
        <f>BP535-BP536</f>
        <v>72.41</v>
      </c>
      <c r="BT524" s="693">
        <f t="shared" si="490"/>
        <v>40.243060350780262</v>
      </c>
      <c r="BU524" s="668">
        <f t="shared" si="491"/>
        <v>28.152724472850593</v>
      </c>
      <c r="BV524" s="650">
        <v>850</v>
      </c>
      <c r="BW524" s="620">
        <v>103.50685607036536</v>
      </c>
      <c r="BX524" s="720">
        <f>(BW535-BW536)/BW517</f>
        <v>0.76371752559328776</v>
      </c>
      <c r="BY524" s="714">
        <f>S524-BW533</f>
        <v>29.989999999999952</v>
      </c>
      <c r="BZ524" s="693">
        <f>BW535-BW536</f>
        <v>79.050000000000011</v>
      </c>
      <c r="CA524" s="693">
        <f t="shared" si="492"/>
        <v>37.938013915243452</v>
      </c>
      <c r="CB524" s="668">
        <f t="shared" si="493"/>
        <v>28.97392611327345</v>
      </c>
    </row>
    <row r="525" spans="1:80" ht="15.75">
      <c r="A525" s="564"/>
      <c r="B525" s="585" t="s">
        <v>116</v>
      </c>
      <c r="C525" s="730">
        <v>950</v>
      </c>
      <c r="D525" s="730">
        <v>378.64</v>
      </c>
      <c r="E525" s="652">
        <v>13.07</v>
      </c>
      <c r="F525" s="652">
        <v>4.1100000000000003</v>
      </c>
      <c r="G525" s="653">
        <v>5.73</v>
      </c>
      <c r="H525" s="730">
        <v>950</v>
      </c>
      <c r="I525" s="652">
        <v>376.31</v>
      </c>
      <c r="J525" s="260">
        <v>10.39</v>
      </c>
      <c r="K525" s="260">
        <v>8.01</v>
      </c>
      <c r="L525" s="548">
        <v>12.94</v>
      </c>
      <c r="M525" s="730">
        <v>950</v>
      </c>
      <c r="N525" s="639">
        <v>387.7</v>
      </c>
      <c r="O525" s="562">
        <v>9.5399999999999991</v>
      </c>
      <c r="P525" s="562">
        <v>9.52</v>
      </c>
      <c r="Q525" s="588">
        <v>10.54</v>
      </c>
      <c r="R525" s="730">
        <v>950</v>
      </c>
      <c r="S525" s="639">
        <v>395.47</v>
      </c>
      <c r="T525" s="639">
        <v>7.35</v>
      </c>
      <c r="U525" s="639">
        <v>6.06</v>
      </c>
      <c r="V525" s="654">
        <v>7.92</v>
      </c>
      <c r="W525" s="564"/>
      <c r="X525" s="650">
        <v>950</v>
      </c>
      <c r="Y525" s="651">
        <f t="shared" si="470"/>
        <v>0.76366666666666672</v>
      </c>
      <c r="Z525" s="620">
        <v>9.6440000000000001</v>
      </c>
      <c r="AA525" s="620">
        <v>4.5170000000000003</v>
      </c>
      <c r="AB525" s="620">
        <f t="shared" si="471"/>
        <v>4.3633333333333333</v>
      </c>
      <c r="AC525" s="620">
        <f t="shared" si="472"/>
        <v>34.212666666666671</v>
      </c>
      <c r="AD525" s="653">
        <f t="shared" si="473"/>
        <v>188.34743055076666</v>
      </c>
      <c r="AE525" s="650">
        <v>950</v>
      </c>
      <c r="AF525" s="620">
        <f t="shared" si="474"/>
        <v>1.0446666666666666</v>
      </c>
      <c r="AG525" s="620">
        <v>9.6440000000000001</v>
      </c>
      <c r="AH525" s="620">
        <v>4.5170000000000003</v>
      </c>
      <c r="AI525" s="620">
        <f t="shared" si="475"/>
        <v>4.0823333333333327</v>
      </c>
      <c r="AJ525" s="620">
        <f t="shared" si="476"/>
        <v>34.49366666666667</v>
      </c>
      <c r="AK525" s="653">
        <f t="shared" si="477"/>
        <v>177.66513380365163</v>
      </c>
      <c r="AL525" s="650">
        <v>950</v>
      </c>
      <c r="AM525" s="620">
        <f t="shared" si="478"/>
        <v>0.98666666666666658</v>
      </c>
      <c r="AN525" s="620">
        <v>9.6440000000000001</v>
      </c>
      <c r="AO525" s="620">
        <v>4.5170000000000003</v>
      </c>
      <c r="AP525" s="620">
        <f t="shared" si="479"/>
        <v>4.1403333333333334</v>
      </c>
      <c r="AQ525" s="620">
        <f t="shared" si="480"/>
        <v>34.43566666666667</v>
      </c>
      <c r="AR525" s="698">
        <f t="shared" si="481"/>
        <v>179.88633943985167</v>
      </c>
      <c r="AS525" s="650">
        <v>950</v>
      </c>
      <c r="AT525" s="620">
        <f t="shared" si="482"/>
        <v>0.71099999999999997</v>
      </c>
      <c r="AU525" s="620">
        <v>9.6440000000000001</v>
      </c>
      <c r="AV525" s="620">
        <v>4.5170000000000003</v>
      </c>
      <c r="AW525" s="620">
        <f t="shared" si="483"/>
        <v>4.4159999999999995</v>
      </c>
      <c r="AX525" s="620">
        <f t="shared" si="484"/>
        <v>34.160000000000004</v>
      </c>
      <c r="AY525" s="698">
        <f t="shared" si="485"/>
        <v>190.32739729919996</v>
      </c>
      <c r="AZ525" s="75"/>
      <c r="BA525" s="650">
        <v>950</v>
      </c>
      <c r="BB525" s="620">
        <v>103.50685607036536</v>
      </c>
      <c r="BC525" s="720">
        <f>(BB535-BB536)/BB517</f>
        <v>0.63899148820670526</v>
      </c>
      <c r="BD525" s="714">
        <f>D525-BB533</f>
        <v>25.67999999999995</v>
      </c>
      <c r="BE525" s="693">
        <f>BB535-BB536</f>
        <v>66.14</v>
      </c>
      <c r="BF525" s="693">
        <f t="shared" si="486"/>
        <v>38.826731176292633</v>
      </c>
      <c r="BG525" s="668">
        <f t="shared" si="487"/>
        <v>24.809950736540909</v>
      </c>
      <c r="BH525" s="650">
        <v>950</v>
      </c>
      <c r="BI525" s="620">
        <v>103.50685607036536</v>
      </c>
      <c r="BJ525" s="720">
        <f>(BI535-BI536)/BI517</f>
        <v>0.58131414946170945</v>
      </c>
      <c r="BK525" s="714">
        <f>I525-BI533</f>
        <v>28.310000000000002</v>
      </c>
      <c r="BL525" s="693">
        <f>BI535-BI536</f>
        <v>60.170000000000016</v>
      </c>
      <c r="BM525" s="693">
        <f t="shared" si="488"/>
        <v>47.050024929366785</v>
      </c>
      <c r="BN525" s="668">
        <f t="shared" si="489"/>
        <v>27.350845223967077</v>
      </c>
      <c r="BO525" s="650">
        <v>950</v>
      </c>
      <c r="BP525" s="681">
        <v>103.50685607036536</v>
      </c>
      <c r="BQ525" s="720">
        <f>(BP535-BP536)/BP517</f>
        <v>0.69956718568260545</v>
      </c>
      <c r="BR525" s="714">
        <f>N525-BP533</f>
        <v>27.729999999999961</v>
      </c>
      <c r="BS525" s="693">
        <f>BP535-BP536</f>
        <v>72.41</v>
      </c>
      <c r="BT525" s="693">
        <f t="shared" si="490"/>
        <v>38.295815495097315</v>
      </c>
      <c r="BU525" s="668">
        <f t="shared" si="491"/>
        <v>26.790495869325543</v>
      </c>
      <c r="BV525" s="650">
        <v>950</v>
      </c>
      <c r="BW525" s="620">
        <v>103.50685607036536</v>
      </c>
      <c r="BX525" s="720">
        <f>(BW535-BW536)/BW517</f>
        <v>0.76371752559328776</v>
      </c>
      <c r="BY525" s="714">
        <f>S525-BW533</f>
        <v>29.019999999999982</v>
      </c>
      <c r="BZ525" s="693">
        <f>BW535-BW536</f>
        <v>79.050000000000011</v>
      </c>
      <c r="CA525" s="693">
        <f t="shared" si="492"/>
        <v>36.710942441492698</v>
      </c>
      <c r="CB525" s="668">
        <f t="shared" si="493"/>
        <v>28.036790123614413</v>
      </c>
    </row>
    <row r="526" spans="1:80" ht="15.75">
      <c r="A526" s="564"/>
      <c r="B526" s="585" t="s">
        <v>116</v>
      </c>
      <c r="C526" s="730">
        <v>1000</v>
      </c>
      <c r="D526" s="730">
        <v>378.1</v>
      </c>
      <c r="E526" s="652">
        <v>4.47</v>
      </c>
      <c r="F526" s="744">
        <v>14.19</v>
      </c>
      <c r="G526" s="653">
        <v>11.01</v>
      </c>
      <c r="H526" s="730">
        <v>1000</v>
      </c>
      <c r="I526" s="652">
        <v>375.9</v>
      </c>
      <c r="J526" s="260">
        <v>12.53</v>
      </c>
      <c r="K526" s="260">
        <v>8.9499999999999993</v>
      </c>
      <c r="L526" s="548">
        <v>4.01</v>
      </c>
      <c r="M526" s="730">
        <v>1000</v>
      </c>
      <c r="N526" s="562">
        <v>387.04</v>
      </c>
      <c r="O526" s="639">
        <v>9.83</v>
      </c>
      <c r="P526" s="562">
        <v>9.64</v>
      </c>
      <c r="Q526" s="588">
        <v>11.87</v>
      </c>
      <c r="R526" s="730">
        <v>1000</v>
      </c>
      <c r="S526" s="639">
        <v>394.97</v>
      </c>
      <c r="T526" s="639">
        <v>6.5</v>
      </c>
      <c r="U526" s="639">
        <v>6.56</v>
      </c>
      <c r="V526" s="654">
        <v>7.76</v>
      </c>
      <c r="W526" s="564"/>
      <c r="X526" s="650">
        <v>1000</v>
      </c>
      <c r="Y526" s="651">
        <f t="shared" si="470"/>
        <v>0.9890000000000001</v>
      </c>
      <c r="Z526" s="620">
        <v>9.6440000000000001</v>
      </c>
      <c r="AA526" s="620">
        <v>4.5170000000000003</v>
      </c>
      <c r="AB526" s="620">
        <f t="shared" si="471"/>
        <v>4.1379999999999999</v>
      </c>
      <c r="AC526" s="620">
        <f t="shared" si="472"/>
        <v>34.438000000000002</v>
      </c>
      <c r="AD526" s="653">
        <f t="shared" si="473"/>
        <v>199.22121271199995</v>
      </c>
      <c r="AE526" s="650">
        <v>1000</v>
      </c>
      <c r="AF526" s="620">
        <f t="shared" si="474"/>
        <v>0.84966666666666646</v>
      </c>
      <c r="AG526" s="620">
        <v>9.6440000000000001</v>
      </c>
      <c r="AH526" s="620">
        <v>4.5170000000000003</v>
      </c>
      <c r="AI526" s="620">
        <f t="shared" si="475"/>
        <v>4.277333333333333</v>
      </c>
      <c r="AJ526" s="620">
        <f t="shared" si="476"/>
        <v>34.298666666666669</v>
      </c>
      <c r="AK526" s="653">
        <f t="shared" si="477"/>
        <v>205.09614865066663</v>
      </c>
      <c r="AL526" s="650">
        <v>1000</v>
      </c>
      <c r="AM526" s="620">
        <f>AVERAGE(P526:Q526)/10</f>
        <v>1.0754999999999999</v>
      </c>
      <c r="AN526" s="620">
        <v>9.6440000000000001</v>
      </c>
      <c r="AO526" s="620">
        <v>4.5170000000000003</v>
      </c>
      <c r="AP526" s="620">
        <f t="shared" si="479"/>
        <v>4.0514999999999999</v>
      </c>
      <c r="AQ526" s="620">
        <f t="shared" si="480"/>
        <v>34.524500000000003</v>
      </c>
      <c r="AR526" s="698">
        <f t="shared" si="481"/>
        <v>195.54666442649997</v>
      </c>
      <c r="AS526" s="650">
        <v>1000</v>
      </c>
      <c r="AT526" s="620">
        <f t="shared" si="482"/>
        <v>0.69400000000000006</v>
      </c>
      <c r="AU526" s="620">
        <v>9.6440000000000001</v>
      </c>
      <c r="AV526" s="620">
        <v>4.5170000000000003</v>
      </c>
      <c r="AW526" s="620">
        <f t="shared" si="483"/>
        <v>4.4329999999999998</v>
      </c>
      <c r="AX526" s="620">
        <f t="shared" si="484"/>
        <v>34.143000000000008</v>
      </c>
      <c r="AY526" s="698">
        <f t="shared" si="485"/>
        <v>211.59557476200001</v>
      </c>
      <c r="AZ526" s="75"/>
      <c r="BA526" s="650">
        <v>1000</v>
      </c>
      <c r="BB526" s="620">
        <v>103.50685607036536</v>
      </c>
      <c r="BC526" s="720">
        <f>(BB535-BB536)/BB517</f>
        <v>0.63899148820670526</v>
      </c>
      <c r="BD526" s="714">
        <f>D526-BB533</f>
        <v>25.139999999999986</v>
      </c>
      <c r="BE526" s="693">
        <f>BB535-BB536</f>
        <v>66.14</v>
      </c>
      <c r="BF526" s="693">
        <f t="shared" si="486"/>
        <v>38.01028122165102</v>
      </c>
      <c r="BG526" s="668">
        <f t="shared" si="487"/>
        <v>24.288246164978169</v>
      </c>
      <c r="BH526" s="650">
        <v>1000</v>
      </c>
      <c r="BI526" s="620">
        <v>103.50685607036536</v>
      </c>
      <c r="BJ526" s="720">
        <f>(BI535-BI536)/BI517</f>
        <v>0.58131414946170945</v>
      </c>
      <c r="BK526" s="714">
        <f>I526-BI533</f>
        <v>27.899999999999977</v>
      </c>
      <c r="BL526" s="693">
        <f>BI535-BI536</f>
        <v>60.170000000000016</v>
      </c>
      <c r="BM526" s="693">
        <f t="shared" si="488"/>
        <v>46.36862223699513</v>
      </c>
      <c r="BN526" s="668">
        <f t="shared" si="489"/>
        <v>26.954736197410131</v>
      </c>
      <c r="BO526" s="650">
        <v>1000</v>
      </c>
      <c r="BP526" s="681">
        <v>103.50685607036536</v>
      </c>
      <c r="BQ526" s="720">
        <f>(BP535-BP536)/BP517</f>
        <v>0.69956718568260545</v>
      </c>
      <c r="BR526" s="714">
        <f>N526-BP533</f>
        <v>27.069999999999993</v>
      </c>
      <c r="BS526" s="693">
        <f>BP535-BP536</f>
        <v>72.41</v>
      </c>
      <c r="BT526" s="693">
        <f t="shared" si="490"/>
        <v>37.384339179671308</v>
      </c>
      <c r="BU526" s="668">
        <f t="shared" si="491"/>
        <v>26.152856948526619</v>
      </c>
      <c r="BV526" s="650">
        <v>1000</v>
      </c>
      <c r="BW526" s="620">
        <v>103.50685607036536</v>
      </c>
      <c r="BX526" s="720">
        <f>(BW535-BW536)/BW517</f>
        <v>0.76371752559328776</v>
      </c>
      <c r="BY526" s="714">
        <f>S526-BW533</f>
        <v>28.519999999999982</v>
      </c>
      <c r="BZ526" s="693">
        <f>BW535-BW536</f>
        <v>79.050000000000011</v>
      </c>
      <c r="CA526" s="693">
        <f t="shared" si="492"/>
        <v>36.078431372548991</v>
      </c>
      <c r="CB526" s="668">
        <f t="shared" si="493"/>
        <v>27.553730335130361</v>
      </c>
    </row>
    <row r="527" spans="1:80" ht="15.75">
      <c r="A527" s="564"/>
      <c r="B527" s="585" t="s">
        <v>116</v>
      </c>
      <c r="C527" s="730">
        <v>1350</v>
      </c>
      <c r="D527" s="730">
        <v>376.51</v>
      </c>
      <c r="E527" s="652">
        <v>11.89</v>
      </c>
      <c r="F527" s="652">
        <v>9.32</v>
      </c>
      <c r="G527" s="653">
        <v>11.09</v>
      </c>
      <c r="H527" s="730">
        <v>1350</v>
      </c>
      <c r="I527" s="652">
        <v>374.46</v>
      </c>
      <c r="J527" s="620">
        <v>13.38</v>
      </c>
      <c r="K527" s="649">
        <v>8.51</v>
      </c>
      <c r="L527" s="746">
        <v>10.65</v>
      </c>
      <c r="M527" s="730">
        <v>1350</v>
      </c>
      <c r="N527" s="639">
        <v>384.65</v>
      </c>
      <c r="O527" s="562">
        <v>10.49</v>
      </c>
      <c r="P527" s="562">
        <v>12.17</v>
      </c>
      <c r="Q527" s="654">
        <v>8.7799999999999994</v>
      </c>
      <c r="R527" s="730">
        <v>1350</v>
      </c>
      <c r="S527" s="639">
        <v>393.35</v>
      </c>
      <c r="T527" s="639">
        <v>7.45</v>
      </c>
      <c r="U527" s="639">
        <v>6.47</v>
      </c>
      <c r="V527" s="654">
        <v>7.97</v>
      </c>
      <c r="W527" s="564"/>
      <c r="X527" s="650">
        <v>1350</v>
      </c>
      <c r="Y527" s="651">
        <f t="shared" si="470"/>
        <v>1.0766666666666667</v>
      </c>
      <c r="Z527" s="620">
        <v>9.6440000000000001</v>
      </c>
      <c r="AA527" s="620">
        <v>4.5170000000000003</v>
      </c>
      <c r="AB527" s="620">
        <f t="shared" si="471"/>
        <v>4.0503333333333327</v>
      </c>
      <c r="AC527" s="620">
        <f t="shared" si="472"/>
        <v>34.525666666666673</v>
      </c>
      <c r="AD527" s="653">
        <f t="shared" si="473"/>
        <v>356.29321153306495</v>
      </c>
      <c r="AE527" s="650">
        <v>1350</v>
      </c>
      <c r="AF527" s="620">
        <f t="shared" si="474"/>
        <v>1.0846666666666667</v>
      </c>
      <c r="AG527" s="620">
        <v>9.6440000000000001</v>
      </c>
      <c r="AH527" s="620">
        <v>4.5170000000000003</v>
      </c>
      <c r="AI527" s="620">
        <f t="shared" si="475"/>
        <v>4.0423333333333336</v>
      </c>
      <c r="AJ527" s="620">
        <f t="shared" si="476"/>
        <v>34.533666666666669</v>
      </c>
      <c r="AK527" s="653">
        <f t="shared" si="477"/>
        <v>355.67187462706505</v>
      </c>
      <c r="AL527" s="650">
        <v>1350</v>
      </c>
      <c r="AM527" s="620">
        <f t="shared" ref="AM527:AM529" si="494">AVERAGE(O527:Q527)/10</f>
        <v>1.0479999999999998</v>
      </c>
      <c r="AN527" s="620">
        <v>9.6440000000000001</v>
      </c>
      <c r="AO527" s="620">
        <v>4.5170000000000003</v>
      </c>
      <c r="AP527" s="620">
        <f t="shared" si="479"/>
        <v>4.0789999999999997</v>
      </c>
      <c r="AQ527" s="620">
        <f t="shared" si="480"/>
        <v>34.497000000000007</v>
      </c>
      <c r="AR527" s="698">
        <f t="shared" si="481"/>
        <v>358.51699070086499</v>
      </c>
      <c r="AS527" s="650">
        <v>1350</v>
      </c>
      <c r="AT527" s="620">
        <f t="shared" si="482"/>
        <v>0.72966666666666669</v>
      </c>
      <c r="AU527" s="620">
        <v>9.6440000000000001</v>
      </c>
      <c r="AV527" s="620">
        <v>4.5170000000000003</v>
      </c>
      <c r="AW527" s="620">
        <f t="shared" si="483"/>
        <v>4.3973333333333331</v>
      </c>
      <c r="AX527" s="620">
        <f t="shared" si="484"/>
        <v>34.178666666666672</v>
      </c>
      <c r="AY527" s="698">
        <f t="shared" si="485"/>
        <v>382.92984231264001</v>
      </c>
      <c r="AZ527" s="75"/>
      <c r="BA527" s="650">
        <v>1350</v>
      </c>
      <c r="BB527" s="620">
        <v>103.50685607036536</v>
      </c>
      <c r="BC527" s="720">
        <f>(BB535-BB536)/BB517</f>
        <v>0.63899148820670526</v>
      </c>
      <c r="BD527" s="714">
        <f>D527-BB533</f>
        <v>23.549999999999955</v>
      </c>
      <c r="BE527" s="693">
        <f>BB535-BB536</f>
        <v>66.14</v>
      </c>
      <c r="BF527" s="693">
        <f t="shared" si="486"/>
        <v>35.606289688539391</v>
      </c>
      <c r="BG527" s="668">
        <f t="shared" si="487"/>
        <v>22.752116037598849</v>
      </c>
      <c r="BH527" s="650">
        <v>1350</v>
      </c>
      <c r="BI527" s="620">
        <v>103.50685607036536</v>
      </c>
      <c r="BJ527" s="720">
        <f>(BI535-BI536)/BI517</f>
        <v>0.58131414946170945</v>
      </c>
      <c r="BK527" s="714">
        <f>I527-BI533</f>
        <v>26.45999999999998</v>
      </c>
      <c r="BL527" s="693">
        <f>BI535-BI536</f>
        <v>60.170000000000016</v>
      </c>
      <c r="BM527" s="693">
        <f t="shared" si="488"/>
        <v>43.975403024763125</v>
      </c>
      <c r="BN527" s="668">
        <f t="shared" si="489"/>
        <v>25.56352400657606</v>
      </c>
      <c r="BO527" s="650">
        <v>1350</v>
      </c>
      <c r="BP527" s="681">
        <v>103.50685607036536</v>
      </c>
      <c r="BQ527" s="720">
        <f>(BP535-BP536)/BP517</f>
        <v>0.69956718568260545</v>
      </c>
      <c r="BR527" s="714">
        <f>N527-BP533</f>
        <v>24.67999999999995</v>
      </c>
      <c r="BS527" s="693">
        <f>BP535-BP536</f>
        <v>72.41</v>
      </c>
      <c r="BT527" s="693">
        <f t="shared" si="490"/>
        <v>34.083690098052685</v>
      </c>
      <c r="BU527" s="668">
        <f t="shared" si="491"/>
        <v>23.843831159572805</v>
      </c>
      <c r="BV527" s="650">
        <v>1350</v>
      </c>
      <c r="BW527" s="620">
        <v>103.50685607036536</v>
      </c>
      <c r="BX527" s="720">
        <f>(BW535-BW536)/BW517</f>
        <v>0.76371752559328776</v>
      </c>
      <c r="BY527" s="714">
        <f>S527-BW533</f>
        <v>26.899999999999977</v>
      </c>
      <c r="BZ527" s="693">
        <f>BW535-BW536</f>
        <v>79.050000000000011</v>
      </c>
      <c r="CA527" s="693">
        <f t="shared" si="492"/>
        <v>34.029095509171377</v>
      </c>
      <c r="CB527" s="668">
        <f t="shared" si="493"/>
        <v>25.988616620442023</v>
      </c>
    </row>
    <row r="528" spans="1:80" ht="15.75">
      <c r="A528" s="564"/>
      <c r="B528" s="585" t="s">
        <v>116</v>
      </c>
      <c r="C528" s="730">
        <v>2500</v>
      </c>
      <c r="D528" s="730">
        <v>373.56</v>
      </c>
      <c r="E528" s="652">
        <v>20.420000000000002</v>
      </c>
      <c r="F528" s="652">
        <v>11.21</v>
      </c>
      <c r="G528" s="653">
        <v>17.96</v>
      </c>
      <c r="H528" s="730">
        <v>2500</v>
      </c>
      <c r="I528" s="730">
        <v>371.65</v>
      </c>
      <c r="J528" s="730">
        <v>17.149999999999999</v>
      </c>
      <c r="K528" s="649">
        <v>13.87</v>
      </c>
      <c r="L528" s="588">
        <v>14.86</v>
      </c>
      <c r="M528" s="730">
        <v>2500</v>
      </c>
      <c r="N528" s="639">
        <v>380.38</v>
      </c>
      <c r="O528" s="562">
        <v>14.48</v>
      </c>
      <c r="P528" s="562">
        <v>14.54</v>
      </c>
      <c r="Q528" s="588">
        <v>16.829999999999998</v>
      </c>
      <c r="R528" s="730">
        <v>2500</v>
      </c>
      <c r="S528" s="639">
        <v>389.97</v>
      </c>
      <c r="T528" s="639">
        <v>12.6</v>
      </c>
      <c r="U528" s="639">
        <v>12.52</v>
      </c>
      <c r="V528" s="654">
        <v>11.15</v>
      </c>
      <c r="W528" s="564"/>
      <c r="X528" s="650">
        <v>2500</v>
      </c>
      <c r="Y528" s="651">
        <f t="shared" si="470"/>
        <v>1.653</v>
      </c>
      <c r="Z528" s="620">
        <v>9.6440000000000001</v>
      </c>
      <c r="AA528" s="620">
        <v>4.5170000000000003</v>
      </c>
      <c r="AB528" s="620">
        <f t="shared" si="471"/>
        <v>3.4740000000000002</v>
      </c>
      <c r="AC528" s="620">
        <f t="shared" si="472"/>
        <v>35.102000000000004</v>
      </c>
      <c r="AD528" s="653">
        <f t="shared" si="473"/>
        <v>1065.48874065</v>
      </c>
      <c r="AE528" s="650">
        <v>2500</v>
      </c>
      <c r="AF528" s="620">
        <f t="shared" si="474"/>
        <v>1.5293333333333332</v>
      </c>
      <c r="AG528" s="620">
        <v>9.6440000000000001</v>
      </c>
      <c r="AH528" s="620">
        <v>4.5170000000000003</v>
      </c>
      <c r="AI528" s="620">
        <f t="shared" si="475"/>
        <v>3.597666666666667</v>
      </c>
      <c r="AJ528" s="620">
        <f t="shared" si="476"/>
        <v>34.978333333333339</v>
      </c>
      <c r="AK528" s="653">
        <f t="shared" si="477"/>
        <v>1099.5303542291667</v>
      </c>
      <c r="AL528" s="650">
        <v>2500</v>
      </c>
      <c r="AM528" s="620">
        <f t="shared" si="494"/>
        <v>1.5283333333333331</v>
      </c>
      <c r="AN528" s="620">
        <v>9.6440000000000001</v>
      </c>
      <c r="AO528" s="620">
        <v>4.5170000000000003</v>
      </c>
      <c r="AP528" s="620">
        <f t="shared" si="479"/>
        <v>3.5986666666666665</v>
      </c>
      <c r="AQ528" s="620">
        <f t="shared" si="480"/>
        <v>34.977333333333341</v>
      </c>
      <c r="AR528" s="698">
        <f t="shared" si="481"/>
        <v>1099.8045340666667</v>
      </c>
      <c r="AS528" s="650">
        <v>2500</v>
      </c>
      <c r="AT528" s="620">
        <f t="shared" si="482"/>
        <v>1.2089999999999999</v>
      </c>
      <c r="AU528" s="620">
        <v>9.6440000000000001</v>
      </c>
      <c r="AV528" s="620">
        <v>4.5170000000000003</v>
      </c>
      <c r="AW528" s="620">
        <f t="shared" si="483"/>
        <v>3.9180000000000001</v>
      </c>
      <c r="AX528" s="620">
        <f t="shared" si="484"/>
        <v>34.658000000000008</v>
      </c>
      <c r="AY528" s="698">
        <f t="shared" si="485"/>
        <v>1186.4655094500004</v>
      </c>
      <c r="AZ528" s="75"/>
      <c r="BA528" s="650">
        <v>2500</v>
      </c>
      <c r="BB528" s="620">
        <v>103.50685607036536</v>
      </c>
      <c r="BC528" s="720">
        <f>(BB535-BB536)/BB517</f>
        <v>0.63899148820670526</v>
      </c>
      <c r="BD528" s="714">
        <f>D528-BB533</f>
        <v>20.599999999999966</v>
      </c>
      <c r="BE528" s="693">
        <f>BB535-BB536</f>
        <v>66.14</v>
      </c>
      <c r="BF528" s="693">
        <f t="shared" si="486"/>
        <v>31.146053825219177</v>
      </c>
      <c r="BG528" s="668">
        <f t="shared" si="487"/>
        <v>19.902063285542948</v>
      </c>
      <c r="BH528" s="650">
        <v>2500</v>
      </c>
      <c r="BI528" s="620">
        <v>103.50685607036536</v>
      </c>
      <c r="BJ528" s="720">
        <f>(BI535-BI536)/BI517</f>
        <v>0.58131414946170945</v>
      </c>
      <c r="BK528" s="714">
        <f>I528-BI533</f>
        <v>23.649999999999977</v>
      </c>
      <c r="BL528" s="693">
        <f>BI535-BI536</f>
        <v>60.170000000000016</v>
      </c>
      <c r="BM528" s="693">
        <f t="shared" si="488"/>
        <v>39.305301645338162</v>
      </c>
      <c r="BN528" s="668">
        <f t="shared" si="489"/>
        <v>22.848727995295683</v>
      </c>
      <c r="BO528" s="650">
        <v>2500</v>
      </c>
      <c r="BP528" s="681">
        <v>103.50685607036536</v>
      </c>
      <c r="BQ528" s="720">
        <f>(BP535-BP536)/BP517</f>
        <v>0.69956718568260545</v>
      </c>
      <c r="BR528" s="714">
        <f>N528-BP533</f>
        <v>20.409999999999968</v>
      </c>
      <c r="BS528" s="693">
        <f>BP535-BP536</f>
        <v>72.41</v>
      </c>
      <c r="BT528" s="693">
        <f t="shared" si="490"/>
        <v>28.186714542190259</v>
      </c>
      <c r="BU528" s="668">
        <f t="shared" si="491"/>
        <v>19.718500565919008</v>
      </c>
      <c r="BV528" s="650">
        <v>2500</v>
      </c>
      <c r="BW528" s="620">
        <v>103.50685607036536</v>
      </c>
      <c r="BX528" s="720">
        <f>(BW535-BW536)/BW517</f>
        <v>0.76371752559328776</v>
      </c>
      <c r="BY528" s="714">
        <f>S528-BW533</f>
        <v>23.519999999999982</v>
      </c>
      <c r="BZ528" s="693">
        <f>BW535-BW536</f>
        <v>79.050000000000011</v>
      </c>
      <c r="CA528" s="693">
        <f t="shared" si="492"/>
        <v>29.753320683111927</v>
      </c>
      <c r="CB528" s="668">
        <f t="shared" si="493"/>
        <v>22.723132450289832</v>
      </c>
    </row>
    <row r="529" spans="1:80" ht="15.75">
      <c r="A529" s="564"/>
      <c r="B529" s="585" t="s">
        <v>116</v>
      </c>
      <c r="C529" s="730">
        <v>5000</v>
      </c>
      <c r="D529" s="730">
        <v>370.38</v>
      </c>
      <c r="E529" s="652">
        <v>20.85</v>
      </c>
      <c r="F529" s="652">
        <v>17.73</v>
      </c>
      <c r="G529" s="653">
        <v>23.18</v>
      </c>
      <c r="H529" s="730">
        <v>5000</v>
      </c>
      <c r="I529" s="730">
        <v>368.18</v>
      </c>
      <c r="J529" s="742">
        <v>21.43</v>
      </c>
      <c r="K529" s="742">
        <v>19.25</v>
      </c>
      <c r="L529" s="649">
        <v>20.07</v>
      </c>
      <c r="M529" s="730">
        <v>5000</v>
      </c>
      <c r="N529" s="639">
        <v>376.84</v>
      </c>
      <c r="O529" s="562">
        <v>20.25</v>
      </c>
      <c r="P529" s="562">
        <v>22.04</v>
      </c>
      <c r="Q529" s="588">
        <v>21.59</v>
      </c>
      <c r="R529" s="730">
        <v>5000</v>
      </c>
      <c r="S529" s="639">
        <v>386.33</v>
      </c>
      <c r="T529" s="639">
        <v>17.850000000000001</v>
      </c>
      <c r="U529" s="639">
        <v>17.03</v>
      </c>
      <c r="V529" s="654">
        <v>16.79</v>
      </c>
      <c r="W529" s="564"/>
      <c r="X529" s="650">
        <v>5000</v>
      </c>
      <c r="Y529" s="651">
        <f t="shared" si="470"/>
        <v>2.0586666666666664</v>
      </c>
      <c r="Z529" s="620">
        <v>9.6440000000000001</v>
      </c>
      <c r="AA529" s="620">
        <v>4.5170000000000003</v>
      </c>
      <c r="AB529" s="620">
        <f t="shared" si="471"/>
        <v>3.0683333333333334</v>
      </c>
      <c r="AC529" s="620">
        <f t="shared" si="472"/>
        <v>35.507666666666672</v>
      </c>
      <c r="AD529" s="653">
        <f t="shared" si="473"/>
        <v>3807.7800349166669</v>
      </c>
      <c r="AE529" s="650">
        <v>5000</v>
      </c>
      <c r="AF529" s="620">
        <f t="shared" si="474"/>
        <v>2.0249999999999999</v>
      </c>
      <c r="AG529" s="620">
        <v>9.6440000000000001</v>
      </c>
      <c r="AH529" s="620">
        <v>4.5170000000000003</v>
      </c>
      <c r="AI529" s="620">
        <f t="shared" si="475"/>
        <v>3.1020000000000003</v>
      </c>
      <c r="AJ529" s="620">
        <f t="shared" si="476"/>
        <v>35.474000000000004</v>
      </c>
      <c r="AK529" s="653">
        <f t="shared" si="477"/>
        <v>3845.9101626000006</v>
      </c>
      <c r="AL529" s="650">
        <v>5000</v>
      </c>
      <c r="AM529" s="620">
        <f t="shared" si="494"/>
        <v>2.1293333333333333</v>
      </c>
      <c r="AN529" s="620">
        <v>9.6440000000000001</v>
      </c>
      <c r="AO529" s="620">
        <v>4.5170000000000003</v>
      </c>
      <c r="AP529" s="620">
        <f t="shared" si="479"/>
        <v>2.9976666666666665</v>
      </c>
      <c r="AQ529" s="620">
        <f t="shared" si="480"/>
        <v>35.57833333333334</v>
      </c>
      <c r="AR529" s="698">
        <f t="shared" si="481"/>
        <v>3727.486836916667</v>
      </c>
      <c r="AS529" s="650">
        <v>5000</v>
      </c>
      <c r="AT529" s="620">
        <f t="shared" si="482"/>
        <v>1.7223333333333333</v>
      </c>
      <c r="AU529" s="620">
        <v>9.6440000000000001</v>
      </c>
      <c r="AV529" s="620">
        <v>4.5170000000000003</v>
      </c>
      <c r="AW529" s="620">
        <f t="shared" si="483"/>
        <v>3.4046666666666665</v>
      </c>
      <c r="AX529" s="620">
        <f t="shared" si="484"/>
        <v>35.171333333333337</v>
      </c>
      <c r="AY529" s="698">
        <f t="shared" si="485"/>
        <v>4185.1459844666661</v>
      </c>
      <c r="AZ529" s="75"/>
      <c r="BA529" s="650">
        <v>5000</v>
      </c>
      <c r="BB529" s="620">
        <v>103.50685607036536</v>
      </c>
      <c r="BC529" s="720">
        <f>(BB535-BB536)/BB517</f>
        <v>0.63899148820670526</v>
      </c>
      <c r="BD529" s="714">
        <f>D529-BB533</f>
        <v>17.419999999999959</v>
      </c>
      <c r="BE529" s="693">
        <f>BB535-BB536</f>
        <v>66.14</v>
      </c>
      <c r="BF529" s="693">
        <f t="shared" si="486"/>
        <v>26.338070758996007</v>
      </c>
      <c r="BG529" s="668">
        <f t="shared" si="487"/>
        <v>16.829803030784365</v>
      </c>
      <c r="BH529" s="650">
        <v>5000</v>
      </c>
      <c r="BI529" s="620">
        <v>103.50685607036536</v>
      </c>
      <c r="BJ529" s="720">
        <f>(BI535-BI536)/BI517</f>
        <v>0.58131414946170945</v>
      </c>
      <c r="BK529" s="714">
        <f>I529-BI533</f>
        <v>20.180000000000007</v>
      </c>
      <c r="BL529" s="693">
        <f>BI535-BI536</f>
        <v>60.170000000000016</v>
      </c>
      <c r="BM529" s="693">
        <f t="shared" si="488"/>
        <v>33.538308126973575</v>
      </c>
      <c r="BN529" s="668">
        <f t="shared" si="489"/>
        <v>19.496293063216381</v>
      </c>
      <c r="BO529" s="650">
        <v>5000</v>
      </c>
      <c r="BP529" s="681">
        <v>103.50685607036536</v>
      </c>
      <c r="BQ529" s="720">
        <f>(BP535-BP536)/BP517</f>
        <v>0.69956718568260545</v>
      </c>
      <c r="BR529" s="714">
        <f>N529-BP533</f>
        <v>16.869999999999948</v>
      </c>
      <c r="BS529" s="693">
        <f>BP535-BP536</f>
        <v>72.41</v>
      </c>
      <c r="BT529" s="693">
        <f t="shared" si="490"/>
        <v>23.297887032177805</v>
      </c>
      <c r="BU529" s="668">
        <f t="shared" si="491"/>
        <v>16.298437263451895</v>
      </c>
      <c r="BV529" s="650">
        <v>5000</v>
      </c>
      <c r="BW529" s="620">
        <v>103.50685607036536</v>
      </c>
      <c r="BX529" s="720">
        <f>(BW535-BW536)/BW517</f>
        <v>0.76371752559328776</v>
      </c>
      <c r="BY529" s="714">
        <f>S529-BW533</f>
        <v>19.879999999999939</v>
      </c>
      <c r="BZ529" s="693">
        <f>BW535-BW536</f>
        <v>79.050000000000011</v>
      </c>
      <c r="CA529" s="693">
        <f t="shared" si="492"/>
        <v>25.148640101201693</v>
      </c>
      <c r="CB529" s="668">
        <f t="shared" si="493"/>
        <v>19.206457190125885</v>
      </c>
    </row>
    <row r="530" spans="1:80" ht="15.75">
      <c r="A530" s="564"/>
      <c r="B530" s="585" t="s">
        <v>116</v>
      </c>
      <c r="C530" s="730">
        <v>7000</v>
      </c>
      <c r="D530" s="730">
        <v>368.7</v>
      </c>
      <c r="E530" s="652">
        <v>25.33</v>
      </c>
      <c r="F530" s="652">
        <v>20.010000000000002</v>
      </c>
      <c r="G530" s="653">
        <v>23.96</v>
      </c>
      <c r="H530" s="730">
        <v>7000</v>
      </c>
      <c r="I530" s="655">
        <v>366.23</v>
      </c>
      <c r="J530" s="730">
        <v>23.36</v>
      </c>
      <c r="K530" s="649">
        <v>21.39</v>
      </c>
      <c r="L530" s="588">
        <v>21.97</v>
      </c>
      <c r="M530" s="730">
        <v>7000</v>
      </c>
      <c r="N530" s="639">
        <v>375.12</v>
      </c>
      <c r="O530" s="639">
        <v>21.24</v>
      </c>
      <c r="P530" s="562">
        <v>24.16</v>
      </c>
      <c r="Q530" s="588">
        <v>23.2</v>
      </c>
      <c r="R530" s="730">
        <v>7000</v>
      </c>
      <c r="S530" s="639">
        <v>384.45</v>
      </c>
      <c r="T530" s="639">
        <v>19.46</v>
      </c>
      <c r="U530" s="639">
        <v>19.350000000000001</v>
      </c>
      <c r="V530" s="654">
        <v>18.71</v>
      </c>
      <c r="W530" s="564"/>
      <c r="X530" s="650">
        <v>7000</v>
      </c>
      <c r="Y530" s="651">
        <f t="shared" si="470"/>
        <v>2.3100000000000005</v>
      </c>
      <c r="Z530" s="620">
        <v>9.6440000000000001</v>
      </c>
      <c r="AA530" s="620">
        <v>4.5170000000000003</v>
      </c>
      <c r="AB530" s="620">
        <f t="shared" si="471"/>
        <v>2.8169999999999993</v>
      </c>
      <c r="AC530" s="620">
        <f t="shared" si="472"/>
        <v>35.759000000000007</v>
      </c>
      <c r="AD530" s="653">
        <f t="shared" si="473"/>
        <v>6900.4190217059995</v>
      </c>
      <c r="AE530" s="650">
        <v>7000</v>
      </c>
      <c r="AF530" s="620">
        <f t="shared" si="474"/>
        <v>2.2239999999999998</v>
      </c>
      <c r="AG530" s="620">
        <v>9.6440000000000001</v>
      </c>
      <c r="AH530" s="620">
        <v>4.5170000000000003</v>
      </c>
      <c r="AI530" s="620">
        <f t="shared" si="475"/>
        <v>2.9030000000000005</v>
      </c>
      <c r="AJ530" s="620">
        <f t="shared" si="476"/>
        <v>35.673000000000002</v>
      </c>
      <c r="AK530" s="653">
        <f t="shared" si="477"/>
        <v>7093.9793689380012</v>
      </c>
      <c r="AL530" s="650">
        <v>7000</v>
      </c>
      <c r="AM530" s="620">
        <f>AVERAGE(O530:Q530)/10</f>
        <v>2.2866666666666662</v>
      </c>
      <c r="AN530" s="620">
        <v>9.6440000000000001</v>
      </c>
      <c r="AO530" s="620">
        <v>4.5170000000000003</v>
      </c>
      <c r="AP530" s="620">
        <f t="shared" si="479"/>
        <v>2.8403333333333336</v>
      </c>
      <c r="AQ530" s="620">
        <f t="shared" si="480"/>
        <v>35.735666666666674</v>
      </c>
      <c r="AR530" s="698">
        <f t="shared" si="481"/>
        <v>6953.0355601326683</v>
      </c>
      <c r="AS530" s="650">
        <v>7000</v>
      </c>
      <c r="AT530" s="620">
        <f t="shared" si="482"/>
        <v>1.9173333333333336</v>
      </c>
      <c r="AU530" s="620">
        <v>9.6440000000000001</v>
      </c>
      <c r="AV530" s="620">
        <v>4.5170000000000003</v>
      </c>
      <c r="AW530" s="620">
        <f t="shared" si="483"/>
        <v>3.2096666666666662</v>
      </c>
      <c r="AX530" s="620">
        <f t="shared" si="484"/>
        <v>35.366333333333337</v>
      </c>
      <c r="AY530" s="698">
        <f t="shared" si="485"/>
        <v>7775.9457020046666</v>
      </c>
      <c r="AZ530" s="75"/>
      <c r="BA530" s="650">
        <v>7000</v>
      </c>
      <c r="BB530" s="620">
        <v>103.50685607036536</v>
      </c>
      <c r="BC530" s="720">
        <f>(BB535-BB536)/BB517</f>
        <v>0.63899148820670526</v>
      </c>
      <c r="BD530" s="714">
        <f>D530-BB533</f>
        <v>15.739999999999952</v>
      </c>
      <c r="BE530" s="693">
        <f>BB535-BB536</f>
        <v>66.14</v>
      </c>
      <c r="BF530" s="693">
        <f t="shared" si="486"/>
        <v>23.798004233444136</v>
      </c>
      <c r="BG530" s="668">
        <f t="shared" si="487"/>
        <v>15.20672214147794</v>
      </c>
      <c r="BH530" s="650">
        <v>7000</v>
      </c>
      <c r="BI530" s="620">
        <v>103.50685607036536</v>
      </c>
      <c r="BJ530" s="720">
        <f>(BI535-BI536)/BI517</f>
        <v>0.58131414946170945</v>
      </c>
      <c r="BK530" s="714">
        <f>I530-BI533</f>
        <v>18.230000000000018</v>
      </c>
      <c r="BL530" s="693">
        <f>BI535-BI536</f>
        <v>60.170000000000016</v>
      </c>
      <c r="BM530" s="693">
        <f t="shared" si="488"/>
        <v>30.297490443742753</v>
      </c>
      <c r="BN530" s="668">
        <f t="shared" si="489"/>
        <v>17.612359888128587</v>
      </c>
      <c r="BO530" s="650">
        <v>7000</v>
      </c>
      <c r="BP530" s="681">
        <v>103.50685607036536</v>
      </c>
      <c r="BQ530" s="720">
        <f>(BP535-BP536)/BP517</f>
        <v>0.69956718568260545</v>
      </c>
      <c r="BR530" s="714">
        <f>N530-BP533</f>
        <v>15.149999999999977</v>
      </c>
      <c r="BS530" s="693">
        <f>BP535-BP536</f>
        <v>72.41</v>
      </c>
      <c r="BT530" s="693">
        <f t="shared" si="490"/>
        <v>20.922524513188755</v>
      </c>
      <c r="BU530" s="668">
        <f t="shared" si="491"/>
        <v>14.636711591066781</v>
      </c>
      <c r="BV530" s="650">
        <v>7000</v>
      </c>
      <c r="BW530" s="620">
        <v>103.50685607036536</v>
      </c>
      <c r="BX530" s="720">
        <f>(BW535-BW536)/BW517</f>
        <v>0.76371752559328776</v>
      </c>
      <c r="BY530" s="714">
        <f>S530-BW533</f>
        <v>17.999999999999943</v>
      </c>
      <c r="BZ530" s="693">
        <f>BW535-BW536</f>
        <v>79.050000000000011</v>
      </c>
      <c r="CA530" s="693">
        <f t="shared" si="492"/>
        <v>22.770398481973359</v>
      </c>
      <c r="CB530" s="668">
        <f t="shared" si="493"/>
        <v>17.39015238542585</v>
      </c>
    </row>
    <row r="531" spans="1:80" ht="15.75">
      <c r="A531" s="564"/>
      <c r="B531" s="585" t="s">
        <v>116</v>
      </c>
      <c r="C531" s="730">
        <v>9000</v>
      </c>
      <c r="D531" s="730">
        <v>367.43</v>
      </c>
      <c r="E531" s="27">
        <v>24.07</v>
      </c>
      <c r="F531" s="27">
        <v>22.29</v>
      </c>
      <c r="G531" s="94">
        <v>25.85</v>
      </c>
      <c r="H531" s="730">
        <v>9000</v>
      </c>
      <c r="I531" s="730">
        <v>364.71</v>
      </c>
      <c r="J531" s="730">
        <v>24.76</v>
      </c>
      <c r="K531" s="649">
        <v>24.9</v>
      </c>
      <c r="L531" s="588">
        <v>24.13</v>
      </c>
      <c r="M531" s="730">
        <v>9000</v>
      </c>
      <c r="N531" s="639">
        <v>373.89</v>
      </c>
      <c r="O531" s="639">
        <v>23.78</v>
      </c>
      <c r="P531" s="562">
        <v>23.17</v>
      </c>
      <c r="Q531" s="588">
        <v>24.73</v>
      </c>
      <c r="R531" s="730">
        <v>9000</v>
      </c>
      <c r="S531" s="639">
        <v>383.01</v>
      </c>
      <c r="T531" s="639">
        <v>20.8</v>
      </c>
      <c r="U531" s="639">
        <v>20.9</v>
      </c>
      <c r="V531" s="654">
        <v>20.94</v>
      </c>
      <c r="W531" s="564"/>
      <c r="X531" s="650">
        <v>9000</v>
      </c>
      <c r="Y531" s="651">
        <f t="shared" si="470"/>
        <v>2.4070000000000005</v>
      </c>
      <c r="Z531" s="620">
        <v>9.6440000000000001</v>
      </c>
      <c r="AA531" s="620">
        <v>4.5170000000000003</v>
      </c>
      <c r="AB531" s="620">
        <f t="shared" si="471"/>
        <v>2.7199999999999989</v>
      </c>
      <c r="AC531" s="620">
        <f t="shared" si="472"/>
        <v>35.856000000000009</v>
      </c>
      <c r="AD531" s="653">
        <f t="shared" si="473"/>
        <v>11043.911900159997</v>
      </c>
      <c r="AE531" s="650">
        <v>9000</v>
      </c>
      <c r="AF531" s="620">
        <f t="shared" si="474"/>
        <v>2.4596666666666662</v>
      </c>
      <c r="AG531" s="620">
        <v>9.6440000000000001</v>
      </c>
      <c r="AH531" s="620">
        <v>4.5170000000000003</v>
      </c>
      <c r="AI531" s="620">
        <f t="shared" si="475"/>
        <v>2.6673333333333336</v>
      </c>
      <c r="AJ531" s="620">
        <f t="shared" si="476"/>
        <v>35.908666666666669</v>
      </c>
      <c r="AK531" s="653">
        <f t="shared" si="477"/>
        <v>10845.979073064</v>
      </c>
      <c r="AL531" s="650">
        <v>9000</v>
      </c>
      <c r="AM531" s="620">
        <f>AVERAGE(O531:Q531)/10</f>
        <v>2.3893333333333335</v>
      </c>
      <c r="AN531" s="620">
        <v>9.6440000000000001</v>
      </c>
      <c r="AO531" s="620">
        <v>4.5170000000000003</v>
      </c>
      <c r="AP531" s="620">
        <f t="shared" si="479"/>
        <v>2.7376666666666658</v>
      </c>
      <c r="AQ531" s="620">
        <f t="shared" si="480"/>
        <v>35.838333333333338</v>
      </c>
      <c r="AR531" s="698">
        <f t="shared" si="481"/>
        <v>11110.166384489996</v>
      </c>
      <c r="AS531" s="650">
        <v>9000</v>
      </c>
      <c r="AT531" s="620">
        <f t="shared" si="482"/>
        <v>2.0880000000000001</v>
      </c>
      <c r="AU531" s="620">
        <v>9.6440000000000001</v>
      </c>
      <c r="AV531" s="620">
        <v>4.5170000000000003</v>
      </c>
      <c r="AW531" s="620">
        <f t="shared" si="483"/>
        <v>3.0389999999999997</v>
      </c>
      <c r="AX531" s="620">
        <f t="shared" si="484"/>
        <v>35.537000000000006</v>
      </c>
      <c r="AY531" s="698">
        <f t="shared" si="485"/>
        <v>12229.357831433999</v>
      </c>
      <c r="AZ531" s="75"/>
      <c r="BA531" s="650">
        <v>9000</v>
      </c>
      <c r="BB531" s="620">
        <v>103.50685607036536</v>
      </c>
      <c r="BC531" s="720">
        <f>(BB535-BB536)/BB517</f>
        <v>0.63899148820670526</v>
      </c>
      <c r="BD531" s="714">
        <f>D531-BB533</f>
        <v>14.46999999999997</v>
      </c>
      <c r="BE531" s="693">
        <f>BB535-BB536</f>
        <v>66.14</v>
      </c>
      <c r="BF531" s="693">
        <f t="shared" si="486"/>
        <v>21.877834895675793</v>
      </c>
      <c r="BG531" s="668">
        <f t="shared" si="487"/>
        <v>13.979750278728464</v>
      </c>
      <c r="BH531" s="650">
        <v>9000</v>
      </c>
      <c r="BI531" s="620">
        <v>103.50685607036536</v>
      </c>
      <c r="BJ531" s="720">
        <f>(BI535-BI536)/BI517</f>
        <v>0.58131414946170945</v>
      </c>
      <c r="BK531" s="714">
        <f>I531-BI533</f>
        <v>16.70999999999998</v>
      </c>
      <c r="BL531" s="693">
        <f>BI535-BI536</f>
        <v>60.170000000000016</v>
      </c>
      <c r="BM531" s="693">
        <f t="shared" si="488"/>
        <v>27.7713146086089</v>
      </c>
      <c r="BN531" s="668">
        <f t="shared" si="489"/>
        <v>16.14385813113703</v>
      </c>
      <c r="BO531" s="650">
        <v>9000</v>
      </c>
      <c r="BP531" s="681">
        <v>103.50685607036536</v>
      </c>
      <c r="BQ531" s="720">
        <f>(BP535-BP536)/BP517</f>
        <v>0.69956718568260545</v>
      </c>
      <c r="BR531" s="714">
        <f>N531-BP533</f>
        <v>13.919999999999959</v>
      </c>
      <c r="BS531" s="693">
        <f>BP535-BP536</f>
        <v>72.41</v>
      </c>
      <c r="BT531" s="693">
        <f t="shared" si="490"/>
        <v>19.223864107167461</v>
      </c>
      <c r="BU531" s="668">
        <f t="shared" si="491"/>
        <v>13.448384511395993</v>
      </c>
      <c r="BV531" s="650">
        <v>9000</v>
      </c>
      <c r="BW531" s="620">
        <v>103.50685607036536</v>
      </c>
      <c r="BX531" s="720">
        <f>(BW535-BW536)/BW517</f>
        <v>0.76371752559328776</v>
      </c>
      <c r="BY531" s="714">
        <f>S531-BW533</f>
        <v>16.559999999999945</v>
      </c>
      <c r="BZ531" s="693">
        <f>BW535-BW536</f>
        <v>79.050000000000011</v>
      </c>
      <c r="CA531" s="693">
        <f t="shared" si="492"/>
        <v>20.948766603415489</v>
      </c>
      <c r="CB531" s="668">
        <f t="shared" si="493"/>
        <v>15.99894019459178</v>
      </c>
    </row>
    <row r="532" spans="1:80" ht="15.75">
      <c r="A532" s="564"/>
      <c r="B532" s="599" t="s">
        <v>116</v>
      </c>
      <c r="C532" s="605">
        <v>10000</v>
      </c>
      <c r="D532" s="605">
        <v>366.72</v>
      </c>
      <c r="E532" s="656">
        <v>24.14</v>
      </c>
      <c r="F532" s="656">
        <v>22.91</v>
      </c>
      <c r="G532" s="657">
        <v>26.21</v>
      </c>
      <c r="H532" s="605">
        <v>10000</v>
      </c>
      <c r="I532" s="605">
        <v>363.9</v>
      </c>
      <c r="J532" s="605">
        <v>25.75</v>
      </c>
      <c r="K532" s="658">
        <v>24.78</v>
      </c>
      <c r="L532" s="646">
        <v>24.28</v>
      </c>
      <c r="M532" s="605">
        <v>10000</v>
      </c>
      <c r="N532" s="658">
        <v>373.26</v>
      </c>
      <c r="O532" s="658">
        <v>24.19</v>
      </c>
      <c r="P532" s="605">
        <v>25.14</v>
      </c>
      <c r="Q532" s="646">
        <v>25.71</v>
      </c>
      <c r="R532" s="605">
        <v>10000</v>
      </c>
      <c r="S532" s="658">
        <v>382.18</v>
      </c>
      <c r="T532" s="658">
        <v>20.98</v>
      </c>
      <c r="U532" s="658">
        <v>21.36</v>
      </c>
      <c r="V532" s="659">
        <v>21.05</v>
      </c>
      <c r="W532" s="564"/>
      <c r="X532" s="660">
        <v>10000</v>
      </c>
      <c r="Y532" s="608">
        <f t="shared" si="470"/>
        <v>2.4419999999999997</v>
      </c>
      <c r="Z532" s="609">
        <v>9.6440000000000001</v>
      </c>
      <c r="AA532" s="609">
        <v>4.5170000000000003</v>
      </c>
      <c r="AB532" s="609">
        <f t="shared" si="471"/>
        <v>2.6850000000000005</v>
      </c>
      <c r="AC532" s="609">
        <f t="shared" si="472"/>
        <v>35.891000000000005</v>
      </c>
      <c r="AD532" s="702">
        <f t="shared" si="473"/>
        <v>13472.153433000001</v>
      </c>
      <c r="AE532" s="660">
        <v>10000</v>
      </c>
      <c r="AF532" s="609">
        <f t="shared" si="474"/>
        <v>2.4936666666666669</v>
      </c>
      <c r="AG532" s="609">
        <v>9.6440000000000001</v>
      </c>
      <c r="AH532" s="609">
        <v>4.5170000000000003</v>
      </c>
      <c r="AI532" s="609">
        <f t="shared" si="475"/>
        <v>2.6333333333333329</v>
      </c>
      <c r="AJ532" s="609">
        <f t="shared" si="476"/>
        <v>35.942666666666675</v>
      </c>
      <c r="AK532" s="702">
        <f t="shared" si="477"/>
        <v>13231.933306666666</v>
      </c>
      <c r="AL532" s="660">
        <v>10000</v>
      </c>
      <c r="AM532" s="609">
        <f>AVERAGE(O532:Q532)/10</f>
        <v>2.5013333333333332</v>
      </c>
      <c r="AN532" s="609">
        <v>9.6440000000000001</v>
      </c>
      <c r="AO532" s="609">
        <v>4.5170000000000003</v>
      </c>
      <c r="AP532" s="609">
        <f t="shared" si="479"/>
        <v>2.6256666666666666</v>
      </c>
      <c r="AQ532" s="609">
        <f t="shared" si="480"/>
        <v>35.95033333333334</v>
      </c>
      <c r="AR532" s="699">
        <f t="shared" si="481"/>
        <v>13196.224146066666</v>
      </c>
      <c r="AS532" s="660">
        <v>10000</v>
      </c>
      <c r="AT532" s="609">
        <f t="shared" si="482"/>
        <v>2.113</v>
      </c>
      <c r="AU532" s="609">
        <v>9.6440000000000001</v>
      </c>
      <c r="AV532" s="609">
        <v>4.5170000000000003</v>
      </c>
      <c r="AW532" s="609">
        <f t="shared" si="483"/>
        <v>3.0139999999999993</v>
      </c>
      <c r="AX532" s="609">
        <f t="shared" si="484"/>
        <v>35.562000000000005</v>
      </c>
      <c r="AY532" s="699">
        <f t="shared" si="485"/>
        <v>14984.304746399997</v>
      </c>
      <c r="AZ532" s="75"/>
      <c r="BA532" s="660">
        <v>10000</v>
      </c>
      <c r="BB532" s="609">
        <v>103.50685607036536</v>
      </c>
      <c r="BC532" s="720">
        <f>(BB535-BB536)/BB517</f>
        <v>0.63899148820670526</v>
      </c>
      <c r="BD532" s="714">
        <f>D532-BB533</f>
        <v>13.759999999999991</v>
      </c>
      <c r="BE532" s="682">
        <f>BB535-BB536</f>
        <v>66.14</v>
      </c>
      <c r="BF532" s="682">
        <f t="shared" si="486"/>
        <v>20.804354399758076</v>
      </c>
      <c r="BG532" s="683">
        <f t="shared" si="487"/>
        <v>13.293805379081128</v>
      </c>
      <c r="BH532" s="660">
        <v>10000</v>
      </c>
      <c r="BI532" s="609">
        <v>103.50685607036536</v>
      </c>
      <c r="BJ532" s="720">
        <f>(BI535-BI536)/BI517</f>
        <v>0.58131414946170945</v>
      </c>
      <c r="BK532" s="714">
        <f>I532-BI533</f>
        <v>15.899999999999977</v>
      </c>
      <c r="BL532" s="682">
        <f>BI535-BI536</f>
        <v>60.170000000000016</v>
      </c>
      <c r="BM532" s="682">
        <f t="shared" si="488"/>
        <v>26.425128801728391</v>
      </c>
      <c r="BN532" s="683">
        <f t="shared" si="489"/>
        <v>15.361301273792861</v>
      </c>
      <c r="BO532" s="660">
        <v>10000</v>
      </c>
      <c r="BP532" s="684">
        <v>103.50685607036536</v>
      </c>
      <c r="BQ532" s="720">
        <f>(BP535-BP536)/BP517</f>
        <v>0.69956718568260545</v>
      </c>
      <c r="BR532" s="714">
        <f>N532-BP533</f>
        <v>13.289999999999964</v>
      </c>
      <c r="BS532" s="682">
        <f>BP535-BP536</f>
        <v>72.41</v>
      </c>
      <c r="BT532" s="682">
        <f t="shared" si="490"/>
        <v>18.353818533351699</v>
      </c>
      <c r="BU532" s="683">
        <f t="shared" si="491"/>
        <v>12.839729177906094</v>
      </c>
      <c r="BV532" s="660">
        <v>10000</v>
      </c>
      <c r="BW532" s="609">
        <v>103.50685607036536</v>
      </c>
      <c r="BX532" s="720">
        <f>(BW535-BW536)/BW517</f>
        <v>0.76371752559328776</v>
      </c>
      <c r="BY532" s="714">
        <f>S532-BW533</f>
        <v>15.729999999999961</v>
      </c>
      <c r="BZ532" s="682">
        <f>BW535-BW536</f>
        <v>79.050000000000011</v>
      </c>
      <c r="CA532" s="682">
        <f t="shared" si="492"/>
        <v>19.898798228968957</v>
      </c>
      <c r="CB532" s="683">
        <f t="shared" si="493"/>
        <v>15.197060945708268</v>
      </c>
    </row>
    <row r="533" spans="1:80" ht="45">
      <c r="A533" s="560"/>
      <c r="B533" s="560"/>
      <c r="C533" s="730"/>
      <c r="D533" s="730"/>
      <c r="E533" s="560"/>
      <c r="F533" s="560"/>
      <c r="G533" s="560"/>
      <c r="H533" s="560"/>
      <c r="I533" s="560"/>
      <c r="J533" s="560"/>
      <c r="K533" s="560"/>
      <c r="L533" s="560"/>
      <c r="M533" s="560"/>
      <c r="N533" s="661"/>
      <c r="O533" s="730"/>
      <c r="P533" s="730"/>
      <c r="Q533" s="730"/>
      <c r="R533" s="560"/>
      <c r="S533" s="661"/>
      <c r="T533" s="560"/>
      <c r="U533" s="560"/>
      <c r="V533" s="560"/>
      <c r="AE533" s="732"/>
      <c r="AF533" s="732"/>
      <c r="AG533" s="732"/>
      <c r="AH533" s="732"/>
      <c r="AI533" s="732"/>
      <c r="AJ533" s="732"/>
      <c r="AK533" s="732"/>
      <c r="AN533" s="732"/>
      <c r="AO533" s="732"/>
      <c r="AZ533" s="791" t="s">
        <v>144</v>
      </c>
      <c r="BA533" s="709" t="s">
        <v>1047</v>
      </c>
      <c r="BB533" s="565">
        <f>BB534+BB535</f>
        <v>352.96000000000004</v>
      </c>
      <c r="BC533" s="730"/>
      <c r="BD533" s="730"/>
      <c r="BE533" s="730"/>
      <c r="BF533" s="730"/>
      <c r="BG533" s="730"/>
      <c r="BH533" s="709" t="s">
        <v>1047</v>
      </c>
      <c r="BI533" s="719">
        <f>BI534+BI535</f>
        <v>348</v>
      </c>
      <c r="BJ533" s="730"/>
      <c r="BK533" s="569"/>
      <c r="BL533" s="569"/>
      <c r="BM533" s="569"/>
      <c r="BN533" s="569"/>
      <c r="BO533" s="709" t="s">
        <v>1047</v>
      </c>
      <c r="BP533" s="697">
        <f>BP534+BP535</f>
        <v>359.97</v>
      </c>
      <c r="BQ533" s="560"/>
      <c r="BR533" s="730"/>
      <c r="BS533" s="730"/>
      <c r="BT533" s="730"/>
      <c r="BU533" s="730"/>
      <c r="BV533" s="709" t="s">
        <v>1047</v>
      </c>
      <c r="BW533" s="697">
        <f>BW534+BW535</f>
        <v>366.45000000000005</v>
      </c>
      <c r="BX533" s="560"/>
      <c r="BY533" s="560"/>
      <c r="BZ533" s="560"/>
      <c r="CA533" s="560"/>
      <c r="CB533" s="560"/>
    </row>
    <row r="534" spans="1:80">
      <c r="A534" s="560"/>
      <c r="B534" s="560"/>
      <c r="C534" s="730"/>
      <c r="D534" s="560"/>
      <c r="E534" s="560"/>
      <c r="F534" s="560"/>
      <c r="G534" s="560"/>
      <c r="H534" s="560"/>
      <c r="I534" s="560"/>
      <c r="J534" s="560"/>
      <c r="K534" s="560"/>
      <c r="L534" s="560"/>
      <c r="M534" s="560"/>
      <c r="N534" s="560"/>
      <c r="O534" s="730"/>
      <c r="P534" s="730"/>
      <c r="Q534" s="730"/>
      <c r="R534" s="560"/>
      <c r="S534" s="560"/>
      <c r="T534" s="560"/>
      <c r="U534" s="560"/>
      <c r="V534" s="560"/>
      <c r="AE534" s="732"/>
      <c r="AF534" s="732"/>
      <c r="AG534" s="732"/>
      <c r="AH534" s="732"/>
      <c r="AI534" s="732"/>
      <c r="AJ534" s="732"/>
      <c r="AK534" s="732"/>
      <c r="AN534" s="732"/>
      <c r="AO534" s="732"/>
      <c r="AZ534" s="791"/>
      <c r="BA534" s="655" t="s">
        <v>1048</v>
      </c>
      <c r="BB534" s="569">
        <v>214.99</v>
      </c>
      <c r="BC534" s="730"/>
      <c r="BD534" s="730"/>
      <c r="BE534" s="730"/>
      <c r="BF534" s="730"/>
      <c r="BG534" s="730"/>
      <c r="BH534" s="655" t="s">
        <v>1048</v>
      </c>
      <c r="BI534" s="718">
        <v>214.89</v>
      </c>
      <c r="BJ534" s="730"/>
      <c r="BK534" s="569"/>
      <c r="BL534" s="569"/>
      <c r="BM534" s="569"/>
      <c r="BN534" s="569"/>
      <c r="BO534" s="655" t="s">
        <v>1048</v>
      </c>
      <c r="BP534" s="730">
        <v>214.78</v>
      </c>
      <c r="BQ534" s="560"/>
      <c r="BR534" s="730"/>
      <c r="BS534" s="730"/>
      <c r="BT534" s="620"/>
      <c r="BU534" s="620"/>
      <c r="BV534" s="655" t="s">
        <v>1048</v>
      </c>
      <c r="BW534" s="730">
        <v>214.55</v>
      </c>
      <c r="BX534" s="560"/>
      <c r="BY534" s="560"/>
      <c r="BZ534" s="560"/>
      <c r="CA534" s="560"/>
      <c r="CB534" s="560"/>
    </row>
    <row r="535" spans="1:80">
      <c r="A535" s="560"/>
      <c r="B535" s="560"/>
      <c r="C535" s="730"/>
      <c r="D535" s="560"/>
      <c r="E535" s="560"/>
      <c r="F535" s="560"/>
      <c r="G535" s="560"/>
      <c r="H535" s="560"/>
      <c r="I535" s="560"/>
      <c r="J535" s="560"/>
      <c r="K535" s="560"/>
      <c r="L535" s="560"/>
      <c r="M535" s="617"/>
      <c r="N535" s="560"/>
      <c r="O535" s="730"/>
      <c r="P535" s="730"/>
      <c r="Q535" s="730"/>
      <c r="R535" s="560"/>
      <c r="S535" s="560"/>
      <c r="T535" s="560"/>
      <c r="U535" s="560"/>
      <c r="V535" s="560"/>
      <c r="AE535" s="732"/>
      <c r="AF535" s="732"/>
      <c r="AG535" s="732"/>
      <c r="AH535" s="732"/>
      <c r="AI535" s="732"/>
      <c r="AJ535" s="732"/>
      <c r="AK535" s="732"/>
      <c r="AN535" s="732"/>
      <c r="AO535" s="732"/>
      <c r="AZ535" s="791"/>
      <c r="BA535" s="655" t="s">
        <v>1049</v>
      </c>
      <c r="BB535" s="565">
        <v>137.97</v>
      </c>
      <c r="BC535" s="730"/>
      <c r="BD535" s="730"/>
      <c r="BE535" s="730"/>
      <c r="BF535" s="730"/>
      <c r="BG535" s="730"/>
      <c r="BH535" s="655" t="s">
        <v>1049</v>
      </c>
      <c r="BI535" s="565">
        <v>133.11000000000001</v>
      </c>
      <c r="BJ535" s="730"/>
      <c r="BK535" s="569"/>
      <c r="BL535" s="569"/>
      <c r="BM535" s="569"/>
      <c r="BN535" s="569"/>
      <c r="BO535" s="655" t="s">
        <v>1049</v>
      </c>
      <c r="BP535" s="697">
        <v>145.19</v>
      </c>
      <c r="BQ535" s="560"/>
      <c r="BR535" s="730"/>
      <c r="BS535" s="730"/>
      <c r="BT535" s="620"/>
      <c r="BU535" s="620"/>
      <c r="BV535" s="655" t="s">
        <v>1049</v>
      </c>
      <c r="BW535" s="697">
        <v>151.9</v>
      </c>
      <c r="BX535" s="560"/>
      <c r="BY535" s="560"/>
      <c r="BZ535" s="560"/>
      <c r="CA535" s="560"/>
      <c r="CB535" s="560"/>
    </row>
    <row r="536" spans="1:80">
      <c r="A536" s="560"/>
      <c r="B536" s="560"/>
      <c r="C536" s="730"/>
      <c r="D536" s="560"/>
      <c r="E536" s="560"/>
      <c r="F536" s="560"/>
      <c r="G536" s="560"/>
      <c r="H536" s="560"/>
      <c r="I536" s="560"/>
      <c r="J536" s="560"/>
      <c r="K536" s="560"/>
      <c r="L536" s="560"/>
      <c r="M536" s="617"/>
      <c r="N536" s="560"/>
      <c r="O536" s="730"/>
      <c r="P536" s="730"/>
      <c r="Q536" s="730"/>
      <c r="R536" s="560"/>
      <c r="S536" s="560"/>
      <c r="T536" s="560"/>
      <c r="U536" s="560"/>
      <c r="V536" s="560"/>
      <c r="AE536" s="732"/>
      <c r="AF536" s="732"/>
      <c r="AG536" s="732"/>
      <c r="AH536" s="732"/>
      <c r="AI536" s="732"/>
      <c r="AJ536" s="732"/>
      <c r="AK536" s="732"/>
      <c r="AN536" s="732"/>
      <c r="AO536" s="732"/>
      <c r="AZ536" s="791"/>
      <c r="BA536" s="655" t="s">
        <v>1050</v>
      </c>
      <c r="BB536" s="569">
        <v>71.83</v>
      </c>
      <c r="BC536" s="730"/>
      <c r="BD536" s="560"/>
      <c r="BE536" s="560"/>
      <c r="BF536" s="560"/>
      <c r="BG536" s="560"/>
      <c r="BH536" s="655" t="s">
        <v>1050</v>
      </c>
      <c r="BI536" s="569">
        <v>72.94</v>
      </c>
      <c r="BJ536" s="730"/>
      <c r="BK536" s="560"/>
      <c r="BL536" s="560"/>
      <c r="BM536" s="560"/>
      <c r="BN536" s="560"/>
      <c r="BO536" s="655" t="s">
        <v>1050</v>
      </c>
      <c r="BP536" s="730">
        <v>72.78</v>
      </c>
      <c r="BQ536" s="560"/>
      <c r="BR536" s="560"/>
      <c r="BS536" s="560"/>
      <c r="BT536" s="560"/>
      <c r="BU536" s="560"/>
      <c r="BV536" s="655" t="s">
        <v>1050</v>
      </c>
      <c r="BW536" s="730">
        <v>72.849999999999994</v>
      </c>
      <c r="BX536" s="560"/>
      <c r="BY536" s="560"/>
      <c r="BZ536" s="560"/>
      <c r="CA536" s="560"/>
      <c r="CB536" s="560"/>
    </row>
    <row r="537" spans="1:80" ht="18.75">
      <c r="A537" s="557" t="s">
        <v>1064</v>
      </c>
      <c r="B537" s="558"/>
      <c r="C537" s="639"/>
      <c r="D537" s="639"/>
      <c r="E537" s="562"/>
      <c r="F537" s="639"/>
      <c r="G537" s="560"/>
      <c r="H537" s="560"/>
      <c r="I537" s="560"/>
      <c r="J537" s="560"/>
      <c r="K537" s="560"/>
      <c r="L537" s="560"/>
      <c r="M537" s="560"/>
      <c r="N537" s="560"/>
      <c r="O537" s="742"/>
      <c r="P537" s="742"/>
      <c r="Q537" s="742"/>
      <c r="R537" s="560"/>
      <c r="S537" s="560"/>
      <c r="T537" s="560"/>
      <c r="U537" s="560"/>
      <c r="V537" s="560"/>
      <c r="W537" s="560"/>
      <c r="X537" s="560"/>
      <c r="Y537" s="560"/>
      <c r="Z537" s="560"/>
      <c r="AA537" s="560"/>
      <c r="AB537" s="560"/>
      <c r="AC537" s="560"/>
      <c r="AD537" s="560"/>
      <c r="AE537" s="742"/>
      <c r="AF537" s="742"/>
      <c r="AG537" s="742"/>
      <c r="AH537" s="742"/>
      <c r="AI537" s="742"/>
      <c r="AJ537" s="742"/>
      <c r="AK537" s="742"/>
      <c r="AL537" s="560"/>
      <c r="AM537" s="560"/>
      <c r="AN537" s="742"/>
      <c r="AO537" s="742"/>
      <c r="AP537" s="560"/>
      <c r="AQ537" s="560"/>
      <c r="AR537" s="560"/>
      <c r="AS537" s="560"/>
      <c r="AT537" s="560"/>
      <c r="AU537" s="560"/>
      <c r="AV537" s="560"/>
      <c r="AW537" s="560"/>
      <c r="AX537" s="560"/>
      <c r="AY537" s="560"/>
      <c r="AZ537" s="743"/>
      <c r="BA537" s="560"/>
      <c r="BB537" s="560"/>
      <c r="BC537" s="742"/>
      <c r="BD537" s="560"/>
      <c r="BE537" s="560"/>
      <c r="BF537" s="560"/>
      <c r="BG537" s="560"/>
      <c r="BH537" s="560"/>
      <c r="BI537" s="560"/>
      <c r="BJ537" s="742"/>
      <c r="BK537" s="560"/>
      <c r="BL537" s="560"/>
      <c r="BM537" s="560"/>
      <c r="BN537" s="560"/>
      <c r="BO537" s="560"/>
      <c r="BP537" s="560"/>
      <c r="BQ537" s="560"/>
      <c r="BR537" s="560"/>
      <c r="BS537" s="560"/>
      <c r="BT537" s="560"/>
      <c r="BU537" s="560"/>
      <c r="BV537" s="560"/>
      <c r="BW537" s="560"/>
      <c r="BX537" s="560"/>
      <c r="BY537" s="560"/>
      <c r="BZ537" s="560"/>
      <c r="CA537" s="560"/>
      <c r="CB537" s="560"/>
    </row>
    <row r="538" spans="1:80" ht="18.75">
      <c r="A538" s="792" t="s">
        <v>1065</v>
      </c>
      <c r="B538" s="792"/>
      <c r="C538" s="792"/>
      <c r="D538" s="792"/>
      <c r="E538" s="613"/>
      <c r="F538" s="613"/>
      <c r="G538" s="613"/>
      <c r="H538" s="613"/>
      <c r="I538" s="613"/>
      <c r="J538" s="613"/>
      <c r="K538" s="613"/>
      <c r="L538" s="613"/>
      <c r="M538" s="613"/>
      <c r="N538" s="613"/>
      <c r="O538" s="614"/>
      <c r="P538" s="614"/>
      <c r="Q538" s="614"/>
      <c r="R538" s="613"/>
      <c r="S538" s="613"/>
      <c r="T538" s="613"/>
      <c r="U538" s="613"/>
      <c r="V538" s="613"/>
      <c r="W538" s="613"/>
      <c r="X538" s="613"/>
      <c r="Y538" s="613"/>
      <c r="Z538" s="613"/>
      <c r="AA538" s="613"/>
      <c r="AB538" s="613"/>
      <c r="AC538" s="613"/>
      <c r="AD538" s="613"/>
      <c r="AE538" s="614"/>
      <c r="AF538" s="614"/>
      <c r="AG538" s="614"/>
      <c r="AH538" s="614"/>
      <c r="AI538" s="614"/>
      <c r="AJ538" s="614"/>
      <c r="AK538" s="614"/>
      <c r="AL538" s="613"/>
      <c r="AM538" s="613"/>
      <c r="AN538" s="614"/>
      <c r="AO538" s="614"/>
      <c r="AP538" s="613"/>
      <c r="AQ538" s="613"/>
      <c r="AR538" s="613"/>
      <c r="AS538" s="613"/>
      <c r="AT538" s="613"/>
      <c r="AU538" s="613"/>
      <c r="AV538" s="613"/>
      <c r="AW538" s="613"/>
      <c r="AX538" s="613"/>
      <c r="AY538" s="613"/>
      <c r="AZ538" s="89"/>
      <c r="BA538" s="613"/>
      <c r="BB538" s="613"/>
      <c r="BC538" s="614"/>
      <c r="BD538" s="613"/>
      <c r="BE538" s="613"/>
      <c r="BF538" s="613"/>
      <c r="BG538" s="613"/>
      <c r="BH538" s="613"/>
      <c r="BI538" s="613"/>
      <c r="BJ538" s="614"/>
      <c r="BK538" s="613"/>
      <c r="BL538" s="613"/>
      <c r="BM538" s="613"/>
      <c r="BN538" s="613"/>
      <c r="BO538" s="613"/>
      <c r="BP538" s="613"/>
      <c r="BQ538" s="613"/>
      <c r="BR538" s="613"/>
      <c r="BS538" s="613"/>
      <c r="BT538" s="613"/>
      <c r="BU538" s="613"/>
      <c r="BV538" s="613"/>
      <c r="BW538" s="613"/>
      <c r="BX538" s="613"/>
      <c r="BY538" s="613"/>
      <c r="BZ538" s="613"/>
      <c r="CA538" s="613"/>
      <c r="CB538" s="613"/>
    </row>
    <row r="539" spans="1:80">
      <c r="A539" s="560"/>
      <c r="B539" s="560"/>
      <c r="C539" s="742"/>
      <c r="D539" s="560"/>
      <c r="E539" s="560"/>
      <c r="F539" s="560"/>
      <c r="G539" s="560"/>
      <c r="H539" s="560"/>
      <c r="I539" s="560"/>
      <c r="J539" s="560"/>
      <c r="K539" s="560"/>
      <c r="L539" s="560"/>
      <c r="M539" s="560"/>
      <c r="N539" s="560"/>
      <c r="O539" s="742"/>
      <c r="P539" s="742"/>
      <c r="Q539" s="742"/>
      <c r="R539" s="560"/>
      <c r="S539" s="560"/>
      <c r="T539" s="560"/>
      <c r="U539" s="560"/>
      <c r="V539" s="560"/>
      <c r="W539" s="560"/>
      <c r="X539" s="560"/>
      <c r="Y539" s="560"/>
      <c r="Z539" s="560"/>
      <c r="AA539" s="560"/>
      <c r="AB539" s="560"/>
      <c r="AC539" s="560"/>
      <c r="AD539" s="560"/>
      <c r="AE539" s="742"/>
      <c r="AF539" s="742"/>
      <c r="AG539" s="742"/>
      <c r="AH539" s="742"/>
      <c r="AI539" s="742"/>
      <c r="AJ539" s="742"/>
      <c r="AK539" s="742"/>
      <c r="AL539" s="560"/>
      <c r="AM539" s="560"/>
      <c r="AN539" s="742"/>
      <c r="AO539" s="742"/>
      <c r="AP539" s="560"/>
      <c r="AQ539" s="560"/>
      <c r="AR539" s="560"/>
      <c r="AS539" s="560"/>
      <c r="AT539" s="560"/>
      <c r="AU539" s="560"/>
      <c r="AV539" s="560"/>
      <c r="AW539" s="560"/>
      <c r="AX539" s="560"/>
      <c r="AY539" s="560"/>
      <c r="AZ539" s="743"/>
      <c r="BA539" s="560"/>
      <c r="BB539" s="560"/>
      <c r="BC539" s="742"/>
      <c r="BD539" s="560"/>
      <c r="BE539" s="560"/>
      <c r="BF539" s="560"/>
      <c r="BG539" s="560"/>
      <c r="BH539" s="560"/>
      <c r="BI539" s="560"/>
      <c r="BJ539" s="742"/>
      <c r="BK539" s="560"/>
      <c r="BL539" s="560"/>
      <c r="BM539" s="560"/>
      <c r="BN539" s="560"/>
      <c r="BO539" s="560"/>
      <c r="BP539" s="560"/>
      <c r="BQ539" s="560"/>
      <c r="BR539" s="560"/>
      <c r="BS539" s="560"/>
      <c r="BT539" s="560"/>
      <c r="BU539" s="560"/>
      <c r="BV539" s="560"/>
      <c r="BW539" s="560"/>
      <c r="BX539" s="560"/>
      <c r="BY539" s="560"/>
      <c r="BZ539" s="560"/>
      <c r="CA539" s="560"/>
      <c r="CB539" s="560"/>
    </row>
    <row r="540" spans="1:80">
      <c r="A540" s="565" t="s">
        <v>134</v>
      </c>
      <c r="B540" s="640" t="s">
        <v>124</v>
      </c>
      <c r="C540" s="641" t="s">
        <v>119</v>
      </c>
      <c r="D540" s="642" t="s">
        <v>111</v>
      </c>
      <c r="E540" s="793" t="s">
        <v>1063</v>
      </c>
      <c r="F540" s="569"/>
      <c r="G540" s="570"/>
      <c r="H540" s="640" t="s">
        <v>124</v>
      </c>
      <c r="I540" s="642" t="s">
        <v>119</v>
      </c>
      <c r="J540" s="642" t="s">
        <v>111</v>
      </c>
      <c r="K540" s="793" t="s">
        <v>1063</v>
      </c>
      <c r="L540" s="569"/>
      <c r="M540" s="571" t="s">
        <v>124</v>
      </c>
      <c r="N540" s="642" t="s">
        <v>119</v>
      </c>
      <c r="O540" s="641" t="s">
        <v>111</v>
      </c>
      <c r="P540" s="793" t="s">
        <v>1063</v>
      </c>
      <c r="Q540" s="742"/>
      <c r="R540" s="571" t="s">
        <v>124</v>
      </c>
      <c r="S540" s="642" t="s">
        <v>119</v>
      </c>
      <c r="T540" s="642" t="s">
        <v>111</v>
      </c>
      <c r="U540" s="793" t="s">
        <v>1063</v>
      </c>
      <c r="V540" s="569"/>
      <c r="W540" s="565" t="s">
        <v>133</v>
      </c>
      <c r="X540" s="640" t="s">
        <v>124</v>
      </c>
      <c r="Y540" s="641" t="s">
        <v>119</v>
      </c>
      <c r="Z540" s="642" t="s">
        <v>111</v>
      </c>
      <c r="AA540" s="569"/>
      <c r="AB540" s="569"/>
      <c r="AC540" s="569"/>
      <c r="AD540" s="570"/>
      <c r="AE540" s="640" t="s">
        <v>124</v>
      </c>
      <c r="AF540" s="642" t="s">
        <v>119</v>
      </c>
      <c r="AG540" s="642" t="s">
        <v>111</v>
      </c>
      <c r="AH540" s="569"/>
      <c r="AI540" s="569"/>
      <c r="AJ540" s="569"/>
      <c r="AK540" s="570"/>
      <c r="AL540" s="571" t="s">
        <v>124</v>
      </c>
      <c r="AM540" s="642" t="s">
        <v>119</v>
      </c>
      <c r="AN540" s="641" t="s">
        <v>111</v>
      </c>
      <c r="AO540" s="569"/>
      <c r="AP540" s="569"/>
      <c r="AQ540" s="569"/>
      <c r="AR540" s="700"/>
      <c r="AS540" s="571" t="s">
        <v>124</v>
      </c>
      <c r="AT540" s="642" t="s">
        <v>119</v>
      </c>
      <c r="AU540" s="642" t="s">
        <v>111</v>
      </c>
      <c r="AV540" s="569"/>
      <c r="AW540" s="569"/>
      <c r="AX540" s="569"/>
      <c r="AY540" s="700"/>
      <c r="AZ540" s="447" t="s">
        <v>141</v>
      </c>
      <c r="BA540" s="640" t="s">
        <v>124</v>
      </c>
      <c r="BB540" s="641" t="s">
        <v>119</v>
      </c>
      <c r="BC540" s="642" t="s">
        <v>111</v>
      </c>
      <c r="BD540" s="569"/>
      <c r="BE540" s="569"/>
      <c r="BF540" s="569"/>
      <c r="BG540" s="569"/>
      <c r="BH540" s="640" t="s">
        <v>124</v>
      </c>
      <c r="BI540" s="642" t="s">
        <v>119</v>
      </c>
      <c r="BJ540" s="642" t="s">
        <v>111</v>
      </c>
      <c r="BK540" s="569"/>
      <c r="BL540" s="569"/>
      <c r="BM540" s="569"/>
      <c r="BN540" s="569"/>
      <c r="BO540" s="571" t="s">
        <v>124</v>
      </c>
      <c r="BP540" s="642" t="s">
        <v>119</v>
      </c>
      <c r="BQ540" s="641" t="s">
        <v>111</v>
      </c>
      <c r="BR540" s="560"/>
      <c r="BS540" s="569"/>
      <c r="BT540" s="569"/>
      <c r="BU540" s="569"/>
      <c r="BV540" s="571" t="s">
        <v>124</v>
      </c>
      <c r="BW540" s="642" t="s">
        <v>119</v>
      </c>
      <c r="BX540" s="642" t="s">
        <v>111</v>
      </c>
      <c r="BY540" s="742"/>
      <c r="BZ540" s="742"/>
      <c r="CA540" s="742"/>
      <c r="CB540" s="570"/>
    </row>
    <row r="541" spans="1:80">
      <c r="A541" s="565"/>
      <c r="B541" s="572"/>
      <c r="C541" s="573" t="s">
        <v>164</v>
      </c>
      <c r="D541" s="574" t="s">
        <v>112</v>
      </c>
      <c r="E541" s="794"/>
      <c r="F541" s="740" t="s">
        <v>1066</v>
      </c>
      <c r="G541" s="570"/>
      <c r="H541" s="572"/>
      <c r="I541" s="573" t="s">
        <v>814</v>
      </c>
      <c r="J541" s="574" t="s">
        <v>114</v>
      </c>
      <c r="K541" s="794"/>
      <c r="L541" s="740" t="s">
        <v>1067</v>
      </c>
      <c r="M541" s="572"/>
      <c r="N541" s="573" t="s">
        <v>720</v>
      </c>
      <c r="O541" s="645" t="s">
        <v>112</v>
      </c>
      <c r="P541" s="794"/>
      <c r="Q541" s="740" t="s">
        <v>1068</v>
      </c>
      <c r="R541" s="572"/>
      <c r="S541" s="573" t="s">
        <v>720</v>
      </c>
      <c r="T541" s="574" t="s">
        <v>114</v>
      </c>
      <c r="U541" s="794"/>
      <c r="V541" s="740" t="s">
        <v>1069</v>
      </c>
      <c r="W541" s="647"/>
      <c r="X541" s="572"/>
      <c r="Y541" s="573" t="s">
        <v>164</v>
      </c>
      <c r="Z541" s="574" t="s">
        <v>112</v>
      </c>
      <c r="AA541" s="569"/>
      <c r="AB541" s="569"/>
      <c r="AC541" s="569"/>
      <c r="AD541" s="570"/>
      <c r="AE541" s="572"/>
      <c r="AF541" s="573" t="s">
        <v>814</v>
      </c>
      <c r="AG541" s="574" t="s">
        <v>114</v>
      </c>
      <c r="AH541" s="569"/>
      <c r="AI541" s="569"/>
      <c r="AJ541" s="569"/>
      <c r="AK541" s="570"/>
      <c r="AL541" s="572"/>
      <c r="AM541" s="573" t="s">
        <v>720</v>
      </c>
      <c r="AN541" s="645" t="s">
        <v>112</v>
      </c>
      <c r="AO541" s="569"/>
      <c r="AP541" s="569"/>
      <c r="AQ541" s="569"/>
      <c r="AR541" s="700"/>
      <c r="AS541" s="572"/>
      <c r="AT541" s="573" t="s">
        <v>720</v>
      </c>
      <c r="AU541" s="574" t="s">
        <v>114</v>
      </c>
      <c r="AV541" s="795"/>
      <c r="AW541" s="795"/>
      <c r="AX541" s="569"/>
      <c r="AY541" s="700"/>
      <c r="AZ541" s="80"/>
      <c r="BA541" s="572"/>
      <c r="BB541" s="573" t="s">
        <v>164</v>
      </c>
      <c r="BC541" s="574" t="s">
        <v>112</v>
      </c>
      <c r="BD541" s="569"/>
      <c r="BE541" s="569"/>
      <c r="BF541" s="569"/>
      <c r="BG541" s="570"/>
      <c r="BH541" s="572"/>
      <c r="BI541" s="573" t="s">
        <v>814</v>
      </c>
      <c r="BJ541" s="574" t="s">
        <v>114</v>
      </c>
      <c r="BK541" s="569"/>
      <c r="BL541" s="569"/>
      <c r="BM541" s="569"/>
      <c r="BN541" s="570"/>
      <c r="BO541" s="572"/>
      <c r="BP541" s="573" t="s">
        <v>720</v>
      </c>
      <c r="BQ541" s="645" t="s">
        <v>112</v>
      </c>
      <c r="BR541" s="569"/>
      <c r="BS541" s="569"/>
      <c r="BT541" s="569"/>
      <c r="BU541" s="700"/>
      <c r="BV541" s="572"/>
      <c r="BW541" s="573" t="s">
        <v>720</v>
      </c>
      <c r="BX541" s="574" t="s">
        <v>114</v>
      </c>
      <c r="BY541" s="795"/>
      <c r="BZ541" s="795"/>
      <c r="CA541" s="569"/>
      <c r="CB541" s="700"/>
    </row>
    <row r="542" spans="1:80" ht="63">
      <c r="A542" s="564"/>
      <c r="B542" s="579" t="s">
        <v>122</v>
      </c>
      <c r="C542" s="582" t="s">
        <v>121</v>
      </c>
      <c r="D542" s="741" t="s">
        <v>125</v>
      </c>
      <c r="E542" s="796" t="s">
        <v>1013</v>
      </c>
      <c r="F542" s="796"/>
      <c r="G542" s="797"/>
      <c r="H542" s="582" t="s">
        <v>121</v>
      </c>
      <c r="I542" s="741" t="s">
        <v>125</v>
      </c>
      <c r="J542" s="796" t="s">
        <v>1013</v>
      </c>
      <c r="K542" s="796"/>
      <c r="L542" s="797"/>
      <c r="M542" s="582" t="s">
        <v>121</v>
      </c>
      <c r="N542" s="741" t="s">
        <v>125</v>
      </c>
      <c r="O542" s="798" t="s">
        <v>1013</v>
      </c>
      <c r="P542" s="798"/>
      <c r="Q542" s="799"/>
      <c r="R542" s="582" t="s">
        <v>121</v>
      </c>
      <c r="S542" s="741" t="s">
        <v>125</v>
      </c>
      <c r="T542" s="798" t="s">
        <v>1013</v>
      </c>
      <c r="U542" s="798"/>
      <c r="V542" s="799"/>
      <c r="W542" s="564"/>
      <c r="X542" s="582" t="s">
        <v>121</v>
      </c>
      <c r="Y542" s="584" t="s">
        <v>126</v>
      </c>
      <c r="Z542" s="583" t="s">
        <v>127</v>
      </c>
      <c r="AA542" s="583" t="s">
        <v>128</v>
      </c>
      <c r="AB542" s="583" t="s">
        <v>129</v>
      </c>
      <c r="AC542" s="583" t="s">
        <v>130</v>
      </c>
      <c r="AD542" s="701" t="s">
        <v>131</v>
      </c>
      <c r="AE542" s="582" t="s">
        <v>121</v>
      </c>
      <c r="AF542" s="583" t="s">
        <v>126</v>
      </c>
      <c r="AG542" s="583" t="s">
        <v>127</v>
      </c>
      <c r="AH542" s="583" t="s">
        <v>128</v>
      </c>
      <c r="AI542" s="583" t="s">
        <v>129</v>
      </c>
      <c r="AJ542" s="583" t="s">
        <v>130</v>
      </c>
      <c r="AK542" s="701" t="s">
        <v>131</v>
      </c>
      <c r="AL542" s="582" t="s">
        <v>121</v>
      </c>
      <c r="AM542" s="583" t="s">
        <v>126</v>
      </c>
      <c r="AN542" s="583" t="s">
        <v>127</v>
      </c>
      <c r="AO542" s="583" t="s">
        <v>128</v>
      </c>
      <c r="AP542" s="583" t="s">
        <v>129</v>
      </c>
      <c r="AQ542" s="583" t="s">
        <v>130</v>
      </c>
      <c r="AR542" s="696" t="s">
        <v>131</v>
      </c>
      <c r="AS542" s="582" t="s">
        <v>121</v>
      </c>
      <c r="AT542" s="583" t="s">
        <v>126</v>
      </c>
      <c r="AU542" s="695" t="s">
        <v>127</v>
      </c>
      <c r="AV542" s="695" t="s">
        <v>128</v>
      </c>
      <c r="AW542" s="583" t="s">
        <v>129</v>
      </c>
      <c r="AX542" s="583" t="s">
        <v>130</v>
      </c>
      <c r="AY542" s="696" t="s">
        <v>131</v>
      </c>
      <c r="AZ542" s="75"/>
      <c r="BA542" s="648" t="s">
        <v>121</v>
      </c>
      <c r="BB542" s="583" t="s">
        <v>143</v>
      </c>
      <c r="BC542" s="583" t="s">
        <v>888</v>
      </c>
      <c r="BD542" s="583" t="s">
        <v>1045</v>
      </c>
      <c r="BE542" s="583" t="s">
        <v>1044</v>
      </c>
      <c r="BF542" s="666" t="s">
        <v>1051</v>
      </c>
      <c r="BG542" s="666" t="s">
        <v>1052</v>
      </c>
      <c r="BH542" s="648" t="s">
        <v>121</v>
      </c>
      <c r="BI542" s="583" t="s">
        <v>143</v>
      </c>
      <c r="BJ542" s="583" t="s">
        <v>888</v>
      </c>
      <c r="BK542" s="583" t="s">
        <v>1045</v>
      </c>
      <c r="BL542" s="583" t="s">
        <v>1044</v>
      </c>
      <c r="BM542" s="666" t="s">
        <v>1051</v>
      </c>
      <c r="BN542" s="666" t="s">
        <v>1052</v>
      </c>
      <c r="BO542" s="648" t="s">
        <v>121</v>
      </c>
      <c r="BP542" s="583" t="s">
        <v>143</v>
      </c>
      <c r="BQ542" s="583" t="s">
        <v>888</v>
      </c>
      <c r="BR542" s="583" t="s">
        <v>1045</v>
      </c>
      <c r="BS542" s="583" t="s">
        <v>1044</v>
      </c>
      <c r="BT542" s="666" t="s">
        <v>1051</v>
      </c>
      <c r="BU542" s="666" t="s">
        <v>1052</v>
      </c>
      <c r="BV542" s="648" t="s">
        <v>121</v>
      </c>
      <c r="BW542" s="583" t="s">
        <v>143</v>
      </c>
      <c r="BX542" s="583" t="s">
        <v>888</v>
      </c>
      <c r="BY542" s="583" t="s">
        <v>1045</v>
      </c>
      <c r="BZ542" s="583" t="s">
        <v>1044</v>
      </c>
      <c r="CA542" s="666" t="s">
        <v>1051</v>
      </c>
      <c r="CB542" s="666" t="s">
        <v>1052</v>
      </c>
    </row>
    <row r="543" spans="1:80" ht="15.75">
      <c r="A543" s="564"/>
      <c r="B543" s="585" t="s">
        <v>120</v>
      </c>
      <c r="C543" s="742">
        <v>0</v>
      </c>
      <c r="D543" s="748">
        <v>408.86</v>
      </c>
      <c r="E543" s="23">
        <v>4.3600000000000003</v>
      </c>
      <c r="F543" s="23">
        <v>4.93</v>
      </c>
      <c r="G543" s="749">
        <v>3.51</v>
      </c>
      <c r="H543" s="742">
        <v>0</v>
      </c>
      <c r="I543" s="23">
        <v>433.45</v>
      </c>
      <c r="J543" s="42">
        <v>0.95</v>
      </c>
      <c r="K543" s="42">
        <v>0</v>
      </c>
      <c r="L543" s="754">
        <v>0</v>
      </c>
      <c r="M543" s="742">
        <v>0</v>
      </c>
      <c r="N543" s="747">
        <v>425.81</v>
      </c>
      <c r="O543" s="260">
        <v>2.74</v>
      </c>
      <c r="P543" s="260">
        <v>0</v>
      </c>
      <c r="Q543" s="94">
        <v>0</v>
      </c>
      <c r="R543" s="742">
        <v>0</v>
      </c>
      <c r="S543" s="649">
        <v>443.05</v>
      </c>
      <c r="T543" s="260">
        <v>1.48</v>
      </c>
      <c r="U543" s="260">
        <v>1.1100000000000001</v>
      </c>
      <c r="V543" s="94">
        <v>0</v>
      </c>
      <c r="W543" s="564"/>
      <c r="X543" s="650">
        <v>0</v>
      </c>
      <c r="Y543" s="651">
        <f t="shared" ref="Y543:Y558" si="495">AVERAGE(E543:G543)/10</f>
        <v>0.42666666666666664</v>
      </c>
      <c r="Z543" s="620">
        <v>9.6440000000000001</v>
      </c>
      <c r="AA543" s="620">
        <v>4.5170000000000003</v>
      </c>
      <c r="AB543" s="620">
        <f t="shared" ref="AB543:AB558" si="496">Z543-(AA543+Y543)</f>
        <v>4.700333333333333</v>
      </c>
      <c r="AC543" s="620">
        <f t="shared" ref="AC543:AC558" si="497">3*Z543+AA543+Y543</f>
        <v>33.875666666666675</v>
      </c>
      <c r="AD543" s="653">
        <f t="shared" ref="AD543:AD558" si="498">1.398*(10^-6)*(X543^2)*AB543*AC543</f>
        <v>0</v>
      </c>
      <c r="AE543" s="650">
        <v>0</v>
      </c>
      <c r="AF543" s="620">
        <f t="shared" ref="AF543:AF558" si="499">AVERAGE(J543:L543)/10</f>
        <v>3.1666666666666662E-2</v>
      </c>
      <c r="AG543" s="620">
        <v>9.6440000000000001</v>
      </c>
      <c r="AH543" s="620">
        <v>4.5170000000000003</v>
      </c>
      <c r="AI543" s="620">
        <f t="shared" ref="AI543:AI558" si="500">AG543-(AH543+AF543)</f>
        <v>5.0953333333333335</v>
      </c>
      <c r="AJ543" s="620">
        <f t="shared" ref="AJ543:AJ558" si="501">3*AG543+AH543+AF543</f>
        <v>33.480666666666671</v>
      </c>
      <c r="AK543" s="653">
        <f t="shared" ref="AK543:AK558" si="502">1.398*(10^-6)*(AE543^2)*AI543*AJ543</f>
        <v>0</v>
      </c>
      <c r="AL543" s="650">
        <v>0</v>
      </c>
      <c r="AM543" s="620">
        <f t="shared" ref="AM543:AM551" si="503">AVERAGE(O543:Q543)/10</f>
        <v>9.133333333333335E-2</v>
      </c>
      <c r="AN543" s="620">
        <v>9.6440000000000001</v>
      </c>
      <c r="AO543" s="620">
        <v>4.5170000000000003</v>
      </c>
      <c r="AP543" s="620">
        <f t="shared" ref="AP543:AP558" si="504">AN543-(AO543+AM543)</f>
        <v>5.0356666666666667</v>
      </c>
      <c r="AQ543" s="620">
        <f t="shared" ref="AQ543:AQ558" si="505">3*AN543+AO543+AM543</f>
        <v>33.540333333333336</v>
      </c>
      <c r="AR543" s="698">
        <f t="shared" ref="AR543:AR558" si="506">1.398*(10^-6)*(AL543^2)*AP543*AQ543</f>
        <v>0</v>
      </c>
      <c r="AS543" s="650">
        <v>0</v>
      </c>
      <c r="AT543" s="620">
        <f t="shared" ref="AT543:AT558" si="507">AVERAGE(T543:V543)/10</f>
        <v>8.6333333333333331E-2</v>
      </c>
      <c r="AU543" s="620">
        <v>9.6440000000000001</v>
      </c>
      <c r="AV543" s="620">
        <v>4.5170000000000003</v>
      </c>
      <c r="AW543" s="620">
        <f t="shared" ref="AW543:AW558" si="508">AU543-(AV543+AT543)</f>
        <v>5.0406666666666666</v>
      </c>
      <c r="AX543" s="620">
        <f t="shared" ref="AX543:AX558" si="509">3*AU543+AV543+AT543</f>
        <v>33.535333333333341</v>
      </c>
      <c r="AY543" s="698">
        <f t="shared" ref="AY543:AY558" si="510">1.398*(10^-6)*(AS543^2)*AW543*AX543</f>
        <v>0</v>
      </c>
      <c r="AZ543" s="75"/>
      <c r="BA543" s="650">
        <v>0</v>
      </c>
      <c r="BB543" s="620">
        <v>103.50685607036536</v>
      </c>
      <c r="BC543" s="720">
        <f>(BB561-BB562)/BB543</f>
        <v>0.65058492313032235</v>
      </c>
      <c r="BD543" s="714">
        <f>D543-BB559</f>
        <v>53.460000000000036</v>
      </c>
      <c r="BE543" s="693">
        <f>BB561-BB562</f>
        <v>67.339999999999989</v>
      </c>
      <c r="BF543" s="693">
        <f t="shared" ref="BF543:BF558" si="511">BD543/BE543*100</f>
        <v>79.388179388179452</v>
      </c>
      <c r="BG543" s="668">
        <f t="shared" ref="BG543:BG558" si="512">BF543*BC543</f>
        <v>51.64875258471497</v>
      </c>
      <c r="BH543" s="650">
        <v>0</v>
      </c>
      <c r="BI543" s="620">
        <v>103.50685607036536</v>
      </c>
      <c r="BJ543" s="720">
        <f>(BI561-BI562)/BI543</f>
        <v>0.88786389123368936</v>
      </c>
      <c r="BK543" s="714">
        <f>I543-BI559</f>
        <v>53.649999999999977</v>
      </c>
      <c r="BL543" s="693">
        <f>BI561-BI562</f>
        <v>91.9</v>
      </c>
      <c r="BM543" s="693">
        <f t="shared" ref="BM543:BM558" si="513">BK543/BL543*100</f>
        <v>58.37867247007614</v>
      </c>
      <c r="BN543" s="668">
        <f t="shared" ref="BN543:BN558" si="514">BM543*BJ543</f>
        <v>51.832315304338856</v>
      </c>
      <c r="BO543" s="650">
        <v>0</v>
      </c>
      <c r="BP543" s="681">
        <v>103.50685607036536</v>
      </c>
      <c r="BQ543" s="720">
        <f>(BP561-BP562)/BP543</f>
        <v>0.84177998741231075</v>
      </c>
      <c r="BR543" s="714">
        <f>N543-BP559</f>
        <v>50.770000000000039</v>
      </c>
      <c r="BS543" s="693">
        <f>BP561-BP562</f>
        <v>87.13000000000001</v>
      </c>
      <c r="BT543" s="693">
        <f t="shared" ref="BT543:BT558" si="515">BR543/BS543*100</f>
        <v>58.269252840583071</v>
      </c>
      <c r="BU543" s="668">
        <f t="shared" ref="BU543:BU558" si="516">BT543*BQ543</f>
        <v>49.04989092267077</v>
      </c>
      <c r="BV543" s="650">
        <v>0</v>
      </c>
      <c r="BW543" s="620">
        <v>103.50685607036536</v>
      </c>
      <c r="BX543" s="720">
        <f>(BW561-BW562)/BW543</f>
        <v>1.0627315346649162</v>
      </c>
      <c r="BY543" s="714">
        <f>S543-BW559</f>
        <v>46.210000000000036</v>
      </c>
      <c r="BZ543" s="693">
        <f>BW561-BW562</f>
        <v>109.99999999999999</v>
      </c>
      <c r="CA543" s="693">
        <f t="shared" ref="CA543:CA558" si="517">BY543/BZ543*100</f>
        <v>42.009090909090943</v>
      </c>
      <c r="CB543" s="668">
        <f t="shared" ref="CB543:CB558" si="518">CA543*BX543</f>
        <v>44.644385651696197</v>
      </c>
    </row>
    <row r="544" spans="1:80" ht="15.75">
      <c r="A544" s="564"/>
      <c r="B544" s="585" t="s">
        <v>116</v>
      </c>
      <c r="C544" s="742">
        <v>300</v>
      </c>
      <c r="D544" s="748">
        <v>395.83</v>
      </c>
      <c r="E544" s="23">
        <v>8.9499999999999993</v>
      </c>
      <c r="F544" s="23">
        <v>7.29</v>
      </c>
      <c r="G544" s="749">
        <v>5.66</v>
      </c>
      <c r="H544" s="742">
        <v>300</v>
      </c>
      <c r="I544" s="23">
        <v>426</v>
      </c>
      <c r="J544" s="760">
        <v>3.18</v>
      </c>
      <c r="K544" s="42">
        <v>1.81</v>
      </c>
      <c r="L544" s="754">
        <v>1.51</v>
      </c>
      <c r="M544" s="742">
        <v>300</v>
      </c>
      <c r="N544" s="649">
        <v>415.78</v>
      </c>
      <c r="O544" s="260">
        <v>4.7699999999999996</v>
      </c>
      <c r="P544" s="260">
        <v>5.8</v>
      </c>
      <c r="Q544" s="94">
        <v>5.0999999999999996</v>
      </c>
      <c r="R544" s="742">
        <v>300</v>
      </c>
      <c r="S544" s="649">
        <v>443.04</v>
      </c>
      <c r="T544" s="260">
        <v>2.2000000000000002</v>
      </c>
      <c r="U544" s="260">
        <v>0.86</v>
      </c>
      <c r="V544" s="94">
        <v>4.12</v>
      </c>
      <c r="W544" s="564"/>
      <c r="X544" s="650">
        <v>300</v>
      </c>
      <c r="Y544" s="651">
        <f t="shared" si="495"/>
        <v>0.73</v>
      </c>
      <c r="Z544" s="620">
        <v>9.6440000000000001</v>
      </c>
      <c r="AA544" s="620">
        <v>4.5170000000000003</v>
      </c>
      <c r="AB544" s="620">
        <f t="shared" si="496"/>
        <v>4.3970000000000002</v>
      </c>
      <c r="AC544" s="620">
        <f t="shared" si="497"/>
        <v>34.179000000000002</v>
      </c>
      <c r="AD544" s="653">
        <f t="shared" si="498"/>
        <v>18.90886662666</v>
      </c>
      <c r="AE544" s="650">
        <v>300</v>
      </c>
      <c r="AF544" s="620">
        <f t="shared" si="499"/>
        <v>0.21666666666666665</v>
      </c>
      <c r="AG544" s="620">
        <v>9.6440000000000001</v>
      </c>
      <c r="AH544" s="620">
        <v>4.5170000000000003</v>
      </c>
      <c r="AI544" s="620">
        <f t="shared" si="500"/>
        <v>4.910333333333333</v>
      </c>
      <c r="AJ544" s="620">
        <f t="shared" si="501"/>
        <v>33.665666666666674</v>
      </c>
      <c r="AK544" s="653">
        <f t="shared" si="502"/>
        <v>20.799259561860001</v>
      </c>
      <c r="AL544" s="650">
        <v>300</v>
      </c>
      <c r="AM544" s="620">
        <f t="shared" si="503"/>
        <v>0.52233333333333332</v>
      </c>
      <c r="AN544" s="620">
        <v>9.6440000000000001</v>
      </c>
      <c r="AO544" s="620">
        <v>4.5170000000000003</v>
      </c>
      <c r="AP544" s="620">
        <f t="shared" si="504"/>
        <v>4.6046666666666667</v>
      </c>
      <c r="AQ544" s="620">
        <f t="shared" si="505"/>
        <v>33.971333333333341</v>
      </c>
      <c r="AR544" s="698">
        <f t="shared" si="506"/>
        <v>19.681603144080004</v>
      </c>
      <c r="AS544" s="650">
        <v>300</v>
      </c>
      <c r="AT544" s="620">
        <f>AVERAGE(T544:V544)/10</f>
        <v>0.23933333333333331</v>
      </c>
      <c r="AU544" s="620">
        <v>9.6440000000000001</v>
      </c>
      <c r="AV544" s="620">
        <v>4.5170000000000003</v>
      </c>
      <c r="AW544" s="620">
        <f t="shared" si="508"/>
        <v>4.8876666666666662</v>
      </c>
      <c r="AX544" s="620">
        <f t="shared" si="509"/>
        <v>33.68833333333334</v>
      </c>
      <c r="AY544" s="698">
        <f t="shared" si="510"/>
        <v>20.717187008100002</v>
      </c>
      <c r="AZ544" s="75"/>
      <c r="BA544" s="650">
        <v>300</v>
      </c>
      <c r="BB544" s="620">
        <v>103.50685607036536</v>
      </c>
      <c r="BC544" s="720">
        <f>(BB561-BB562)/BB543</f>
        <v>0.65058492313032235</v>
      </c>
      <c r="BD544" s="714">
        <f>D544-BB559</f>
        <v>40.430000000000007</v>
      </c>
      <c r="BE544" s="693">
        <f>BB561-BB562</f>
        <v>67.339999999999989</v>
      </c>
      <c r="BF544" s="693">
        <f t="shared" si="511"/>
        <v>60.038610038610059</v>
      </c>
      <c r="BG544" s="668">
        <f t="shared" si="512"/>
        <v>39.060214496820528</v>
      </c>
      <c r="BH544" s="650">
        <v>300</v>
      </c>
      <c r="BI544" s="620">
        <v>103.50685607036536</v>
      </c>
      <c r="BJ544" s="720">
        <f>(BI561-BI562)/BI543</f>
        <v>0.88786389123368936</v>
      </c>
      <c r="BK544" s="714">
        <f>I544-BI559</f>
        <v>46.199999999999989</v>
      </c>
      <c r="BL544" s="693">
        <f>BI561-BI562</f>
        <v>91.9</v>
      </c>
      <c r="BM544" s="693">
        <f t="shared" si="513"/>
        <v>50.272034820457002</v>
      </c>
      <c r="BN544" s="668">
        <f t="shared" si="514"/>
        <v>44.634724455926481</v>
      </c>
      <c r="BO544" s="650">
        <v>300</v>
      </c>
      <c r="BP544" s="681">
        <v>103.50685607036536</v>
      </c>
      <c r="BQ544" s="720">
        <f>(BP561-BP562)/BP543</f>
        <v>0.84177998741231075</v>
      </c>
      <c r="BR544" s="714">
        <f>N544-BP559</f>
        <v>40.740000000000009</v>
      </c>
      <c r="BS544" s="693">
        <f>BP561-BP562</f>
        <v>87.13000000000001</v>
      </c>
      <c r="BT544" s="693">
        <f t="shared" si="515"/>
        <v>46.757718351887988</v>
      </c>
      <c r="BU544" s="668">
        <f t="shared" si="516"/>
        <v>39.359711565680641</v>
      </c>
      <c r="BV544" s="650">
        <v>300</v>
      </c>
      <c r="BW544" s="620">
        <v>103.50685607036536</v>
      </c>
      <c r="BX544" s="720">
        <f>(BW561-BW562)/BW543</f>
        <v>1.0627315346649162</v>
      </c>
      <c r="BY544" s="714">
        <f>S544-BW559</f>
        <v>46.200000000000045</v>
      </c>
      <c r="BZ544" s="693">
        <f>BW561-BW562</f>
        <v>109.99999999999999</v>
      </c>
      <c r="CA544" s="693">
        <f t="shared" si="517"/>
        <v>42.00000000000005</v>
      </c>
      <c r="CB544" s="668">
        <f t="shared" si="518"/>
        <v>44.634724455926531</v>
      </c>
    </row>
    <row r="545" spans="1:80" ht="15.75">
      <c r="A545" s="564"/>
      <c r="B545" s="585" t="s">
        <v>116</v>
      </c>
      <c r="C545" s="742">
        <v>350</v>
      </c>
      <c r="D545" s="655">
        <v>393.65</v>
      </c>
      <c r="E545" s="23">
        <v>8.17</v>
      </c>
      <c r="F545" s="23">
        <v>6.24</v>
      </c>
      <c r="G545" s="749">
        <v>9.41</v>
      </c>
      <c r="H545" s="742">
        <v>350</v>
      </c>
      <c r="I545" s="23">
        <v>423.21</v>
      </c>
      <c r="J545" s="42">
        <v>3.19</v>
      </c>
      <c r="K545" s="42">
        <v>1.78</v>
      </c>
      <c r="L545" s="754">
        <v>1.98</v>
      </c>
      <c r="M545" s="742">
        <v>350</v>
      </c>
      <c r="N545" s="649">
        <v>413.61</v>
      </c>
      <c r="O545" s="260">
        <v>5.52</v>
      </c>
      <c r="P545" s="260">
        <v>4.47</v>
      </c>
      <c r="Q545" s="761">
        <v>6.23</v>
      </c>
      <c r="R545" s="742">
        <v>350</v>
      </c>
      <c r="S545" s="649">
        <v>440.75</v>
      </c>
      <c r="T545" s="260">
        <v>1.07</v>
      </c>
      <c r="U545" s="260">
        <v>2.38</v>
      </c>
      <c r="V545" s="94">
        <v>5.09</v>
      </c>
      <c r="W545" s="564"/>
      <c r="X545" s="650">
        <v>350</v>
      </c>
      <c r="Y545" s="651">
        <f t="shared" si="495"/>
        <v>0.79400000000000004</v>
      </c>
      <c r="Z545" s="620">
        <v>9.6440000000000001</v>
      </c>
      <c r="AA545" s="620">
        <v>4.5170000000000003</v>
      </c>
      <c r="AB545" s="620">
        <f t="shared" si="496"/>
        <v>4.3330000000000002</v>
      </c>
      <c r="AC545" s="620">
        <f t="shared" si="497"/>
        <v>34.243000000000002</v>
      </c>
      <c r="AD545" s="653">
        <f t="shared" si="498"/>
        <v>25.409946753344997</v>
      </c>
      <c r="AE545" s="650">
        <v>350</v>
      </c>
      <c r="AF545" s="620">
        <f t="shared" si="499"/>
        <v>0.23166666666666663</v>
      </c>
      <c r="AG545" s="620">
        <v>9.6440000000000001</v>
      </c>
      <c r="AH545" s="620">
        <v>4.5170000000000003</v>
      </c>
      <c r="AI545" s="620">
        <f t="shared" si="500"/>
        <v>4.8953333333333333</v>
      </c>
      <c r="AJ545" s="620">
        <f t="shared" si="501"/>
        <v>33.680666666666674</v>
      </c>
      <c r="AK545" s="653">
        <f t="shared" si="502"/>
        <v>28.236197341006665</v>
      </c>
      <c r="AL545" s="650">
        <v>350</v>
      </c>
      <c r="AM545" s="620">
        <f t="shared" si="503"/>
        <v>0.54066666666666663</v>
      </c>
      <c r="AN545" s="620">
        <v>9.6440000000000001</v>
      </c>
      <c r="AO545" s="620">
        <v>4.5170000000000003</v>
      </c>
      <c r="AP545" s="620">
        <f t="shared" si="504"/>
        <v>4.5863333333333332</v>
      </c>
      <c r="AQ545" s="620">
        <f t="shared" si="505"/>
        <v>33.989666666666672</v>
      </c>
      <c r="AR545" s="698">
        <f t="shared" si="506"/>
        <v>26.696589374011662</v>
      </c>
      <c r="AS545" s="650">
        <v>350</v>
      </c>
      <c r="AT545" s="620">
        <f t="shared" si="507"/>
        <v>0.28466666666666662</v>
      </c>
      <c r="AU545" s="620">
        <v>9.6440000000000001</v>
      </c>
      <c r="AV545" s="620">
        <v>4.5170000000000003</v>
      </c>
      <c r="AW545" s="620">
        <f t="shared" si="508"/>
        <v>4.8423333333333334</v>
      </c>
      <c r="AX545" s="620">
        <f t="shared" si="509"/>
        <v>33.733666666666672</v>
      </c>
      <c r="AY545" s="698">
        <f t="shared" si="510"/>
        <v>27.974445775931667</v>
      </c>
      <c r="AZ545" s="75"/>
      <c r="BA545" s="650">
        <v>350</v>
      </c>
      <c r="BB545" s="620">
        <v>103.50685607036536</v>
      </c>
      <c r="BC545" s="720">
        <f>(BB561-BB562)/BB543</f>
        <v>0.65058492313032235</v>
      </c>
      <c r="BD545" s="714">
        <f>D545-BB559</f>
        <v>38.25</v>
      </c>
      <c r="BE545" s="693">
        <f>BB561-BB562</f>
        <v>67.339999999999989</v>
      </c>
      <c r="BF545" s="693">
        <f t="shared" si="511"/>
        <v>56.801306801306808</v>
      </c>
      <c r="BG545" s="668">
        <f t="shared" si="512"/>
        <v>36.954073819030043</v>
      </c>
      <c r="BH545" s="650">
        <v>350</v>
      </c>
      <c r="BI545" s="620">
        <v>103.50685607036536</v>
      </c>
      <c r="BJ545" s="720">
        <f>(BI561-BI562)/BI543</f>
        <v>0.88786389123368936</v>
      </c>
      <c r="BK545" s="714">
        <f>I545-BI559</f>
        <v>43.409999999999968</v>
      </c>
      <c r="BL545" s="693">
        <f>BI561-BI562</f>
        <v>91.9</v>
      </c>
      <c r="BM545" s="693">
        <f t="shared" si="513"/>
        <v>47.236126224156656</v>
      </c>
      <c r="BN545" s="668">
        <f t="shared" si="514"/>
        <v>41.939250836185444</v>
      </c>
      <c r="BO545" s="650">
        <v>350</v>
      </c>
      <c r="BP545" s="681">
        <v>103.50685607036536</v>
      </c>
      <c r="BQ545" s="720">
        <f>(BP561-BP562)/BP543</f>
        <v>0.84177998741231075</v>
      </c>
      <c r="BR545" s="714">
        <f>N545-BP559</f>
        <v>38.57000000000005</v>
      </c>
      <c r="BS545" s="693">
        <f>BP561-BP562</f>
        <v>87.13000000000001</v>
      </c>
      <c r="BT545" s="693">
        <f t="shared" si="515"/>
        <v>44.26718696201084</v>
      </c>
      <c r="BU545" s="668">
        <f t="shared" si="516"/>
        <v>37.263232083659894</v>
      </c>
      <c r="BV545" s="650">
        <v>350</v>
      </c>
      <c r="BW545" s="620">
        <v>103.50685607036536</v>
      </c>
      <c r="BX545" s="720">
        <f>(BW561-BW562)/BW543</f>
        <v>1.0627315346649162</v>
      </c>
      <c r="BY545" s="714">
        <f>S545-BW559</f>
        <v>43.910000000000025</v>
      </c>
      <c r="BZ545" s="693">
        <f>BW561-BW562</f>
        <v>109.99999999999999</v>
      </c>
      <c r="CA545" s="693">
        <f t="shared" si="517"/>
        <v>39.91818181818185</v>
      </c>
      <c r="CB545" s="668">
        <f t="shared" si="518"/>
        <v>42.422310624669549</v>
      </c>
    </row>
    <row r="546" spans="1:80" ht="15.75">
      <c r="A546" s="564"/>
      <c r="B546" s="585" t="s">
        <v>116</v>
      </c>
      <c r="C546" s="742">
        <v>450</v>
      </c>
      <c r="D546" s="655">
        <v>389.56</v>
      </c>
      <c r="E546" s="23">
        <v>7.48</v>
      </c>
      <c r="F546" s="23">
        <v>7.53</v>
      </c>
      <c r="G546" s="749">
        <v>10.49</v>
      </c>
      <c r="H546" s="742">
        <v>450</v>
      </c>
      <c r="I546" s="23">
        <v>419.18</v>
      </c>
      <c r="J546" s="42">
        <v>4.0199999999999996</v>
      </c>
      <c r="K546" s="42">
        <v>2.06</v>
      </c>
      <c r="L546" s="754">
        <v>1.74</v>
      </c>
      <c r="M546" s="742">
        <v>450</v>
      </c>
      <c r="N546" s="639">
        <v>410.41</v>
      </c>
      <c r="O546" s="550">
        <v>5.97</v>
      </c>
      <c r="P546" s="550">
        <v>6.34</v>
      </c>
      <c r="Q546" s="94">
        <v>5.96</v>
      </c>
      <c r="R546" s="742">
        <v>450</v>
      </c>
      <c r="S546" s="649">
        <v>437.1</v>
      </c>
      <c r="T546" s="260">
        <v>5.1100000000000003</v>
      </c>
      <c r="U546" s="260">
        <v>2.92</v>
      </c>
      <c r="V546" s="94">
        <v>1.47</v>
      </c>
      <c r="W546" s="564"/>
      <c r="X546" s="650">
        <v>450</v>
      </c>
      <c r="Y546" s="651">
        <f t="shared" si="495"/>
        <v>0.85</v>
      </c>
      <c r="Z546" s="620">
        <v>9.6440000000000001</v>
      </c>
      <c r="AA546" s="620">
        <v>4.5170000000000003</v>
      </c>
      <c r="AB546" s="620">
        <f t="shared" si="496"/>
        <v>4.2770000000000001</v>
      </c>
      <c r="AC546" s="620">
        <f t="shared" si="497"/>
        <v>34.299000000000007</v>
      </c>
      <c r="AD546" s="653">
        <f t="shared" si="498"/>
        <v>41.529137107185001</v>
      </c>
      <c r="AE546" s="650">
        <v>450</v>
      </c>
      <c r="AF546" s="620">
        <f t="shared" si="499"/>
        <v>0.26066666666666671</v>
      </c>
      <c r="AG546" s="620">
        <v>9.6440000000000001</v>
      </c>
      <c r="AH546" s="620">
        <v>4.5170000000000003</v>
      </c>
      <c r="AI546" s="620">
        <f t="shared" si="500"/>
        <v>4.8663333333333334</v>
      </c>
      <c r="AJ546" s="620">
        <f t="shared" si="501"/>
        <v>33.709666666666671</v>
      </c>
      <c r="AK546" s="653">
        <f t="shared" si="502"/>
        <v>46.439604334304995</v>
      </c>
      <c r="AL546" s="650">
        <v>450</v>
      </c>
      <c r="AM546" s="620">
        <f t="shared" si="503"/>
        <v>0.60899999999999999</v>
      </c>
      <c r="AN546" s="620">
        <v>9.6440000000000001</v>
      </c>
      <c r="AO546" s="620">
        <v>4.5170000000000003</v>
      </c>
      <c r="AP546" s="620">
        <f t="shared" si="504"/>
        <v>4.5179999999999998</v>
      </c>
      <c r="AQ546" s="620">
        <f t="shared" si="505"/>
        <v>34.058000000000007</v>
      </c>
      <c r="AR546" s="698">
        <f t="shared" si="506"/>
        <v>43.560972486179999</v>
      </c>
      <c r="AS546" s="650">
        <v>450</v>
      </c>
      <c r="AT546" s="620">
        <f>AVERAGE(T546:V546)/10</f>
        <v>0.31666666666666676</v>
      </c>
      <c r="AU546" s="620">
        <v>9.6440000000000001</v>
      </c>
      <c r="AV546" s="620">
        <v>4.5170000000000003</v>
      </c>
      <c r="AW546" s="620">
        <f t="shared" si="508"/>
        <v>4.8103333333333333</v>
      </c>
      <c r="AX546" s="620">
        <f t="shared" si="509"/>
        <v>33.765666666666675</v>
      </c>
      <c r="AY546" s="698">
        <f t="shared" si="510"/>
        <v>45.981453955185003</v>
      </c>
      <c r="AZ546" s="75"/>
      <c r="BA546" s="650">
        <v>450</v>
      </c>
      <c r="BB546" s="620">
        <v>103.50685607036536</v>
      </c>
      <c r="BC546" s="720">
        <f>(BB561-BB562)/BB543</f>
        <v>0.65058492313032235</v>
      </c>
      <c r="BD546" s="714">
        <f>D546-BB559</f>
        <v>34.160000000000025</v>
      </c>
      <c r="BE546" s="693">
        <f>BB561-BB562</f>
        <v>67.339999999999989</v>
      </c>
      <c r="BF546" s="693">
        <f t="shared" si="511"/>
        <v>50.727650727650776</v>
      </c>
      <c r="BG546" s="668">
        <f t="shared" si="512"/>
        <v>33.002644749230519</v>
      </c>
      <c r="BH546" s="650">
        <v>450</v>
      </c>
      <c r="BI546" s="620">
        <v>103.50685607036536</v>
      </c>
      <c r="BJ546" s="720">
        <f>(BI561-BI562)/BI543</f>
        <v>0.88786389123368936</v>
      </c>
      <c r="BK546" s="714">
        <f>I546-BI559</f>
        <v>39.379999999999995</v>
      </c>
      <c r="BL546" s="693">
        <f>BI561-BI562</f>
        <v>91.9</v>
      </c>
      <c r="BM546" s="693">
        <f t="shared" si="513"/>
        <v>42.850924918389545</v>
      </c>
      <c r="BN546" s="668">
        <f t="shared" si="514"/>
        <v>38.045788941004005</v>
      </c>
      <c r="BO546" s="650">
        <v>450</v>
      </c>
      <c r="BP546" s="681">
        <v>103.50685607036536</v>
      </c>
      <c r="BQ546" s="720">
        <f>(BP561-BP562)/BP543</f>
        <v>0.84177998741231075</v>
      </c>
      <c r="BR546" s="714">
        <f>N546-BP559</f>
        <v>35.370000000000061</v>
      </c>
      <c r="BS546" s="693">
        <f>BP561-BP562</f>
        <v>87.13000000000001</v>
      </c>
      <c r="BT546" s="693">
        <f t="shared" si="515"/>
        <v>40.594513944680429</v>
      </c>
      <c r="BU546" s="668">
        <f t="shared" si="516"/>
        <v>34.171649437361964</v>
      </c>
      <c r="BV546" s="650">
        <v>450</v>
      </c>
      <c r="BW546" s="620">
        <v>103.50685607036536</v>
      </c>
      <c r="BX546" s="720">
        <f>(BW561-BW562)/BW543</f>
        <v>1.0627315346649162</v>
      </c>
      <c r="BY546" s="714">
        <f>S546-BW559</f>
        <v>40.260000000000048</v>
      </c>
      <c r="BZ546" s="693">
        <f>BW561-BW562</f>
        <v>109.99999999999999</v>
      </c>
      <c r="CA546" s="693">
        <f t="shared" si="517"/>
        <v>36.600000000000051</v>
      </c>
      <c r="CB546" s="668">
        <f t="shared" si="518"/>
        <v>38.895974168735989</v>
      </c>
    </row>
    <row r="547" spans="1:80" ht="15.75">
      <c r="A547" s="564"/>
      <c r="B547" s="585" t="s">
        <v>116</v>
      </c>
      <c r="C547" s="742">
        <v>550</v>
      </c>
      <c r="D547" s="655">
        <v>386.45</v>
      </c>
      <c r="E547" s="750">
        <v>7.11</v>
      </c>
      <c r="F547" s="750">
        <v>10.130000000000001</v>
      </c>
      <c r="G547" s="751">
        <v>2.64</v>
      </c>
      <c r="H547" s="742">
        <v>550</v>
      </c>
      <c r="I547" s="750">
        <v>415.72</v>
      </c>
      <c r="J547" s="42">
        <v>4.01</v>
      </c>
      <c r="K547" s="42">
        <v>2.79</v>
      </c>
      <c r="L547" s="754">
        <v>2.12</v>
      </c>
      <c r="M547" s="742">
        <v>550</v>
      </c>
      <c r="N547" s="639">
        <v>408.03</v>
      </c>
      <c r="O547" s="550">
        <v>7.06</v>
      </c>
      <c r="P547" s="550">
        <v>6.24</v>
      </c>
      <c r="Q547" s="94">
        <v>6.02</v>
      </c>
      <c r="R547" s="742">
        <v>550</v>
      </c>
      <c r="S547" s="649">
        <v>434.75</v>
      </c>
      <c r="T547" s="260">
        <v>2.68</v>
      </c>
      <c r="U547" s="260">
        <v>2.08</v>
      </c>
      <c r="V547" s="260">
        <v>5.08</v>
      </c>
      <c r="W547" s="564"/>
      <c r="X547" s="650">
        <v>550</v>
      </c>
      <c r="Y547" s="651">
        <f t="shared" si="495"/>
        <v>0.66266666666666674</v>
      </c>
      <c r="Z547" s="620">
        <v>9.6440000000000001</v>
      </c>
      <c r="AA547" s="620">
        <v>4.5170000000000003</v>
      </c>
      <c r="AB547" s="620">
        <f t="shared" si="496"/>
        <v>4.4643333333333333</v>
      </c>
      <c r="AC547" s="620">
        <f t="shared" si="497"/>
        <v>34.111666666666672</v>
      </c>
      <c r="AD547" s="653">
        <f t="shared" si="498"/>
        <v>64.40092477069166</v>
      </c>
      <c r="AE547" s="650">
        <v>550</v>
      </c>
      <c r="AF547" s="620">
        <f t="shared" si="499"/>
        <v>0.29733333333333334</v>
      </c>
      <c r="AG547" s="620">
        <v>9.6440000000000001</v>
      </c>
      <c r="AH547" s="620">
        <v>4.5170000000000003</v>
      </c>
      <c r="AI547" s="620">
        <f t="shared" si="500"/>
        <v>4.8296666666666663</v>
      </c>
      <c r="AJ547" s="620">
        <f t="shared" si="501"/>
        <v>33.74633333333334</v>
      </c>
      <c r="AK547" s="653">
        <f t="shared" si="502"/>
        <v>68.924924665171659</v>
      </c>
      <c r="AL547" s="650">
        <v>550</v>
      </c>
      <c r="AM547" s="620">
        <f t="shared" si="503"/>
        <v>0.64400000000000002</v>
      </c>
      <c r="AN547" s="620">
        <v>9.6440000000000001</v>
      </c>
      <c r="AO547" s="620">
        <v>4.5170000000000003</v>
      </c>
      <c r="AP547" s="620">
        <f t="shared" si="504"/>
        <v>4.4829999999999997</v>
      </c>
      <c r="AQ547" s="620">
        <f t="shared" si="505"/>
        <v>34.093000000000004</v>
      </c>
      <c r="AR547" s="698">
        <f t="shared" si="506"/>
        <v>64.634814650504993</v>
      </c>
      <c r="AS547" s="650">
        <v>550</v>
      </c>
      <c r="AT547" s="620">
        <f t="shared" si="507"/>
        <v>0.32799999999999996</v>
      </c>
      <c r="AU547" s="620">
        <v>9.6440000000000001</v>
      </c>
      <c r="AV547" s="620">
        <v>4.5170000000000003</v>
      </c>
      <c r="AW547" s="620">
        <f t="shared" si="508"/>
        <v>4.7989999999999995</v>
      </c>
      <c r="AX547" s="620">
        <f t="shared" si="509"/>
        <v>33.777000000000008</v>
      </c>
      <c r="AY547" s="698">
        <f t="shared" si="510"/>
        <v>68.549513067584996</v>
      </c>
      <c r="AZ547" s="75"/>
      <c r="BA547" s="650">
        <v>550</v>
      </c>
      <c r="BB547" s="620">
        <v>103.50685607036536</v>
      </c>
      <c r="BC547" s="720">
        <f>(BB561-BB562)/BB543</f>
        <v>0.65058492313032235</v>
      </c>
      <c r="BD547" s="714">
        <f>D547-BB559</f>
        <v>31.050000000000011</v>
      </c>
      <c r="BE547" s="693">
        <f>BB561-BB562</f>
        <v>67.339999999999989</v>
      </c>
      <c r="BF547" s="693">
        <f t="shared" si="511"/>
        <v>46.109296109296132</v>
      </c>
      <c r="BG547" s="668">
        <f t="shared" si="512"/>
        <v>29.998012864859696</v>
      </c>
      <c r="BH547" s="650">
        <v>550</v>
      </c>
      <c r="BI547" s="620">
        <v>103.50685607036536</v>
      </c>
      <c r="BJ547" s="720">
        <f>(BI561-BI562)/BI543</f>
        <v>0.88786389123368936</v>
      </c>
      <c r="BK547" s="714">
        <f>I547-BI559</f>
        <v>35.920000000000016</v>
      </c>
      <c r="BL547" s="693">
        <f>BI561-BI562</f>
        <v>91.9</v>
      </c>
      <c r="BM547" s="693">
        <f t="shared" si="513"/>
        <v>39.085963003264432</v>
      </c>
      <c r="BN547" s="668">
        <f t="shared" si="514"/>
        <v>34.703015204694381</v>
      </c>
      <c r="BO547" s="650">
        <v>550</v>
      </c>
      <c r="BP547" s="681">
        <v>103.50685607036536</v>
      </c>
      <c r="BQ547" s="720">
        <f>(BP561-BP562)/BP543</f>
        <v>0.84177998741231075</v>
      </c>
      <c r="BR547" s="714">
        <f>N547-BP559</f>
        <v>32.990000000000009</v>
      </c>
      <c r="BS547" s="693">
        <f>BP561-BP562</f>
        <v>87.13000000000001</v>
      </c>
      <c r="BT547" s="693">
        <f t="shared" si="515"/>
        <v>37.862963388040868</v>
      </c>
      <c r="BU547" s="668">
        <f t="shared" si="516"/>
        <v>31.872284844177823</v>
      </c>
      <c r="BV547" s="650">
        <v>550</v>
      </c>
      <c r="BW547" s="620">
        <v>103.50685607036536</v>
      </c>
      <c r="BX547" s="720">
        <f>(BW561-BW562)/BW543</f>
        <v>1.0627315346649162</v>
      </c>
      <c r="BY547" s="714">
        <f>S547-BW559</f>
        <v>37.910000000000025</v>
      </c>
      <c r="BZ547" s="693">
        <f>BW561-BW562</f>
        <v>109.99999999999999</v>
      </c>
      <c r="CA547" s="693">
        <f t="shared" si="517"/>
        <v>34.46363636363639</v>
      </c>
      <c r="CB547" s="668">
        <f t="shared" si="518"/>
        <v>36.625593162860916</v>
      </c>
    </row>
    <row r="548" spans="1:80" ht="15.75">
      <c r="A548" s="564"/>
      <c r="B548" s="585" t="s">
        <v>116</v>
      </c>
      <c r="C548" s="742">
        <v>650</v>
      </c>
      <c r="D548" s="655">
        <v>384.23</v>
      </c>
      <c r="E548" s="750">
        <v>9.1</v>
      </c>
      <c r="F548" s="750">
        <v>11.7</v>
      </c>
      <c r="G548" s="751">
        <v>5.41</v>
      </c>
      <c r="H548" s="742">
        <v>650</v>
      </c>
      <c r="I548" s="750">
        <v>413.01</v>
      </c>
      <c r="J548" s="42">
        <v>4.22</v>
      </c>
      <c r="K548" s="42">
        <v>3.24</v>
      </c>
      <c r="L548" s="754">
        <v>2.61</v>
      </c>
      <c r="M548" s="742">
        <v>650</v>
      </c>
      <c r="N548" s="639">
        <v>406.34</v>
      </c>
      <c r="O548" s="550">
        <v>7.21</v>
      </c>
      <c r="P548" s="550">
        <v>7.16</v>
      </c>
      <c r="Q548" s="94">
        <v>5.24</v>
      </c>
      <c r="R548" s="742">
        <v>650</v>
      </c>
      <c r="S548" s="639">
        <v>432.87</v>
      </c>
      <c r="T548" s="639">
        <v>2.85</v>
      </c>
      <c r="U548" s="639">
        <v>3.98</v>
      </c>
      <c r="V548" s="654">
        <v>5.63</v>
      </c>
      <c r="W548" s="564"/>
      <c r="X548" s="650">
        <v>650</v>
      </c>
      <c r="Y548" s="651">
        <f t="shared" si="495"/>
        <v>0.87366666666666659</v>
      </c>
      <c r="Z548" s="620">
        <v>9.6440000000000001</v>
      </c>
      <c r="AA548" s="620">
        <v>4.5170000000000003</v>
      </c>
      <c r="AB548" s="620">
        <f t="shared" si="496"/>
        <v>4.253333333333333</v>
      </c>
      <c r="AC548" s="620">
        <f t="shared" si="497"/>
        <v>34.32266666666667</v>
      </c>
      <c r="AD548" s="653">
        <f t="shared" si="498"/>
        <v>86.227208572266662</v>
      </c>
      <c r="AE548" s="650">
        <v>650</v>
      </c>
      <c r="AF548" s="620">
        <f t="shared" si="499"/>
        <v>0.33566666666666667</v>
      </c>
      <c r="AG548" s="620">
        <v>9.6440000000000001</v>
      </c>
      <c r="AH548" s="620">
        <v>4.5170000000000003</v>
      </c>
      <c r="AI548" s="620">
        <f t="shared" si="500"/>
        <v>4.7913333333333332</v>
      </c>
      <c r="AJ548" s="620">
        <f t="shared" si="501"/>
        <v>33.784666666666674</v>
      </c>
      <c r="AK548" s="653">
        <f t="shared" si="502"/>
        <v>95.611450945486681</v>
      </c>
      <c r="AL548" s="650">
        <v>650</v>
      </c>
      <c r="AM548" s="620">
        <f t="shared" si="503"/>
        <v>0.65366666666666662</v>
      </c>
      <c r="AN548" s="620">
        <v>9.6440000000000001</v>
      </c>
      <c r="AO548" s="620">
        <v>4.5170000000000003</v>
      </c>
      <c r="AP548" s="620">
        <f t="shared" si="504"/>
        <v>4.4733333333333327</v>
      </c>
      <c r="AQ548" s="620">
        <f t="shared" si="505"/>
        <v>34.102666666666671</v>
      </c>
      <c r="AR548" s="698">
        <f t="shared" si="506"/>
        <v>90.105953327866658</v>
      </c>
      <c r="AS548" s="650">
        <v>650</v>
      </c>
      <c r="AT548" s="620">
        <f t="shared" si="507"/>
        <v>0.41533333333333333</v>
      </c>
      <c r="AU548" s="620">
        <v>9.6440000000000001</v>
      </c>
      <c r="AV548" s="620">
        <v>4.5170000000000003</v>
      </c>
      <c r="AW548" s="620">
        <f t="shared" si="508"/>
        <v>4.711666666666666</v>
      </c>
      <c r="AX548" s="620">
        <f t="shared" si="509"/>
        <v>33.864333333333342</v>
      </c>
      <c r="AY548" s="698">
        <f t="shared" si="510"/>
        <v>94.243405957891667</v>
      </c>
      <c r="AZ548" s="75"/>
      <c r="BA548" s="650">
        <v>650</v>
      </c>
      <c r="BB548" s="620">
        <v>103.50685607036536</v>
      </c>
      <c r="BC548" s="720">
        <f>(BB561-BB562)/BB543</f>
        <v>0.65058492313032235</v>
      </c>
      <c r="BD548" s="714">
        <f>D548-BB559</f>
        <v>28.830000000000041</v>
      </c>
      <c r="BE548" s="693">
        <f>BB561-BB562</f>
        <v>67.339999999999989</v>
      </c>
      <c r="BF548" s="693">
        <f t="shared" si="511"/>
        <v>42.812592812592882</v>
      </c>
      <c r="BG548" s="668">
        <f t="shared" si="512"/>
        <v>27.85322740399053</v>
      </c>
      <c r="BH548" s="650">
        <v>650</v>
      </c>
      <c r="BI548" s="620">
        <v>103.50685607036536</v>
      </c>
      <c r="BJ548" s="720">
        <f>(BI561-BI562)/BI543</f>
        <v>0.88786389123368936</v>
      </c>
      <c r="BK548" s="714">
        <f>I548-BI559</f>
        <v>33.20999999999998</v>
      </c>
      <c r="BL548" s="693">
        <f>BI561-BI562</f>
        <v>91.9</v>
      </c>
      <c r="BM548" s="693">
        <f t="shared" si="513"/>
        <v>36.137105549510309</v>
      </c>
      <c r="BN548" s="668">
        <f t="shared" si="514"/>
        <v>32.084831151110777</v>
      </c>
      <c r="BO548" s="650">
        <v>650</v>
      </c>
      <c r="BP548" s="681">
        <v>103.50685607036536</v>
      </c>
      <c r="BQ548" s="720">
        <f>(BP561-BP562)/BP543</f>
        <v>0.84177998741231075</v>
      </c>
      <c r="BR548" s="714">
        <f>N548-BP559</f>
        <v>31.300000000000011</v>
      </c>
      <c r="BS548" s="693">
        <f>BP561-BP562</f>
        <v>87.13000000000001</v>
      </c>
      <c r="BT548" s="693">
        <f t="shared" si="515"/>
        <v>35.923332950763239</v>
      </c>
      <c r="BU548" s="668">
        <f t="shared" si="516"/>
        <v>30.239542759101727</v>
      </c>
      <c r="BV548" s="650">
        <v>650</v>
      </c>
      <c r="BW548" s="620">
        <v>103.50685607036536</v>
      </c>
      <c r="BX548" s="720">
        <f>(BW561-BW562)/BW543</f>
        <v>1.0627315346649162</v>
      </c>
      <c r="BY548" s="714">
        <f>S548-BW559</f>
        <v>36.03000000000003</v>
      </c>
      <c r="BZ548" s="693">
        <f>BW561-BW562</f>
        <v>109.99999999999999</v>
      </c>
      <c r="CA548" s="693">
        <f t="shared" si="517"/>
        <v>32.754545454545486</v>
      </c>
      <c r="CB548" s="668">
        <f t="shared" si="518"/>
        <v>34.809288358160877</v>
      </c>
    </row>
    <row r="549" spans="1:80" ht="15.75">
      <c r="A549" s="564"/>
      <c r="B549" s="585" t="s">
        <v>116</v>
      </c>
      <c r="C549" s="742">
        <v>750</v>
      </c>
      <c r="D549" s="655">
        <v>382.63</v>
      </c>
      <c r="E549" s="750">
        <v>4.29</v>
      </c>
      <c r="F549" s="750">
        <v>12.4</v>
      </c>
      <c r="G549" s="751">
        <v>9.77</v>
      </c>
      <c r="H549" s="742">
        <v>750</v>
      </c>
      <c r="I549" s="750">
        <v>410.96</v>
      </c>
      <c r="J549" s="42">
        <v>5.08</v>
      </c>
      <c r="K549" s="42">
        <v>3.9</v>
      </c>
      <c r="L549" s="754">
        <v>4.7300000000000004</v>
      </c>
      <c r="M549" s="742">
        <v>750</v>
      </c>
      <c r="N549" s="639">
        <v>404.94</v>
      </c>
      <c r="O549" s="562">
        <v>7.39</v>
      </c>
      <c r="P549" s="562">
        <v>7.12</v>
      </c>
      <c r="Q549" s="588">
        <v>7.57</v>
      </c>
      <c r="R549" s="742">
        <v>750</v>
      </c>
      <c r="S549" s="639">
        <v>431.47</v>
      </c>
      <c r="T549" s="639">
        <v>2.98</v>
      </c>
      <c r="U549" s="639">
        <v>3.97</v>
      </c>
      <c r="V549" s="654">
        <v>6.52</v>
      </c>
      <c r="W549" s="564"/>
      <c r="X549" s="650">
        <v>750</v>
      </c>
      <c r="Y549" s="651">
        <f t="shared" si="495"/>
        <v>0.88200000000000001</v>
      </c>
      <c r="Z549" s="620">
        <v>9.6440000000000001</v>
      </c>
      <c r="AA549" s="620">
        <v>4.5170000000000003</v>
      </c>
      <c r="AB549" s="620">
        <f t="shared" si="496"/>
        <v>4.2450000000000001</v>
      </c>
      <c r="AC549" s="620">
        <f t="shared" si="497"/>
        <v>34.331000000000003</v>
      </c>
      <c r="AD549" s="653">
        <f t="shared" si="498"/>
        <v>114.60243533062501</v>
      </c>
      <c r="AE549" s="650">
        <v>750</v>
      </c>
      <c r="AF549" s="620">
        <f t="shared" si="499"/>
        <v>0.45700000000000002</v>
      </c>
      <c r="AG549" s="620">
        <v>9.6440000000000001</v>
      </c>
      <c r="AH549" s="620">
        <v>4.5170000000000003</v>
      </c>
      <c r="AI549" s="620">
        <f t="shared" si="500"/>
        <v>4.67</v>
      </c>
      <c r="AJ549" s="620">
        <f t="shared" si="501"/>
        <v>33.906000000000006</v>
      </c>
      <c r="AK549" s="653">
        <f t="shared" si="502"/>
        <v>124.5154196025</v>
      </c>
      <c r="AL549" s="650">
        <v>750</v>
      </c>
      <c r="AM549" s="620">
        <f t="shared" si="503"/>
        <v>0.73599999999999999</v>
      </c>
      <c r="AN549" s="620">
        <v>9.6440000000000001</v>
      </c>
      <c r="AO549" s="620">
        <v>4.5170000000000003</v>
      </c>
      <c r="AP549" s="620">
        <f t="shared" si="504"/>
        <v>4.391</v>
      </c>
      <c r="AQ549" s="620">
        <f t="shared" si="505"/>
        <v>34.185000000000002</v>
      </c>
      <c r="AR549" s="698">
        <f t="shared" si="506"/>
        <v>118.03986918562499</v>
      </c>
      <c r="AS549" s="650">
        <v>750</v>
      </c>
      <c r="AT549" s="620">
        <f t="shared" si="507"/>
        <v>0.44899999999999995</v>
      </c>
      <c r="AU549" s="620">
        <v>9.6440000000000001</v>
      </c>
      <c r="AV549" s="620">
        <v>4.5170000000000003</v>
      </c>
      <c r="AW549" s="620">
        <f t="shared" si="508"/>
        <v>4.6779999999999999</v>
      </c>
      <c r="AX549" s="620">
        <f t="shared" si="509"/>
        <v>33.898000000000003</v>
      </c>
      <c r="AY549" s="698">
        <f t="shared" si="510"/>
        <v>124.69929295049999</v>
      </c>
      <c r="AZ549" s="75"/>
      <c r="BA549" s="650">
        <v>750</v>
      </c>
      <c r="BB549" s="620">
        <v>103.50685607036536</v>
      </c>
      <c r="BC549" s="720">
        <f>(BB561-BB562)/BB543</f>
        <v>0.65058492313032235</v>
      </c>
      <c r="BD549" s="714">
        <f>D549-BB559</f>
        <v>27.230000000000018</v>
      </c>
      <c r="BE549" s="693">
        <f>BB561-BB562</f>
        <v>67.339999999999989</v>
      </c>
      <c r="BF549" s="693">
        <f t="shared" si="511"/>
        <v>40.436590436590471</v>
      </c>
      <c r="BG549" s="668">
        <f t="shared" si="512"/>
        <v>26.307436080841541</v>
      </c>
      <c r="BH549" s="650">
        <v>750</v>
      </c>
      <c r="BI549" s="620">
        <v>103.50685607036536</v>
      </c>
      <c r="BJ549" s="720">
        <f>(BI561-BI562)/BI543</f>
        <v>0.88786389123368936</v>
      </c>
      <c r="BK549" s="714">
        <f>I549-BI559</f>
        <v>31.159999999999968</v>
      </c>
      <c r="BL549" s="693">
        <f>BI561-BI562</f>
        <v>91.9</v>
      </c>
      <c r="BM549" s="693">
        <f t="shared" si="513"/>
        <v>33.906420021762749</v>
      </c>
      <c r="BN549" s="668">
        <f t="shared" si="514"/>
        <v>30.10428601832615</v>
      </c>
      <c r="BO549" s="650">
        <v>750</v>
      </c>
      <c r="BP549" s="681">
        <v>103.50685607036536</v>
      </c>
      <c r="BQ549" s="720">
        <f>(BP561-BP562)/BP543</f>
        <v>0.84177998741231075</v>
      </c>
      <c r="BR549" s="714">
        <f>N549-BP559</f>
        <v>29.900000000000034</v>
      </c>
      <c r="BS549" s="693">
        <f>BP561-BP562</f>
        <v>87.13000000000001</v>
      </c>
      <c r="BT549" s="693">
        <f t="shared" si="515"/>
        <v>34.316538505681201</v>
      </c>
      <c r="BU549" s="668">
        <f t="shared" si="516"/>
        <v>28.8869753513464</v>
      </c>
      <c r="BV549" s="650">
        <v>750</v>
      </c>
      <c r="BW549" s="620">
        <v>103.50685607036536</v>
      </c>
      <c r="BX549" s="720">
        <f>(BW561-BW562)/BW543</f>
        <v>1.0627315346649162</v>
      </c>
      <c r="BY549" s="714">
        <f>S549-BW559</f>
        <v>34.630000000000052</v>
      </c>
      <c r="BZ549" s="693">
        <f>BW561-BW562</f>
        <v>109.99999999999999</v>
      </c>
      <c r="CA549" s="693">
        <f t="shared" si="517"/>
        <v>31.481818181818234</v>
      </c>
      <c r="CB549" s="668">
        <f t="shared" si="518"/>
        <v>33.456720950405554</v>
      </c>
    </row>
    <row r="550" spans="1:80" ht="15.75">
      <c r="A550" s="564"/>
      <c r="B550" s="585" t="s">
        <v>116</v>
      </c>
      <c r="C550" s="742">
        <v>850</v>
      </c>
      <c r="D550" s="655">
        <v>381.13</v>
      </c>
      <c r="E550" s="750">
        <v>7.35</v>
      </c>
      <c r="F550" s="750">
        <v>6.56</v>
      </c>
      <c r="G550" s="751">
        <v>6.41</v>
      </c>
      <c r="H550" s="742">
        <v>850</v>
      </c>
      <c r="I550" s="750">
        <v>409.06</v>
      </c>
      <c r="J550" s="42">
        <v>4.59</v>
      </c>
      <c r="K550" s="42">
        <v>4.97</v>
      </c>
      <c r="L550" s="754">
        <v>4.01</v>
      </c>
      <c r="M550" s="742">
        <v>850</v>
      </c>
      <c r="N550" s="639">
        <v>403.49</v>
      </c>
      <c r="O550" s="562">
        <v>7.47</v>
      </c>
      <c r="P550" s="562">
        <v>6.05</v>
      </c>
      <c r="Q550" s="588">
        <v>6.82</v>
      </c>
      <c r="R550" s="742">
        <v>850</v>
      </c>
      <c r="S550" s="639">
        <v>430.26</v>
      </c>
      <c r="T550" s="639">
        <v>4.95</v>
      </c>
      <c r="U550" s="639">
        <v>3.13</v>
      </c>
      <c r="V550" s="654">
        <v>2.95</v>
      </c>
      <c r="W550" s="564"/>
      <c r="X550" s="650">
        <v>850</v>
      </c>
      <c r="Y550" s="651">
        <f t="shared" si="495"/>
        <v>0.67733333333333334</v>
      </c>
      <c r="Z550" s="620">
        <v>9.6440000000000001</v>
      </c>
      <c r="AA550" s="620">
        <v>4.5170000000000003</v>
      </c>
      <c r="AB550" s="620">
        <f t="shared" si="496"/>
        <v>4.4496666666666664</v>
      </c>
      <c r="AC550" s="620">
        <f t="shared" si="497"/>
        <v>34.126333333333335</v>
      </c>
      <c r="AD550" s="653">
        <f t="shared" si="498"/>
        <v>153.37766776221164</v>
      </c>
      <c r="AE550" s="650">
        <v>850</v>
      </c>
      <c r="AF550" s="620">
        <f t="shared" si="499"/>
        <v>0.45233333333333325</v>
      </c>
      <c r="AG550" s="620">
        <v>9.6440000000000001</v>
      </c>
      <c r="AH550" s="620">
        <v>4.5170000000000003</v>
      </c>
      <c r="AI550" s="620">
        <f t="shared" si="500"/>
        <v>4.674666666666667</v>
      </c>
      <c r="AJ550" s="620">
        <f t="shared" si="501"/>
        <v>33.901333333333341</v>
      </c>
      <c r="AK550" s="653">
        <f t="shared" si="502"/>
        <v>160.0709234765867</v>
      </c>
      <c r="AL550" s="650">
        <v>850</v>
      </c>
      <c r="AM550" s="620">
        <f t="shared" si="503"/>
        <v>0.67800000000000005</v>
      </c>
      <c r="AN550" s="620">
        <v>9.6440000000000001</v>
      </c>
      <c r="AO550" s="620">
        <v>4.5170000000000003</v>
      </c>
      <c r="AP550" s="620">
        <f t="shared" si="504"/>
        <v>4.4489999999999998</v>
      </c>
      <c r="AQ550" s="620">
        <f t="shared" si="505"/>
        <v>34.127000000000002</v>
      </c>
      <c r="AR550" s="698">
        <f t="shared" si="506"/>
        <v>153.357683936265</v>
      </c>
      <c r="AS550" s="650">
        <v>850</v>
      </c>
      <c r="AT550" s="620">
        <f t="shared" si="507"/>
        <v>0.3676666666666667</v>
      </c>
      <c r="AU550" s="620">
        <v>9.6440000000000001</v>
      </c>
      <c r="AV550" s="620">
        <v>4.5170000000000003</v>
      </c>
      <c r="AW550" s="620">
        <f t="shared" si="508"/>
        <v>4.7593333333333332</v>
      </c>
      <c r="AX550" s="620">
        <f t="shared" si="509"/>
        <v>33.81666666666667</v>
      </c>
      <c r="AY550" s="698">
        <f t="shared" si="510"/>
        <v>162.56308874116667</v>
      </c>
      <c r="AZ550" s="75"/>
      <c r="BA550" s="650">
        <v>850</v>
      </c>
      <c r="BB550" s="620">
        <v>103.50685607036536</v>
      </c>
      <c r="BC550" s="720">
        <f>(BB561-BB562)/BB543</f>
        <v>0.65058492313032235</v>
      </c>
      <c r="BD550" s="714">
        <f>D550-BB559</f>
        <v>25.730000000000018</v>
      </c>
      <c r="BE550" s="693">
        <f>BB561-BB562</f>
        <v>67.339999999999989</v>
      </c>
      <c r="BF550" s="693">
        <f t="shared" si="511"/>
        <v>38.209088209088243</v>
      </c>
      <c r="BG550" s="668">
        <f t="shared" si="512"/>
        <v>24.858256715389381</v>
      </c>
      <c r="BH550" s="650">
        <v>850</v>
      </c>
      <c r="BI550" s="620">
        <v>103.50685607036536</v>
      </c>
      <c r="BJ550" s="720">
        <f>(BI561-BI562)/BI543</f>
        <v>0.88786389123368936</v>
      </c>
      <c r="BK550" s="714">
        <f>I550-BI559</f>
        <v>29.259999999999991</v>
      </c>
      <c r="BL550" s="693">
        <f>BI561-BI562</f>
        <v>91.9</v>
      </c>
      <c r="BM550" s="693">
        <f t="shared" si="513"/>
        <v>31.838955386289435</v>
      </c>
      <c r="BN550" s="668">
        <f t="shared" si="514"/>
        <v>28.26865882208677</v>
      </c>
      <c r="BO550" s="650">
        <v>850</v>
      </c>
      <c r="BP550" s="681">
        <v>103.50685607036536</v>
      </c>
      <c r="BQ550" s="720">
        <f>(BP561-BP562)/BP543</f>
        <v>0.84177998741231075</v>
      </c>
      <c r="BR550" s="714">
        <f>N550-BP559</f>
        <v>28.450000000000045</v>
      </c>
      <c r="BS550" s="693">
        <f>BP561-BP562</f>
        <v>87.13000000000001</v>
      </c>
      <c r="BT550" s="693">
        <f t="shared" si="515"/>
        <v>32.652358544703361</v>
      </c>
      <c r="BU550" s="668">
        <f t="shared" si="516"/>
        <v>27.486101964742652</v>
      </c>
      <c r="BV550" s="650">
        <v>850</v>
      </c>
      <c r="BW550" s="620">
        <v>103.50685607036536</v>
      </c>
      <c r="BX550" s="720">
        <f>(BW561-BW562)/BW543</f>
        <v>1.0627315346649162</v>
      </c>
      <c r="BY550" s="714">
        <f>S550-BW559</f>
        <v>33.420000000000016</v>
      </c>
      <c r="BZ550" s="693">
        <f>BW561-BW562</f>
        <v>109.99999999999999</v>
      </c>
      <c r="CA550" s="693">
        <f t="shared" si="517"/>
        <v>30.381818181818197</v>
      </c>
      <c r="CB550" s="668">
        <f t="shared" si="518"/>
        <v>32.28771626227411</v>
      </c>
    </row>
    <row r="551" spans="1:80" ht="15.75">
      <c r="A551" s="564"/>
      <c r="B551" s="585" t="s">
        <v>116</v>
      </c>
      <c r="C551" s="742">
        <v>950</v>
      </c>
      <c r="D551" s="655">
        <v>380.07</v>
      </c>
      <c r="E551" s="750">
        <v>13.56</v>
      </c>
      <c r="F551" s="750">
        <v>4.51</v>
      </c>
      <c r="G551" s="751">
        <v>8.59</v>
      </c>
      <c r="H551" s="742">
        <v>950</v>
      </c>
      <c r="I551" s="750">
        <v>407.86</v>
      </c>
      <c r="J551" s="42">
        <v>5.9</v>
      </c>
      <c r="K551" s="42">
        <v>5.29</v>
      </c>
      <c r="L551" s="754">
        <v>5.25</v>
      </c>
      <c r="M551" s="742">
        <v>950</v>
      </c>
      <c r="N551" s="639">
        <v>402.56</v>
      </c>
      <c r="O551" s="562">
        <v>8.36</v>
      </c>
      <c r="P551" s="562">
        <v>4.8899999999999997</v>
      </c>
      <c r="Q551" s="588">
        <v>7.95</v>
      </c>
      <c r="R551" s="742">
        <v>950</v>
      </c>
      <c r="S551" s="639">
        <v>429.33</v>
      </c>
      <c r="T551" s="639">
        <v>6.04</v>
      </c>
      <c r="U551" s="639">
        <v>0.93</v>
      </c>
      <c r="V551" s="654">
        <v>3.09</v>
      </c>
      <c r="W551" s="564"/>
      <c r="X551" s="650">
        <v>950</v>
      </c>
      <c r="Y551" s="651">
        <f t="shared" si="495"/>
        <v>0.88866666666666672</v>
      </c>
      <c r="Z551" s="620">
        <v>9.6440000000000001</v>
      </c>
      <c r="AA551" s="620">
        <v>4.5170000000000003</v>
      </c>
      <c r="AB551" s="620">
        <f t="shared" si="496"/>
        <v>4.2383333333333333</v>
      </c>
      <c r="AC551" s="620">
        <f t="shared" si="497"/>
        <v>34.337666666666671</v>
      </c>
      <c r="AD551" s="653">
        <f t="shared" si="498"/>
        <v>183.62012223889167</v>
      </c>
      <c r="AE551" s="650">
        <v>950</v>
      </c>
      <c r="AF551" s="620">
        <f t="shared" si="499"/>
        <v>0.54800000000000004</v>
      </c>
      <c r="AG551" s="620">
        <v>9.6440000000000001</v>
      </c>
      <c r="AH551" s="620">
        <v>4.5170000000000003</v>
      </c>
      <c r="AI551" s="620">
        <f t="shared" si="500"/>
        <v>4.5789999999999997</v>
      </c>
      <c r="AJ551" s="620">
        <f t="shared" si="501"/>
        <v>33.997000000000007</v>
      </c>
      <c r="AK551" s="653">
        <f t="shared" si="502"/>
        <v>196.410915865785</v>
      </c>
      <c r="AL551" s="650">
        <v>950</v>
      </c>
      <c r="AM551" s="620">
        <f t="shared" si="503"/>
        <v>0.70666666666666667</v>
      </c>
      <c r="AN551" s="620">
        <v>9.6440000000000001</v>
      </c>
      <c r="AO551" s="620">
        <v>4.5170000000000003</v>
      </c>
      <c r="AP551" s="620">
        <f t="shared" si="504"/>
        <v>4.4203333333333328</v>
      </c>
      <c r="AQ551" s="620">
        <f t="shared" si="505"/>
        <v>34.155666666666669</v>
      </c>
      <c r="AR551" s="698">
        <f t="shared" si="506"/>
        <v>190.48999431705161</v>
      </c>
      <c r="AS551" s="650">
        <v>950</v>
      </c>
      <c r="AT551" s="620">
        <f t="shared" si="507"/>
        <v>0.33533333333333332</v>
      </c>
      <c r="AU551" s="620">
        <v>9.6440000000000001</v>
      </c>
      <c r="AV551" s="620">
        <v>4.5170000000000003</v>
      </c>
      <c r="AW551" s="620">
        <f t="shared" si="508"/>
        <v>4.7916666666666661</v>
      </c>
      <c r="AX551" s="620">
        <f t="shared" si="509"/>
        <v>33.784333333333336</v>
      </c>
      <c r="AY551" s="698">
        <f t="shared" si="510"/>
        <v>204.24730463229162</v>
      </c>
      <c r="AZ551" s="75"/>
      <c r="BA551" s="650">
        <v>950</v>
      </c>
      <c r="BB551" s="620">
        <v>103.50685607036536</v>
      </c>
      <c r="BC551" s="720">
        <f>(BB561-BB562)/BB543</f>
        <v>0.65058492313032235</v>
      </c>
      <c r="BD551" s="714">
        <f>D551-BB559</f>
        <v>24.670000000000016</v>
      </c>
      <c r="BE551" s="693">
        <f>BB561-BB562</f>
        <v>67.339999999999989</v>
      </c>
      <c r="BF551" s="693">
        <f t="shared" si="511"/>
        <v>36.634986634986667</v>
      </c>
      <c r="BG551" s="668">
        <f t="shared" si="512"/>
        <v>23.834169963803188</v>
      </c>
      <c r="BH551" s="650">
        <v>950</v>
      </c>
      <c r="BI551" s="620">
        <v>103.50685607036536</v>
      </c>
      <c r="BJ551" s="720">
        <f>(BI561-BI562)/BI543</f>
        <v>0.88786389123368936</v>
      </c>
      <c r="BK551" s="714">
        <f>I551-BI559</f>
        <v>28.060000000000002</v>
      </c>
      <c r="BL551" s="693">
        <f>BI561-BI562</f>
        <v>91.9</v>
      </c>
      <c r="BM551" s="693">
        <f t="shared" si="513"/>
        <v>30.533188248095755</v>
      </c>
      <c r="BN551" s="668">
        <f t="shared" si="514"/>
        <v>27.10931532972505</v>
      </c>
      <c r="BO551" s="650">
        <v>950</v>
      </c>
      <c r="BP551" s="681">
        <v>103.50685607036536</v>
      </c>
      <c r="BQ551" s="720">
        <f>(BP561-BP562)/BP543</f>
        <v>0.84177998741231075</v>
      </c>
      <c r="BR551" s="714">
        <f>N551-BP559</f>
        <v>27.520000000000039</v>
      </c>
      <c r="BS551" s="693">
        <f>BP561-BP562</f>
        <v>87.13000000000001</v>
      </c>
      <c r="BT551" s="693">
        <f t="shared" si="515"/>
        <v>31.584987949041704</v>
      </c>
      <c r="BU551" s="668">
        <f t="shared" si="516"/>
        <v>26.587610758162313</v>
      </c>
      <c r="BV551" s="650">
        <v>950</v>
      </c>
      <c r="BW551" s="620">
        <v>103.50685607036536</v>
      </c>
      <c r="BX551" s="720">
        <f>(BW561-BW562)/BW543</f>
        <v>1.0627315346649162</v>
      </c>
      <c r="BY551" s="714">
        <f>S551-BW559</f>
        <v>32.490000000000009</v>
      </c>
      <c r="BZ551" s="693">
        <f>BW561-BW562</f>
        <v>109.99999999999999</v>
      </c>
      <c r="CA551" s="693">
        <f t="shared" si="517"/>
        <v>29.536363636363649</v>
      </c>
      <c r="CB551" s="668">
        <f t="shared" si="518"/>
        <v>31.389225055693768</v>
      </c>
    </row>
    <row r="552" spans="1:80" ht="15.75">
      <c r="A552" s="564"/>
      <c r="B552" s="585" t="s">
        <v>116</v>
      </c>
      <c r="C552" s="742">
        <v>1000</v>
      </c>
      <c r="D552" s="655">
        <v>379.48</v>
      </c>
      <c r="E552" s="750">
        <v>14.34</v>
      </c>
      <c r="F552" s="750">
        <v>7.99</v>
      </c>
      <c r="G552" s="751">
        <v>10</v>
      </c>
      <c r="H552" s="742">
        <v>1000</v>
      </c>
      <c r="I552" s="750">
        <v>407.22</v>
      </c>
      <c r="J552" s="42">
        <v>5.89</v>
      </c>
      <c r="K552" s="42">
        <v>3.88</v>
      </c>
      <c r="L552" s="754">
        <v>5.54</v>
      </c>
      <c r="M552" s="742">
        <v>1000</v>
      </c>
      <c r="N552" s="562">
        <v>402</v>
      </c>
      <c r="O552" s="639">
        <v>8.3000000000000007</v>
      </c>
      <c r="P552" s="562">
        <v>5.83</v>
      </c>
      <c r="Q552" s="588">
        <v>6.8</v>
      </c>
      <c r="R552" s="742">
        <v>1000</v>
      </c>
      <c r="S552" s="639">
        <v>428.74</v>
      </c>
      <c r="T552" s="639">
        <v>4.28</v>
      </c>
      <c r="U552" s="639">
        <v>5.36</v>
      </c>
      <c r="V552" s="654">
        <v>4.1399999999999997</v>
      </c>
      <c r="W552" s="564"/>
      <c r="X552" s="650">
        <v>1000</v>
      </c>
      <c r="Y552" s="651">
        <f t="shared" si="495"/>
        <v>1.0776666666666666</v>
      </c>
      <c r="Z552" s="620">
        <v>9.6440000000000001</v>
      </c>
      <c r="AA552" s="620">
        <v>4.5170000000000003</v>
      </c>
      <c r="AB552" s="620">
        <f t="shared" si="496"/>
        <v>4.0493333333333332</v>
      </c>
      <c r="AC552" s="620">
        <f t="shared" si="497"/>
        <v>34.526666666666671</v>
      </c>
      <c r="AD552" s="653">
        <f t="shared" si="498"/>
        <v>195.45435514666664</v>
      </c>
      <c r="AE552" s="650">
        <v>1000</v>
      </c>
      <c r="AF552" s="620">
        <f t="shared" si="499"/>
        <v>0.51033333333333331</v>
      </c>
      <c r="AG552" s="620">
        <v>9.6440000000000001</v>
      </c>
      <c r="AH552" s="620">
        <v>4.5170000000000003</v>
      </c>
      <c r="AI552" s="620">
        <f t="shared" si="500"/>
        <v>4.6166666666666663</v>
      </c>
      <c r="AJ552" s="620">
        <f t="shared" si="501"/>
        <v>33.95933333333334</v>
      </c>
      <c r="AK552" s="653">
        <f t="shared" si="502"/>
        <v>219.17693326666662</v>
      </c>
      <c r="AL552" s="650">
        <v>1000</v>
      </c>
      <c r="AM552" s="620">
        <f>AVERAGE(P552:Q552)/10</f>
        <v>0.63149999999999995</v>
      </c>
      <c r="AN552" s="620">
        <v>9.6440000000000001</v>
      </c>
      <c r="AO552" s="620">
        <v>4.5170000000000003</v>
      </c>
      <c r="AP552" s="620">
        <f t="shared" si="504"/>
        <v>4.4954999999999998</v>
      </c>
      <c r="AQ552" s="620">
        <f t="shared" si="505"/>
        <v>34.080500000000008</v>
      </c>
      <c r="AR552" s="698">
        <f t="shared" si="506"/>
        <v>214.18602507450001</v>
      </c>
      <c r="AS552" s="650">
        <v>1000</v>
      </c>
      <c r="AT552" s="620">
        <f t="shared" si="507"/>
        <v>0.45933333333333337</v>
      </c>
      <c r="AU552" s="620">
        <v>9.6440000000000001</v>
      </c>
      <c r="AV552" s="620">
        <v>4.5170000000000003</v>
      </c>
      <c r="AW552" s="620">
        <f t="shared" si="508"/>
        <v>4.6676666666666664</v>
      </c>
      <c r="AX552" s="620">
        <f t="shared" si="509"/>
        <v>33.908333333333339</v>
      </c>
      <c r="AY552" s="698">
        <f t="shared" si="510"/>
        <v>221.26537051666665</v>
      </c>
      <c r="AZ552" s="75"/>
      <c r="BA552" s="650">
        <v>1000</v>
      </c>
      <c r="BB552" s="620">
        <v>103.50685607036536</v>
      </c>
      <c r="BC552" s="720">
        <f>(BB561-BB562)/BB543</f>
        <v>0.65058492313032235</v>
      </c>
      <c r="BD552" s="714">
        <f>D552-BB559</f>
        <v>24.080000000000041</v>
      </c>
      <c r="BE552" s="693">
        <f>BB561-BB562</f>
        <v>67.339999999999989</v>
      </c>
      <c r="BF552" s="693">
        <f t="shared" si="511"/>
        <v>35.758835758835829</v>
      </c>
      <c r="BG552" s="668">
        <f t="shared" si="512"/>
        <v>23.264159413392029</v>
      </c>
      <c r="BH552" s="650">
        <v>1000</v>
      </c>
      <c r="BI552" s="620">
        <v>103.50685607036536</v>
      </c>
      <c r="BJ552" s="720">
        <f>(BI561-BI562)/BI543</f>
        <v>0.88786389123368936</v>
      </c>
      <c r="BK552" s="714">
        <f>I552-BI559</f>
        <v>27.420000000000016</v>
      </c>
      <c r="BL552" s="693">
        <f>BI561-BI562</f>
        <v>91.9</v>
      </c>
      <c r="BM552" s="693">
        <f t="shared" si="513"/>
        <v>29.836779107725803</v>
      </c>
      <c r="BN552" s="668">
        <f t="shared" si="514"/>
        <v>26.490998800465476</v>
      </c>
      <c r="BO552" s="650">
        <v>1000</v>
      </c>
      <c r="BP552" s="681">
        <v>103.50685607036536</v>
      </c>
      <c r="BQ552" s="720">
        <f>(BP561-BP562)/BP543</f>
        <v>0.84177998741231075</v>
      </c>
      <c r="BR552" s="714">
        <f>N552-BP559</f>
        <v>26.960000000000036</v>
      </c>
      <c r="BS552" s="693">
        <f>BP561-BP562</f>
        <v>87.13000000000001</v>
      </c>
      <c r="BT552" s="693">
        <f t="shared" si="515"/>
        <v>30.942270171008872</v>
      </c>
      <c r="BU552" s="668">
        <f t="shared" si="516"/>
        <v>26.046583795060165</v>
      </c>
      <c r="BV552" s="650">
        <v>1000</v>
      </c>
      <c r="BW552" s="620">
        <v>103.50685607036536</v>
      </c>
      <c r="BX552" s="720">
        <f>(BW561-BW562)/BW543</f>
        <v>1.0627315346649162</v>
      </c>
      <c r="BY552" s="714">
        <f>S552-BW559</f>
        <v>31.900000000000034</v>
      </c>
      <c r="BZ552" s="693">
        <f>BW561-BW562</f>
        <v>109.99999999999999</v>
      </c>
      <c r="CA552" s="693">
        <f t="shared" si="517"/>
        <v>29.000000000000036</v>
      </c>
      <c r="CB552" s="668">
        <f t="shared" si="518"/>
        <v>30.819214505282609</v>
      </c>
    </row>
    <row r="553" spans="1:80" ht="15.75">
      <c r="A553" s="564"/>
      <c r="B553" s="585" t="s">
        <v>116</v>
      </c>
      <c r="C553" s="742">
        <v>1350</v>
      </c>
      <c r="D553" s="655">
        <v>377.5</v>
      </c>
      <c r="E553" s="750">
        <v>16.510000000000002</v>
      </c>
      <c r="F553" s="750">
        <v>8.16</v>
      </c>
      <c r="G553" s="751">
        <v>10.74</v>
      </c>
      <c r="H553" s="742">
        <v>1350</v>
      </c>
      <c r="I553" s="750">
        <v>405.25</v>
      </c>
      <c r="J553" s="755">
        <v>6.89</v>
      </c>
      <c r="K553" s="756">
        <v>5.42</v>
      </c>
      <c r="L553" s="757">
        <v>7.16</v>
      </c>
      <c r="M553" s="742">
        <v>1350</v>
      </c>
      <c r="N553" s="639">
        <v>400.22</v>
      </c>
      <c r="O553" s="562">
        <v>8.26</v>
      </c>
      <c r="P553" s="562">
        <v>9.2899999999999991</v>
      </c>
      <c r="Q553" s="654">
        <v>9.11</v>
      </c>
      <c r="R553" s="742">
        <v>1350</v>
      </c>
      <c r="S553" s="639">
        <v>427.08</v>
      </c>
      <c r="T553" s="639">
        <v>5.14</v>
      </c>
      <c r="U553" s="639">
        <v>6.7</v>
      </c>
      <c r="V553" s="654">
        <v>5.1100000000000003</v>
      </c>
      <c r="W553" s="564"/>
      <c r="X553" s="650">
        <v>1350</v>
      </c>
      <c r="Y553" s="651">
        <f t="shared" si="495"/>
        <v>1.1803333333333335</v>
      </c>
      <c r="Z553" s="620">
        <v>9.6440000000000001</v>
      </c>
      <c r="AA553" s="620">
        <v>4.5170000000000003</v>
      </c>
      <c r="AB553" s="620">
        <f t="shared" si="496"/>
        <v>3.9466666666666663</v>
      </c>
      <c r="AC553" s="620">
        <f t="shared" si="497"/>
        <v>34.629333333333335</v>
      </c>
      <c r="AD553" s="653">
        <f t="shared" si="498"/>
        <v>348.21645258239994</v>
      </c>
      <c r="AE553" s="650">
        <v>1350</v>
      </c>
      <c r="AF553" s="620">
        <f t="shared" si="499"/>
        <v>0.64899999999999991</v>
      </c>
      <c r="AG553" s="620">
        <v>9.6440000000000001</v>
      </c>
      <c r="AH553" s="620">
        <v>4.5170000000000003</v>
      </c>
      <c r="AI553" s="620">
        <f t="shared" si="500"/>
        <v>4.4779999999999998</v>
      </c>
      <c r="AJ553" s="620">
        <f t="shared" si="501"/>
        <v>34.098000000000006</v>
      </c>
      <c r="AK553" s="653">
        <f t="shared" si="502"/>
        <v>389.03413033961999</v>
      </c>
      <c r="AL553" s="650">
        <v>1350</v>
      </c>
      <c r="AM553" s="620">
        <f t="shared" ref="AM553:AM555" si="519">AVERAGE(O553:Q553)/10</f>
        <v>0.88866666666666649</v>
      </c>
      <c r="AN553" s="620">
        <v>9.6440000000000001</v>
      </c>
      <c r="AO553" s="620">
        <v>4.5170000000000003</v>
      </c>
      <c r="AP553" s="620">
        <f t="shared" si="504"/>
        <v>4.2383333333333333</v>
      </c>
      <c r="AQ553" s="620">
        <f t="shared" si="505"/>
        <v>34.337666666666671</v>
      </c>
      <c r="AR553" s="698">
        <f t="shared" si="506"/>
        <v>370.80074546302495</v>
      </c>
      <c r="AS553" s="650">
        <v>1350</v>
      </c>
      <c r="AT553" s="620">
        <f t="shared" si="507"/>
        <v>0.56499999999999995</v>
      </c>
      <c r="AU553" s="620">
        <v>9.6440000000000001</v>
      </c>
      <c r="AV553" s="620">
        <v>4.5170000000000003</v>
      </c>
      <c r="AW553" s="620">
        <f t="shared" si="508"/>
        <v>4.5619999999999994</v>
      </c>
      <c r="AX553" s="620">
        <f t="shared" si="509"/>
        <v>34.014000000000003</v>
      </c>
      <c r="AY553" s="698">
        <f t="shared" si="510"/>
        <v>395.35541974313992</v>
      </c>
      <c r="AZ553" s="75"/>
      <c r="BA553" s="650">
        <v>1350</v>
      </c>
      <c r="BB553" s="620">
        <v>103.50685607036536</v>
      </c>
      <c r="BC553" s="720">
        <f>(BB561-BB562)/BB543</f>
        <v>0.65058492313032235</v>
      </c>
      <c r="BD553" s="714">
        <f>D553-BB559</f>
        <v>22.100000000000023</v>
      </c>
      <c r="BE553" s="693">
        <f>BB561-BB562</f>
        <v>67.339999999999989</v>
      </c>
      <c r="BF553" s="693">
        <f t="shared" si="511"/>
        <v>32.818532818532859</v>
      </c>
      <c r="BG553" s="668">
        <f t="shared" si="512"/>
        <v>21.351242650995161</v>
      </c>
      <c r="BH553" s="650">
        <v>1350</v>
      </c>
      <c r="BI553" s="620">
        <v>103.50685607036536</v>
      </c>
      <c r="BJ553" s="720">
        <f>(BI561-BI562)/BI543</f>
        <v>0.88786389123368936</v>
      </c>
      <c r="BK553" s="714">
        <f>I553-BI559</f>
        <v>25.449999999999989</v>
      </c>
      <c r="BL553" s="693">
        <f>BI561-BI562</f>
        <v>91.9</v>
      </c>
      <c r="BM553" s="693">
        <f t="shared" si="513"/>
        <v>27.693144722524472</v>
      </c>
      <c r="BN553" s="668">
        <f t="shared" si="514"/>
        <v>24.587743233838285</v>
      </c>
      <c r="BO553" s="650">
        <v>1350</v>
      </c>
      <c r="BP553" s="681">
        <v>103.50685607036536</v>
      </c>
      <c r="BQ553" s="720">
        <f>(BP561-BP562)/BP543</f>
        <v>0.84177998741231075</v>
      </c>
      <c r="BR553" s="714">
        <f>N553-BP559</f>
        <v>25.180000000000064</v>
      </c>
      <c r="BS553" s="693">
        <f>BP561-BP562</f>
        <v>87.13000000000001</v>
      </c>
      <c r="BT553" s="693">
        <f t="shared" si="515"/>
        <v>28.899345805118859</v>
      </c>
      <c r="BU553" s="668">
        <f t="shared" si="516"/>
        <v>24.326890948056967</v>
      </c>
      <c r="BV553" s="650">
        <v>1350</v>
      </c>
      <c r="BW553" s="620">
        <v>103.50685607036536</v>
      </c>
      <c r="BX553" s="720">
        <f>(BW561-BW562)/BW543</f>
        <v>1.0627315346649162</v>
      </c>
      <c r="BY553" s="714">
        <f>S553-BW559</f>
        <v>30.240000000000009</v>
      </c>
      <c r="BZ553" s="693">
        <f>BW561-BW562</f>
        <v>109.99999999999999</v>
      </c>
      <c r="CA553" s="693">
        <f t="shared" si="517"/>
        <v>27.490909090909106</v>
      </c>
      <c r="CB553" s="668">
        <f t="shared" si="518"/>
        <v>29.215456007515531</v>
      </c>
    </row>
    <row r="554" spans="1:80" ht="15.75">
      <c r="A554" s="564"/>
      <c r="B554" s="585" t="s">
        <v>116</v>
      </c>
      <c r="C554" s="742">
        <v>2500</v>
      </c>
      <c r="D554" s="655">
        <v>374.02</v>
      </c>
      <c r="E554" s="750">
        <v>14.31</v>
      </c>
      <c r="F554" s="750">
        <v>13.15</v>
      </c>
      <c r="G554" s="751">
        <v>24.35</v>
      </c>
      <c r="H554" s="742">
        <v>2500</v>
      </c>
      <c r="I554" s="655">
        <v>402</v>
      </c>
      <c r="J554" s="655">
        <v>9.5</v>
      </c>
      <c r="K554" s="756">
        <v>10.46</v>
      </c>
      <c r="L554" s="619">
        <v>8.61</v>
      </c>
      <c r="M554" s="742">
        <v>2500</v>
      </c>
      <c r="N554" s="639">
        <v>396.69</v>
      </c>
      <c r="O554" s="562">
        <v>11.82</v>
      </c>
      <c r="P554" s="562">
        <v>11.96</v>
      </c>
      <c r="Q554" s="588">
        <v>12.61</v>
      </c>
      <c r="R554" s="742">
        <v>2500</v>
      </c>
      <c r="S554" s="639">
        <v>423.6</v>
      </c>
      <c r="T554" s="639">
        <v>6.69</v>
      </c>
      <c r="U554" s="639">
        <v>7.01</v>
      </c>
      <c r="V554" s="654">
        <v>8.4</v>
      </c>
      <c r="W554" s="564"/>
      <c r="X554" s="650">
        <v>2500</v>
      </c>
      <c r="Y554" s="651">
        <f t="shared" si="495"/>
        <v>1.7269999999999999</v>
      </c>
      <c r="Z554" s="620">
        <v>9.6440000000000001</v>
      </c>
      <c r="AA554" s="620">
        <v>4.5170000000000003</v>
      </c>
      <c r="AB554" s="620">
        <f t="shared" si="496"/>
        <v>3.4000000000000004</v>
      </c>
      <c r="AC554" s="620">
        <f t="shared" si="497"/>
        <v>35.176000000000002</v>
      </c>
      <c r="AD554" s="653">
        <f t="shared" si="498"/>
        <v>1044.9910199999999</v>
      </c>
      <c r="AE554" s="650">
        <v>2500</v>
      </c>
      <c r="AF554" s="620">
        <f t="shared" si="499"/>
        <v>0.95233333333333337</v>
      </c>
      <c r="AG554" s="620">
        <v>9.6440000000000001</v>
      </c>
      <c r="AH554" s="620">
        <v>4.5170000000000003</v>
      </c>
      <c r="AI554" s="620">
        <f t="shared" si="500"/>
        <v>4.1746666666666661</v>
      </c>
      <c r="AJ554" s="620">
        <f t="shared" si="501"/>
        <v>34.401333333333341</v>
      </c>
      <c r="AK554" s="653">
        <f t="shared" si="502"/>
        <v>1254.8281948666665</v>
      </c>
      <c r="AL554" s="650">
        <v>2500</v>
      </c>
      <c r="AM554" s="620">
        <f t="shared" si="519"/>
        <v>1.2130000000000001</v>
      </c>
      <c r="AN554" s="620">
        <v>9.6440000000000001</v>
      </c>
      <c r="AO554" s="620">
        <v>4.5170000000000003</v>
      </c>
      <c r="AP554" s="620">
        <f t="shared" si="504"/>
        <v>3.9139999999999997</v>
      </c>
      <c r="AQ554" s="620">
        <f t="shared" si="505"/>
        <v>34.662000000000006</v>
      </c>
      <c r="AR554" s="698">
        <f t="shared" si="506"/>
        <v>1185.39100665</v>
      </c>
      <c r="AS554" s="650">
        <v>2500</v>
      </c>
      <c r="AT554" s="620">
        <f t="shared" si="507"/>
        <v>0.73666666666666669</v>
      </c>
      <c r="AU554" s="620">
        <v>9.6440000000000001</v>
      </c>
      <c r="AV554" s="620">
        <v>4.5170000000000003</v>
      </c>
      <c r="AW554" s="620">
        <f t="shared" si="508"/>
        <v>4.3903333333333334</v>
      </c>
      <c r="AX554" s="620">
        <f t="shared" si="509"/>
        <v>34.18566666666667</v>
      </c>
      <c r="AY554" s="698">
        <f t="shared" si="510"/>
        <v>1311.3805481291668</v>
      </c>
      <c r="AZ554" s="75"/>
      <c r="BA554" s="650">
        <v>2500</v>
      </c>
      <c r="BB554" s="620">
        <v>103.50685607036536</v>
      </c>
      <c r="BC554" s="720">
        <f>(BB561-BB562)/BB543</f>
        <v>0.65058492313032235</v>
      </c>
      <c r="BD554" s="714">
        <f>D554-BB559</f>
        <v>18.620000000000005</v>
      </c>
      <c r="BE554" s="693">
        <f>BB561-BB562</f>
        <v>67.339999999999989</v>
      </c>
      <c r="BF554" s="693">
        <f t="shared" si="511"/>
        <v>27.650727650727664</v>
      </c>
      <c r="BG554" s="668">
        <f t="shared" si="512"/>
        <v>17.989146523146136</v>
      </c>
      <c r="BH554" s="650">
        <v>2500</v>
      </c>
      <c r="BI554" s="620">
        <v>103.50685607036536</v>
      </c>
      <c r="BJ554" s="720">
        <f>(BI561-BI562)/BI543</f>
        <v>0.88786389123368936</v>
      </c>
      <c r="BK554" s="714">
        <f>I554-BI559</f>
        <v>22.199999999999989</v>
      </c>
      <c r="BL554" s="693">
        <f>BI561-BI562</f>
        <v>91.9</v>
      </c>
      <c r="BM554" s="693">
        <f t="shared" si="513"/>
        <v>24.156692056583228</v>
      </c>
      <c r="BN554" s="668">
        <f t="shared" si="514"/>
        <v>21.447854608691941</v>
      </c>
      <c r="BO554" s="650">
        <v>2500</v>
      </c>
      <c r="BP554" s="681">
        <v>103.50685607036536</v>
      </c>
      <c r="BQ554" s="720">
        <f>(BP561-BP562)/BP543</f>
        <v>0.84177998741231075</v>
      </c>
      <c r="BR554" s="714">
        <f>N554-BP559</f>
        <v>21.650000000000034</v>
      </c>
      <c r="BS554" s="693">
        <f>BP561-BP562</f>
        <v>87.13000000000001</v>
      </c>
      <c r="BT554" s="693">
        <f t="shared" si="515"/>
        <v>24.847928382876198</v>
      </c>
      <c r="BU554" s="668">
        <f t="shared" si="516"/>
        <v>20.916488841359524</v>
      </c>
      <c r="BV554" s="650">
        <v>2500</v>
      </c>
      <c r="BW554" s="620">
        <v>103.50685607036536</v>
      </c>
      <c r="BX554" s="720">
        <f>(BW561-BW562)/BW543</f>
        <v>1.0627315346649162</v>
      </c>
      <c r="BY554" s="714">
        <f>S554-BW559</f>
        <v>26.760000000000048</v>
      </c>
      <c r="BZ554" s="693">
        <f>BW561-BW562</f>
        <v>109.99999999999999</v>
      </c>
      <c r="CA554" s="693">
        <f t="shared" si="517"/>
        <v>24.327272727272774</v>
      </c>
      <c r="CB554" s="668">
        <f t="shared" si="518"/>
        <v>25.853359879666556</v>
      </c>
    </row>
    <row r="555" spans="1:80" ht="15.75">
      <c r="A555" s="564"/>
      <c r="B555" s="585" t="s">
        <v>116</v>
      </c>
      <c r="C555" s="742">
        <v>5000</v>
      </c>
      <c r="D555" s="655">
        <v>370.92</v>
      </c>
      <c r="E555" s="750">
        <v>19.73</v>
      </c>
      <c r="F555" s="750">
        <v>20.53</v>
      </c>
      <c r="G555" s="751">
        <v>27.11</v>
      </c>
      <c r="H555" s="742">
        <v>5000</v>
      </c>
      <c r="I555" s="655">
        <v>399.04</v>
      </c>
      <c r="J555" s="655">
        <v>16.16</v>
      </c>
      <c r="K555" s="655">
        <v>13.25</v>
      </c>
      <c r="L555" s="756">
        <v>15.01</v>
      </c>
      <c r="M555" s="742">
        <v>5000</v>
      </c>
      <c r="N555" s="639">
        <v>393.14</v>
      </c>
      <c r="O555" s="562">
        <v>17.57</v>
      </c>
      <c r="P555" s="562">
        <v>16.93</v>
      </c>
      <c r="Q555" s="588">
        <v>17.09</v>
      </c>
      <c r="R555" s="742">
        <v>5000</v>
      </c>
      <c r="S555" s="639">
        <v>419.71</v>
      </c>
      <c r="T555" s="762">
        <v>12.76</v>
      </c>
      <c r="U555" s="639">
        <v>10.06</v>
      </c>
      <c r="V555" s="654">
        <v>10.71</v>
      </c>
      <c r="W555" s="564"/>
      <c r="X555" s="650">
        <v>5000</v>
      </c>
      <c r="Y555" s="651">
        <f t="shared" si="495"/>
        <v>2.2456666666666667</v>
      </c>
      <c r="Z555" s="620">
        <v>9.6440000000000001</v>
      </c>
      <c r="AA555" s="620">
        <v>4.5170000000000003</v>
      </c>
      <c r="AB555" s="620">
        <f t="shared" si="496"/>
        <v>2.8813333333333331</v>
      </c>
      <c r="AC555" s="620">
        <f t="shared" si="497"/>
        <v>35.69466666666667</v>
      </c>
      <c r="AD555" s="653">
        <f t="shared" si="498"/>
        <v>3594.545739466666</v>
      </c>
      <c r="AE555" s="650">
        <v>5000</v>
      </c>
      <c r="AF555" s="620">
        <f t="shared" si="499"/>
        <v>1.4806666666666666</v>
      </c>
      <c r="AG555" s="620">
        <v>9.6440000000000001</v>
      </c>
      <c r="AH555" s="620">
        <v>4.5170000000000003</v>
      </c>
      <c r="AI555" s="620">
        <f t="shared" si="500"/>
        <v>3.6463333333333328</v>
      </c>
      <c r="AJ555" s="620">
        <f t="shared" si="501"/>
        <v>34.92966666666667</v>
      </c>
      <c r="AK555" s="653">
        <f t="shared" si="502"/>
        <v>4451.4140157166657</v>
      </c>
      <c r="AL555" s="650">
        <v>5000</v>
      </c>
      <c r="AM555" s="620">
        <f t="shared" si="519"/>
        <v>1.7196666666666669</v>
      </c>
      <c r="AN555" s="620">
        <v>9.6440000000000001</v>
      </c>
      <c r="AO555" s="620">
        <v>4.5170000000000003</v>
      </c>
      <c r="AP555" s="620">
        <f t="shared" si="504"/>
        <v>3.4073333333333329</v>
      </c>
      <c r="AQ555" s="620">
        <f t="shared" si="505"/>
        <v>35.168666666666674</v>
      </c>
      <c r="AR555" s="698">
        <f t="shared" si="506"/>
        <v>4188.1063892666662</v>
      </c>
      <c r="AS555" s="650">
        <v>5000</v>
      </c>
      <c r="AT555" s="620">
        <f t="shared" si="507"/>
        <v>1.1176666666666668</v>
      </c>
      <c r="AU555" s="620">
        <v>9.6440000000000001</v>
      </c>
      <c r="AV555" s="620">
        <v>4.5170000000000003</v>
      </c>
      <c r="AW555" s="620">
        <f t="shared" si="508"/>
        <v>4.0093333333333332</v>
      </c>
      <c r="AX555" s="620">
        <f t="shared" si="509"/>
        <v>34.56666666666667</v>
      </c>
      <c r="AY555" s="698">
        <f t="shared" si="510"/>
        <v>4843.6956466666661</v>
      </c>
      <c r="AZ555" s="75"/>
      <c r="BA555" s="650">
        <v>5000</v>
      </c>
      <c r="BB555" s="620">
        <v>103.50685607036536</v>
      </c>
      <c r="BC555" s="720">
        <f>(BB561-BB562)/BB543</f>
        <v>0.65058492313032235</v>
      </c>
      <c r="BD555" s="714">
        <f>D555-BB559</f>
        <v>15.520000000000039</v>
      </c>
      <c r="BE555" s="693">
        <f>BB561-BB562</f>
        <v>67.339999999999989</v>
      </c>
      <c r="BF555" s="693">
        <f t="shared" si="511"/>
        <v>23.04722304722311</v>
      </c>
      <c r="BG555" s="668">
        <f t="shared" si="512"/>
        <v>14.99417583454504</v>
      </c>
      <c r="BH555" s="650">
        <v>5000</v>
      </c>
      <c r="BI555" s="620">
        <v>103.50685607036536</v>
      </c>
      <c r="BJ555" s="720">
        <f>(BI561-BI562)/BI543</f>
        <v>0.88786389123368936</v>
      </c>
      <c r="BK555" s="714">
        <f>I555-BI559</f>
        <v>19.240000000000009</v>
      </c>
      <c r="BL555" s="693">
        <f>BI561-BI562</f>
        <v>91.9</v>
      </c>
      <c r="BM555" s="693">
        <f t="shared" si="513"/>
        <v>20.935799782372154</v>
      </c>
      <c r="BN555" s="668">
        <f t="shared" si="514"/>
        <v>18.588140660866369</v>
      </c>
      <c r="BO555" s="650">
        <v>5000</v>
      </c>
      <c r="BP555" s="681">
        <v>103.50685607036536</v>
      </c>
      <c r="BQ555" s="720">
        <f>(BP561-BP562)/BP543</f>
        <v>0.84177998741231075</v>
      </c>
      <c r="BR555" s="714">
        <f>N555-BP559</f>
        <v>18.100000000000023</v>
      </c>
      <c r="BS555" s="693">
        <f>BP561-BP562</f>
        <v>87.13000000000001</v>
      </c>
      <c r="BT555" s="693">
        <f t="shared" si="515"/>
        <v>20.773556754275244</v>
      </c>
      <c r="BU555" s="668">
        <f t="shared" si="516"/>
        <v>17.486764343122736</v>
      </c>
      <c r="BV555" s="650">
        <v>5000</v>
      </c>
      <c r="BW555" s="620">
        <v>103.50685607036536</v>
      </c>
      <c r="BX555" s="720">
        <f>(BW561-BW562)/BW543</f>
        <v>1.0627315346649162</v>
      </c>
      <c r="BY555" s="714">
        <f>S555-BW559</f>
        <v>22.870000000000005</v>
      </c>
      <c r="BZ555" s="693">
        <f>BW561-BW562</f>
        <v>109.99999999999999</v>
      </c>
      <c r="CA555" s="693">
        <f t="shared" si="517"/>
        <v>20.7909090909091</v>
      </c>
      <c r="CB555" s="668">
        <f t="shared" si="518"/>
        <v>22.095154725260585</v>
      </c>
    </row>
    <row r="556" spans="1:80" ht="15.75">
      <c r="A556" s="564"/>
      <c r="B556" s="585" t="s">
        <v>116</v>
      </c>
      <c r="C556" s="742">
        <v>7000</v>
      </c>
      <c r="D556" s="655">
        <v>369.42</v>
      </c>
      <c r="E556" s="750">
        <v>30.11</v>
      </c>
      <c r="F556" s="750">
        <v>20.58</v>
      </c>
      <c r="G556" s="751">
        <v>23.39</v>
      </c>
      <c r="H556" s="742">
        <v>7000</v>
      </c>
      <c r="I556" s="655">
        <v>397.31</v>
      </c>
      <c r="J556" s="655">
        <v>15.52</v>
      </c>
      <c r="K556" s="756">
        <v>16.11</v>
      </c>
      <c r="L556" s="619">
        <v>17.829999999999998</v>
      </c>
      <c r="M556" s="742">
        <v>7000</v>
      </c>
      <c r="N556" s="639">
        <v>391.34</v>
      </c>
      <c r="O556" s="562">
        <v>19.23</v>
      </c>
      <c r="P556" s="562">
        <v>19.77</v>
      </c>
      <c r="Q556" s="588">
        <v>19.850000000000001</v>
      </c>
      <c r="R556" s="742">
        <v>7000</v>
      </c>
      <c r="S556" s="639">
        <v>417.54</v>
      </c>
      <c r="T556" s="639">
        <v>12.08</v>
      </c>
      <c r="U556" s="639">
        <v>12.88</v>
      </c>
      <c r="V556" s="654">
        <v>14.58</v>
      </c>
      <c r="W556" s="564"/>
      <c r="X556" s="650">
        <v>7000</v>
      </c>
      <c r="Y556" s="651">
        <f t="shared" si="495"/>
        <v>2.4693333333333332</v>
      </c>
      <c r="Z556" s="620">
        <v>9.6440000000000001</v>
      </c>
      <c r="AA556" s="620">
        <v>4.5170000000000003</v>
      </c>
      <c r="AB556" s="620">
        <f t="shared" si="496"/>
        <v>2.6576666666666666</v>
      </c>
      <c r="AC556" s="620">
        <f t="shared" si="497"/>
        <v>35.918333333333337</v>
      </c>
      <c r="AD556" s="653">
        <f t="shared" si="498"/>
        <v>6539.1294876366665</v>
      </c>
      <c r="AE556" s="650">
        <v>7000</v>
      </c>
      <c r="AF556" s="620">
        <f t="shared" si="499"/>
        <v>1.6486666666666665</v>
      </c>
      <c r="AG556" s="620">
        <v>9.6440000000000001</v>
      </c>
      <c r="AH556" s="620">
        <v>4.5170000000000003</v>
      </c>
      <c r="AI556" s="620">
        <f t="shared" si="500"/>
        <v>3.4783333333333335</v>
      </c>
      <c r="AJ556" s="620">
        <f t="shared" si="501"/>
        <v>35.097666666666669</v>
      </c>
      <c r="AK556" s="653">
        <f t="shared" si="502"/>
        <v>8362.8189591566661</v>
      </c>
      <c r="AL556" s="650">
        <v>7000</v>
      </c>
      <c r="AM556" s="620">
        <f>AVERAGE(O556:Q556)/10</f>
        <v>1.9616666666666667</v>
      </c>
      <c r="AN556" s="620">
        <v>9.6440000000000001</v>
      </c>
      <c r="AO556" s="620">
        <v>4.5170000000000003</v>
      </c>
      <c r="AP556" s="620">
        <f t="shared" si="504"/>
        <v>3.1653333333333329</v>
      </c>
      <c r="AQ556" s="620">
        <f t="shared" si="505"/>
        <v>35.410666666666671</v>
      </c>
      <c r="AR556" s="698">
        <f t="shared" si="506"/>
        <v>7678.1537766826659</v>
      </c>
      <c r="AS556" s="650">
        <v>7000</v>
      </c>
      <c r="AT556" s="620">
        <f t="shared" si="507"/>
        <v>1.3180000000000001</v>
      </c>
      <c r="AU556" s="620">
        <v>9.6440000000000001</v>
      </c>
      <c r="AV556" s="620">
        <v>4.5170000000000003</v>
      </c>
      <c r="AW556" s="620">
        <f t="shared" si="508"/>
        <v>3.8089999999999993</v>
      </c>
      <c r="AX556" s="620">
        <f t="shared" si="509"/>
        <v>34.767000000000003</v>
      </c>
      <c r="AY556" s="698">
        <f t="shared" si="510"/>
        <v>9071.5488105059976</v>
      </c>
      <c r="AZ556" s="75"/>
      <c r="BA556" s="650">
        <v>7000</v>
      </c>
      <c r="BB556" s="620">
        <v>103.50685607036536</v>
      </c>
      <c r="BC556" s="720">
        <f>(BB561-BB562)/BB543</f>
        <v>0.65058492313032235</v>
      </c>
      <c r="BD556" s="714">
        <f>D556-BB559</f>
        <v>14.020000000000039</v>
      </c>
      <c r="BE556" s="693">
        <f>BB561-BB562</f>
        <v>67.339999999999989</v>
      </c>
      <c r="BF556" s="693">
        <f t="shared" si="511"/>
        <v>20.819720819720882</v>
      </c>
      <c r="BG556" s="668">
        <f t="shared" si="512"/>
        <v>13.544996469092881</v>
      </c>
      <c r="BH556" s="650">
        <v>7000</v>
      </c>
      <c r="BI556" s="620">
        <v>103.50685607036536</v>
      </c>
      <c r="BJ556" s="720">
        <f>(BI561-BI562)/BI543</f>
        <v>0.88786389123368936</v>
      </c>
      <c r="BK556" s="714">
        <f>I556-BI559</f>
        <v>17.509999999999991</v>
      </c>
      <c r="BL556" s="693">
        <f>BI561-BI562</f>
        <v>91.9</v>
      </c>
      <c r="BM556" s="693">
        <f t="shared" si="513"/>
        <v>19.053318824809566</v>
      </c>
      <c r="BN556" s="668">
        <f t="shared" si="514"/>
        <v>16.916753792711525</v>
      </c>
      <c r="BO556" s="650">
        <v>7000</v>
      </c>
      <c r="BP556" s="681">
        <v>103.50685607036536</v>
      </c>
      <c r="BQ556" s="720">
        <f>(BP561-BP562)/BP543</f>
        <v>0.84177998741231075</v>
      </c>
      <c r="BR556" s="714">
        <f>N556-BP559</f>
        <v>16.300000000000011</v>
      </c>
      <c r="BS556" s="693">
        <f>BP561-BP562</f>
        <v>87.13000000000001</v>
      </c>
      <c r="BT556" s="693">
        <f t="shared" si="515"/>
        <v>18.707678182026868</v>
      </c>
      <c r="BU556" s="668">
        <f t="shared" si="516"/>
        <v>15.747749104580137</v>
      </c>
      <c r="BV556" s="650">
        <v>7000</v>
      </c>
      <c r="BW556" s="620">
        <v>103.50685607036536</v>
      </c>
      <c r="BX556" s="720">
        <f>(BW561-BW562)/BW543</f>
        <v>1.0627315346649162</v>
      </c>
      <c r="BY556" s="714">
        <f>S556-BW559</f>
        <v>20.700000000000045</v>
      </c>
      <c r="BZ556" s="693">
        <f>BW561-BW562</f>
        <v>109.99999999999999</v>
      </c>
      <c r="CA556" s="693">
        <f t="shared" si="517"/>
        <v>18.818181818181863</v>
      </c>
      <c r="CB556" s="668">
        <f t="shared" si="518"/>
        <v>19.998675243239834</v>
      </c>
    </row>
    <row r="557" spans="1:80" ht="15.75">
      <c r="A557" s="564"/>
      <c r="B557" s="585" t="s">
        <v>116</v>
      </c>
      <c r="C557" s="742">
        <v>9000</v>
      </c>
      <c r="D557" s="655">
        <v>368.4</v>
      </c>
      <c r="E557" s="23">
        <v>29.35</v>
      </c>
      <c r="F557" s="23">
        <v>24.48</v>
      </c>
      <c r="G557" s="749">
        <v>24.21</v>
      </c>
      <c r="H557" s="742">
        <v>9000</v>
      </c>
      <c r="I557" s="655">
        <v>395.91</v>
      </c>
      <c r="J557" s="655">
        <v>17.64</v>
      </c>
      <c r="K557" s="756">
        <v>18.079999999999998</v>
      </c>
      <c r="L557" s="619">
        <v>19.72</v>
      </c>
      <c r="M557" s="742">
        <v>9000</v>
      </c>
      <c r="N557" s="639">
        <v>390.03</v>
      </c>
      <c r="O557" s="639">
        <v>20.67</v>
      </c>
      <c r="P557" s="562">
        <v>21.51</v>
      </c>
      <c r="Q557" s="588">
        <v>20.13</v>
      </c>
      <c r="R557" s="742">
        <v>9000</v>
      </c>
      <c r="S557" s="639">
        <v>415.81</v>
      </c>
      <c r="T557" s="639">
        <v>13.48</v>
      </c>
      <c r="U557" s="639">
        <v>13.75</v>
      </c>
      <c r="V557" s="654">
        <v>16.21</v>
      </c>
      <c r="W557" s="564"/>
      <c r="X557" s="650">
        <v>9000</v>
      </c>
      <c r="Y557" s="651">
        <f>AVERAGE(E557:G557)/10</f>
        <v>2.6013333333333333</v>
      </c>
      <c r="Z557" s="620">
        <v>9.6440000000000001</v>
      </c>
      <c r="AA557" s="620">
        <v>4.5170000000000003</v>
      </c>
      <c r="AB557" s="620">
        <f t="shared" si="496"/>
        <v>2.5256666666666661</v>
      </c>
      <c r="AC557" s="620">
        <f t="shared" si="497"/>
        <v>36.050333333333342</v>
      </c>
      <c r="AD557" s="653">
        <f t="shared" si="498"/>
        <v>10310.447317913999</v>
      </c>
      <c r="AE557" s="650">
        <v>9000</v>
      </c>
      <c r="AF557" s="620">
        <f t="shared" si="499"/>
        <v>1.8480000000000001</v>
      </c>
      <c r="AG557" s="620">
        <v>9.6440000000000001</v>
      </c>
      <c r="AH557" s="620">
        <v>4.5170000000000003</v>
      </c>
      <c r="AI557" s="620">
        <f t="shared" si="500"/>
        <v>3.2789999999999999</v>
      </c>
      <c r="AJ557" s="620">
        <f t="shared" si="501"/>
        <v>35.297000000000004</v>
      </c>
      <c r="AK557" s="653">
        <f t="shared" si="502"/>
        <v>13106.037368394</v>
      </c>
      <c r="AL557" s="650">
        <v>9000</v>
      </c>
      <c r="AM557" s="620">
        <f>AVERAGE(O557:Q557)/10</f>
        <v>2.077</v>
      </c>
      <c r="AN557" s="620">
        <v>9.6440000000000001</v>
      </c>
      <c r="AO557" s="620">
        <v>4.5170000000000003</v>
      </c>
      <c r="AP557" s="620">
        <f t="shared" si="504"/>
        <v>3.05</v>
      </c>
      <c r="AQ557" s="620">
        <f t="shared" si="505"/>
        <v>35.526000000000003</v>
      </c>
      <c r="AR557" s="698">
        <f t="shared" si="506"/>
        <v>12269.824223399999</v>
      </c>
      <c r="AS557" s="650">
        <v>9000</v>
      </c>
      <c r="AT557" s="620">
        <f t="shared" si="507"/>
        <v>1.448</v>
      </c>
      <c r="AU557" s="620">
        <v>9.6440000000000001</v>
      </c>
      <c r="AV557" s="620">
        <v>4.5170000000000003</v>
      </c>
      <c r="AW557" s="620">
        <f t="shared" si="508"/>
        <v>3.6790000000000003</v>
      </c>
      <c r="AX557" s="620">
        <f t="shared" si="509"/>
        <v>34.897000000000006</v>
      </c>
      <c r="AY557" s="698">
        <f t="shared" si="510"/>
        <v>14538.181001994002</v>
      </c>
      <c r="AZ557" s="75"/>
      <c r="BA557" s="650">
        <v>9000</v>
      </c>
      <c r="BB557" s="620">
        <v>103.50685607036536</v>
      </c>
      <c r="BC557" s="720">
        <f>(BB561-BB562)/BB543</f>
        <v>0.65058492313032235</v>
      </c>
      <c r="BD557" s="714">
        <f>D557-BB559</f>
        <v>13</v>
      </c>
      <c r="BE557" s="693">
        <f>BB561-BB562</f>
        <v>67.339999999999989</v>
      </c>
      <c r="BF557" s="693">
        <f t="shared" si="511"/>
        <v>19.305019305019307</v>
      </c>
      <c r="BG557" s="668">
        <f t="shared" si="512"/>
        <v>12.559554500585374</v>
      </c>
      <c r="BH557" s="650">
        <v>9000</v>
      </c>
      <c r="BI557" s="620">
        <v>103.50685607036536</v>
      </c>
      <c r="BJ557" s="720">
        <f>(BI561-BI562)/BI543</f>
        <v>0.88786389123368936</v>
      </c>
      <c r="BK557" s="714">
        <f>I557-BI559</f>
        <v>16.110000000000014</v>
      </c>
      <c r="BL557" s="693">
        <f>BI561-BI562</f>
        <v>91.9</v>
      </c>
      <c r="BM557" s="693">
        <f t="shared" si="513"/>
        <v>17.529923830250286</v>
      </c>
      <c r="BN557" s="668">
        <f t="shared" si="514"/>
        <v>15.5641863849562</v>
      </c>
      <c r="BO557" s="650">
        <v>9000</v>
      </c>
      <c r="BP557" s="681">
        <v>103.50685607036536</v>
      </c>
      <c r="BQ557" s="720">
        <f>(BP561-BP562)/BP543</f>
        <v>0.84177998741231075</v>
      </c>
      <c r="BR557" s="714">
        <f>N557-BP559</f>
        <v>14.990000000000009</v>
      </c>
      <c r="BS557" s="693">
        <f>BP561-BP562</f>
        <v>87.13000000000001</v>
      </c>
      <c r="BT557" s="693">
        <f t="shared" si="515"/>
        <v>17.204177665557221</v>
      </c>
      <c r="BU557" s="668">
        <f t="shared" si="516"/>
        <v>14.482132458751915</v>
      </c>
      <c r="BV557" s="650">
        <v>9000</v>
      </c>
      <c r="BW557" s="620">
        <v>103.50685607036536</v>
      </c>
      <c r="BX557" s="720">
        <f>(BW561-BW562)/BW543</f>
        <v>1.0627315346649162</v>
      </c>
      <c r="BY557" s="714">
        <f>S557-BW559</f>
        <v>18.970000000000027</v>
      </c>
      <c r="BZ557" s="693">
        <f>BW561-BW562</f>
        <v>109.99999999999999</v>
      </c>
      <c r="CA557" s="693">
        <f t="shared" si="517"/>
        <v>17.245454545454571</v>
      </c>
      <c r="CB557" s="668">
        <f t="shared" si="518"/>
        <v>18.32728837508499</v>
      </c>
    </row>
    <row r="558" spans="1:80" ht="15.75">
      <c r="A558" s="564"/>
      <c r="B558" s="599" t="s">
        <v>116</v>
      </c>
      <c r="C558" s="605">
        <v>10000</v>
      </c>
      <c r="D558" s="623">
        <v>367.73</v>
      </c>
      <c r="E558" s="752">
        <v>31.43</v>
      </c>
      <c r="F558" s="752">
        <v>25.05</v>
      </c>
      <c r="G558" s="753">
        <v>24.73</v>
      </c>
      <c r="H558" s="605">
        <v>10000</v>
      </c>
      <c r="I558" s="623">
        <v>394.98</v>
      </c>
      <c r="J558" s="623">
        <v>19.55</v>
      </c>
      <c r="K558" s="758">
        <v>20.36</v>
      </c>
      <c r="L558" s="624">
        <v>18.36</v>
      </c>
      <c r="M558" s="605">
        <v>10000</v>
      </c>
      <c r="N558" s="639">
        <v>389.19</v>
      </c>
      <c r="O558" s="639">
        <v>20.83</v>
      </c>
      <c r="P558" s="562">
        <v>22.23</v>
      </c>
      <c r="Q558" s="588">
        <v>21.05</v>
      </c>
      <c r="R558" s="605">
        <v>10000</v>
      </c>
      <c r="S558" s="658">
        <v>414.63</v>
      </c>
      <c r="T558" s="658">
        <v>16.91</v>
      </c>
      <c r="U558" s="658">
        <v>14.21</v>
      </c>
      <c r="V558" s="659">
        <v>14.16</v>
      </c>
      <c r="W558" s="564"/>
      <c r="X558" s="660">
        <v>10000</v>
      </c>
      <c r="Y558" s="608">
        <f t="shared" si="495"/>
        <v>2.7070000000000003</v>
      </c>
      <c r="Z558" s="609">
        <v>9.6440000000000001</v>
      </c>
      <c r="AA558" s="609">
        <v>4.5170000000000003</v>
      </c>
      <c r="AB558" s="609">
        <f t="shared" si="496"/>
        <v>2.42</v>
      </c>
      <c r="AC558" s="609">
        <f t="shared" si="497"/>
        <v>36.156000000000006</v>
      </c>
      <c r="AD558" s="702">
        <f t="shared" si="498"/>
        <v>12232.153296</v>
      </c>
      <c r="AE558" s="660">
        <v>10000</v>
      </c>
      <c r="AF558" s="609">
        <f t="shared" si="499"/>
        <v>1.9423333333333332</v>
      </c>
      <c r="AG558" s="609">
        <v>9.6440000000000001</v>
      </c>
      <c r="AH558" s="609">
        <v>4.5170000000000003</v>
      </c>
      <c r="AI558" s="609">
        <f t="shared" si="500"/>
        <v>3.1846666666666668</v>
      </c>
      <c r="AJ558" s="609">
        <f t="shared" si="501"/>
        <v>35.391333333333336</v>
      </c>
      <c r="AK558" s="702">
        <f t="shared" si="502"/>
        <v>15756.802017866667</v>
      </c>
      <c r="AL558" s="660">
        <v>10000</v>
      </c>
      <c r="AM558" s="609">
        <f>AVERAGE(O558:Q558)/10</f>
        <v>2.137</v>
      </c>
      <c r="AN558" s="609">
        <v>9.6440000000000001</v>
      </c>
      <c r="AO558" s="609">
        <v>4.5170000000000003</v>
      </c>
      <c r="AP558" s="609">
        <f t="shared" si="504"/>
        <v>2.99</v>
      </c>
      <c r="AQ558" s="609">
        <f t="shared" si="505"/>
        <v>35.586000000000006</v>
      </c>
      <c r="AR558" s="699">
        <f t="shared" si="506"/>
        <v>14875.019172</v>
      </c>
      <c r="AS558" s="660">
        <v>10000</v>
      </c>
      <c r="AT558" s="609">
        <f t="shared" si="507"/>
        <v>1.5093333333333334</v>
      </c>
      <c r="AU558" s="609">
        <v>9.6440000000000001</v>
      </c>
      <c r="AV558" s="609">
        <v>4.5170000000000003</v>
      </c>
      <c r="AW558" s="609">
        <f t="shared" si="508"/>
        <v>3.6176666666666666</v>
      </c>
      <c r="AX558" s="609">
        <f t="shared" si="509"/>
        <v>34.958333333333336</v>
      </c>
      <c r="AY558" s="699">
        <f t="shared" si="510"/>
        <v>17680.170091666667</v>
      </c>
      <c r="AZ558" s="75"/>
      <c r="BA558" s="660">
        <v>10000</v>
      </c>
      <c r="BB558" s="609">
        <v>103.50685607036536</v>
      </c>
      <c r="BC558" s="720">
        <f>(BB561-BB562)/BB543</f>
        <v>0.65058492313032235</v>
      </c>
      <c r="BD558" s="714">
        <f>D558-BB559</f>
        <v>12.330000000000041</v>
      </c>
      <c r="BE558" s="682">
        <f>BB561-BB562</f>
        <v>67.339999999999989</v>
      </c>
      <c r="BF558" s="682">
        <f t="shared" si="511"/>
        <v>18.310068310068374</v>
      </c>
      <c r="BG558" s="683">
        <f t="shared" si="512"/>
        <v>11.912254384016784</v>
      </c>
      <c r="BH558" s="660">
        <v>10000</v>
      </c>
      <c r="BI558" s="609">
        <v>103.50685607036536</v>
      </c>
      <c r="BJ558" s="720">
        <f>(BI561-BI562)/BI543</f>
        <v>0.88786389123368936</v>
      </c>
      <c r="BK558" s="714">
        <f>I558-BI559</f>
        <v>15.180000000000007</v>
      </c>
      <c r="BL558" s="682">
        <f>BI561-BI562</f>
        <v>91.9</v>
      </c>
      <c r="BM558" s="682">
        <f t="shared" si="513"/>
        <v>16.517954298150169</v>
      </c>
      <c r="BN558" s="683">
        <f t="shared" si="514"/>
        <v>14.665695178375854</v>
      </c>
      <c r="BO558" s="660">
        <v>10000</v>
      </c>
      <c r="BP558" s="684">
        <v>103.50685607036536</v>
      </c>
      <c r="BQ558" s="720">
        <f>(BP561-BP562)/BP543</f>
        <v>0.84177998741231075</v>
      </c>
      <c r="BR558" s="714">
        <f>N558-BP559</f>
        <v>14.150000000000034</v>
      </c>
      <c r="BS558" s="682">
        <f>BP561-BP562</f>
        <v>87.13000000000001</v>
      </c>
      <c r="BT558" s="682">
        <f t="shared" si="515"/>
        <v>16.240100998508016</v>
      </c>
      <c r="BU558" s="683">
        <f t="shared" si="516"/>
        <v>13.670592014098732</v>
      </c>
      <c r="BV558" s="660">
        <v>10000</v>
      </c>
      <c r="BW558" s="609">
        <v>103.50685607036536</v>
      </c>
      <c r="BX558" s="720">
        <f>(BW561-BW562)/BW543</f>
        <v>1.0627315346649162</v>
      </c>
      <c r="BY558" s="714">
        <f>S558-BW559</f>
        <v>17.79000000000002</v>
      </c>
      <c r="BZ558" s="682">
        <f>BW561-BW562</f>
        <v>109.99999999999999</v>
      </c>
      <c r="CA558" s="682">
        <f t="shared" si="517"/>
        <v>16.172727272727293</v>
      </c>
      <c r="CB558" s="683">
        <f t="shared" si="518"/>
        <v>17.18726727426262</v>
      </c>
    </row>
    <row r="559" spans="1:80" ht="45">
      <c r="A559" s="560"/>
      <c r="B559" s="560"/>
      <c r="C559" s="742"/>
      <c r="D559" s="742"/>
      <c r="E559" s="560"/>
      <c r="F559" s="560"/>
      <c r="G559" s="560"/>
      <c r="H559" s="560"/>
      <c r="I559" s="560"/>
      <c r="J559" s="560"/>
      <c r="K559" s="560"/>
      <c r="L559" s="560"/>
      <c r="M559" s="560"/>
      <c r="N559" s="661"/>
      <c r="O559" s="742"/>
      <c r="P559" s="742"/>
      <c r="Q559" s="742"/>
      <c r="R559" s="560"/>
      <c r="S559" s="661"/>
      <c r="T559" s="560"/>
      <c r="U559" s="560"/>
      <c r="V559" s="560"/>
      <c r="AE559" s="743"/>
      <c r="AF559" s="743"/>
      <c r="AG559" s="743"/>
      <c r="AH559" s="743"/>
      <c r="AI559" s="743"/>
      <c r="AJ559" s="743"/>
      <c r="AK559" s="743"/>
      <c r="AN559" s="743"/>
      <c r="AO559" s="743"/>
      <c r="AZ559" s="791" t="s">
        <v>144</v>
      </c>
      <c r="BA559" s="709" t="s">
        <v>1047</v>
      </c>
      <c r="BB559" s="565">
        <f>BB560+BB561</f>
        <v>355.4</v>
      </c>
      <c r="BC559" s="742"/>
      <c r="BD559" s="742"/>
      <c r="BE559" s="742"/>
      <c r="BF559" s="742"/>
      <c r="BG559" s="742"/>
      <c r="BH559" s="709" t="s">
        <v>1047</v>
      </c>
      <c r="BI559" s="719">
        <f>BI560+BI561</f>
        <v>379.8</v>
      </c>
      <c r="BJ559" s="742"/>
      <c r="BK559" s="569"/>
      <c r="BL559" s="569"/>
      <c r="BM559" s="569"/>
      <c r="BN559" s="569"/>
      <c r="BO559" s="709" t="s">
        <v>1047</v>
      </c>
      <c r="BP559" s="697">
        <f>BP560+BP561</f>
        <v>375.03999999999996</v>
      </c>
      <c r="BQ559" s="560"/>
      <c r="BR559" s="742"/>
      <c r="BS559" s="742"/>
      <c r="BT559" s="742"/>
      <c r="BU559" s="742"/>
      <c r="BV559" s="709" t="s">
        <v>1047</v>
      </c>
      <c r="BW559" s="697">
        <f>BW560+BW561</f>
        <v>396.84</v>
      </c>
      <c r="BX559" s="560"/>
      <c r="BY559" s="560"/>
      <c r="BZ559" s="560"/>
      <c r="CA559" s="560"/>
      <c r="CB559" s="560"/>
    </row>
    <row r="560" spans="1:80">
      <c r="A560" s="560"/>
      <c r="B560" s="560"/>
      <c r="C560" s="742"/>
      <c r="D560" s="560"/>
      <c r="E560" s="560"/>
      <c r="F560" s="560"/>
      <c r="G560" s="560"/>
      <c r="H560" s="560"/>
      <c r="I560" s="560"/>
      <c r="J560" s="560"/>
      <c r="K560" s="560"/>
      <c r="L560" s="560"/>
      <c r="M560" s="560"/>
      <c r="N560" s="560"/>
      <c r="O560" s="742"/>
      <c r="P560" s="742"/>
      <c r="Q560" s="742"/>
      <c r="R560" s="560"/>
      <c r="S560" s="560"/>
      <c r="T560" s="560"/>
      <c r="U560" s="560"/>
      <c r="V560" s="560"/>
      <c r="AE560" s="743"/>
      <c r="AF560" s="743"/>
      <c r="AG560" s="743"/>
      <c r="AH560" s="743"/>
      <c r="AI560" s="743"/>
      <c r="AJ560" s="743"/>
      <c r="AK560" s="743"/>
      <c r="AN560" s="743"/>
      <c r="AO560" s="743"/>
      <c r="AZ560" s="791"/>
      <c r="BA560" s="655" t="s">
        <v>1048</v>
      </c>
      <c r="BB560" s="763">
        <v>215.05</v>
      </c>
      <c r="BC560" s="742"/>
      <c r="BD560" s="742"/>
      <c r="BE560" s="742"/>
      <c r="BF560" s="742"/>
      <c r="BG560" s="742"/>
      <c r="BH560" s="655" t="s">
        <v>1048</v>
      </c>
      <c r="BI560" s="764">
        <v>215.03</v>
      </c>
      <c r="BJ560" s="742"/>
      <c r="BK560" s="569"/>
      <c r="BL560" s="569"/>
      <c r="BM560" s="569"/>
      <c r="BN560" s="569"/>
      <c r="BO560" s="655" t="s">
        <v>1048</v>
      </c>
      <c r="BP560" s="765">
        <v>214.89</v>
      </c>
      <c r="BQ560" s="560"/>
      <c r="BR560" s="742"/>
      <c r="BS560" s="742"/>
      <c r="BT560" s="620"/>
      <c r="BU560" s="620"/>
      <c r="BV560" s="655" t="s">
        <v>1048</v>
      </c>
      <c r="BW560" s="765">
        <v>214.64</v>
      </c>
      <c r="BX560" s="560"/>
      <c r="BY560" s="560"/>
      <c r="BZ560" s="560"/>
      <c r="CA560" s="560"/>
      <c r="CB560" s="560"/>
    </row>
    <row r="561" spans="1:80" ht="18.75">
      <c r="A561" s="777" t="s">
        <v>1070</v>
      </c>
      <c r="B561" s="778"/>
      <c r="C561" s="779"/>
      <c r="D561" s="779"/>
      <c r="E561" s="560"/>
      <c r="F561" s="560"/>
      <c r="G561" s="560"/>
      <c r="H561" s="560"/>
      <c r="I561" s="560"/>
      <c r="J561" s="560"/>
      <c r="K561" s="560"/>
      <c r="L561" s="560"/>
      <c r="M561" s="617"/>
      <c r="N561" s="560"/>
      <c r="O561" s="742"/>
      <c r="P561" s="742"/>
      <c r="Q561" s="742"/>
      <c r="R561" s="560"/>
      <c r="S561" s="560"/>
      <c r="T561" s="560"/>
      <c r="U561" s="560"/>
      <c r="V561" s="560"/>
      <c r="AE561" s="743"/>
      <c r="AF561" s="743"/>
      <c r="AG561" s="743"/>
      <c r="AH561" s="743"/>
      <c r="AI561" s="743"/>
      <c r="AJ561" s="743"/>
      <c r="AK561" s="743"/>
      <c r="AN561" s="743"/>
      <c r="AO561" s="743"/>
      <c r="AZ561" s="791"/>
      <c r="BA561" s="655" t="s">
        <v>1049</v>
      </c>
      <c r="BB561" s="565">
        <v>140.35</v>
      </c>
      <c r="BC561" s="742"/>
      <c r="BD561" s="742"/>
      <c r="BE561" s="742"/>
      <c r="BF561" s="742"/>
      <c r="BG561" s="742"/>
      <c r="BH561" s="655" t="s">
        <v>1049</v>
      </c>
      <c r="BI561" s="565">
        <v>164.77</v>
      </c>
      <c r="BJ561" s="742"/>
      <c r="BK561" s="569"/>
      <c r="BL561" s="569"/>
      <c r="BM561" s="569"/>
      <c r="BN561" s="569"/>
      <c r="BO561" s="655" t="s">
        <v>1049</v>
      </c>
      <c r="BP561" s="697">
        <v>160.15</v>
      </c>
      <c r="BQ561" s="560"/>
      <c r="BR561" s="742"/>
      <c r="BS561" s="742"/>
      <c r="BT561" s="620"/>
      <c r="BU561" s="620"/>
      <c r="BV561" s="655" t="s">
        <v>1049</v>
      </c>
      <c r="BW561" s="697">
        <v>182.2</v>
      </c>
      <c r="BX561" s="560"/>
      <c r="BY561" s="560"/>
      <c r="BZ561" s="560"/>
      <c r="CA561" s="560"/>
      <c r="CB561" s="560"/>
    </row>
    <row r="562" spans="1:80" ht="18.75">
      <c r="A562" s="800" t="s">
        <v>1071</v>
      </c>
      <c r="B562" s="800"/>
      <c r="C562" s="800"/>
      <c r="D562" s="800"/>
      <c r="E562" s="560"/>
      <c r="F562" s="560"/>
      <c r="G562" s="560"/>
      <c r="H562" s="560"/>
      <c r="I562" s="560"/>
      <c r="J562" s="560"/>
      <c r="K562" s="560"/>
      <c r="L562" s="560"/>
      <c r="M562" s="617"/>
      <c r="N562" s="560"/>
      <c r="O562" s="742"/>
      <c r="P562" s="742"/>
      <c r="Q562" s="742"/>
      <c r="R562" s="560"/>
      <c r="S562" s="560"/>
      <c r="T562" s="560"/>
      <c r="U562" s="560"/>
      <c r="V562" s="560"/>
      <c r="AE562" s="743"/>
      <c r="AF562" s="743"/>
      <c r="AG562" s="743"/>
      <c r="AH562" s="743"/>
      <c r="AI562" s="743"/>
      <c r="AJ562" s="743"/>
      <c r="AK562" s="743"/>
      <c r="AN562" s="743"/>
      <c r="AO562" s="743"/>
      <c r="AZ562" s="791"/>
      <c r="BA562" s="655" t="s">
        <v>1050</v>
      </c>
      <c r="BB562" s="569">
        <v>73.010000000000005</v>
      </c>
      <c r="BC562" s="742"/>
      <c r="BD562" s="560"/>
      <c r="BE562" s="560"/>
      <c r="BF562" s="560"/>
      <c r="BG562" s="560"/>
      <c r="BH562" s="655" t="s">
        <v>1050</v>
      </c>
      <c r="BI562" s="569">
        <v>72.87</v>
      </c>
      <c r="BJ562" s="742"/>
      <c r="BK562" s="560"/>
      <c r="BL562" s="560"/>
      <c r="BM562" s="560"/>
      <c r="BN562" s="560"/>
      <c r="BO562" s="655" t="s">
        <v>1050</v>
      </c>
      <c r="BP562" s="742">
        <v>73.02</v>
      </c>
      <c r="BQ562" s="560"/>
      <c r="BR562" s="560"/>
      <c r="BS562" s="560"/>
      <c r="BT562" s="560"/>
      <c r="BU562" s="560"/>
      <c r="BV562" s="655" t="s">
        <v>1050</v>
      </c>
      <c r="BW562" s="742">
        <v>72.2</v>
      </c>
      <c r="BX562" s="560"/>
      <c r="BY562" s="560"/>
      <c r="BZ562" s="560"/>
      <c r="CA562" s="560"/>
      <c r="CB562" s="560"/>
    </row>
    <row r="563" spans="1:80" ht="18.75">
      <c r="A563" s="557" t="s">
        <v>1070</v>
      </c>
      <c r="B563" s="558"/>
      <c r="C563" s="639"/>
      <c r="D563" s="639"/>
      <c r="E563" s="562"/>
      <c r="F563" s="639"/>
      <c r="G563" s="560"/>
      <c r="H563" s="560"/>
      <c r="I563" s="560"/>
      <c r="J563" s="560"/>
      <c r="K563" s="560"/>
      <c r="L563" s="560"/>
      <c r="M563" s="560"/>
      <c r="N563" s="560"/>
      <c r="O563" s="769"/>
      <c r="P563" s="769"/>
      <c r="Q563" s="769"/>
      <c r="R563" s="560"/>
      <c r="S563" s="560"/>
      <c r="T563" s="560"/>
      <c r="U563" s="560"/>
      <c r="V563" s="560"/>
      <c r="W563" s="560"/>
      <c r="X563" s="560"/>
      <c r="Y563" s="560"/>
      <c r="Z563" s="560"/>
      <c r="AA563" s="560"/>
      <c r="AB563" s="560"/>
      <c r="AC563" s="560"/>
      <c r="AD563" s="560"/>
      <c r="AE563" s="769"/>
      <c r="AF563" s="769"/>
      <c r="AG563" s="769"/>
      <c r="AH563" s="769"/>
      <c r="AI563" s="769"/>
      <c r="AJ563" s="769"/>
      <c r="AK563" s="769"/>
      <c r="AL563" s="560"/>
      <c r="AM563" s="560"/>
      <c r="AN563" s="769"/>
      <c r="AO563" s="769"/>
      <c r="AP563" s="560"/>
      <c r="AQ563" s="560"/>
      <c r="AR563" s="560"/>
      <c r="AS563" s="560"/>
      <c r="AT563" s="560"/>
      <c r="AU563" s="560"/>
      <c r="AV563" s="560"/>
      <c r="AW563" s="560"/>
      <c r="AX563" s="560"/>
      <c r="AY563" s="560"/>
      <c r="AZ563" s="770"/>
      <c r="BA563" s="560"/>
      <c r="BB563" s="560"/>
      <c r="BC563" s="769"/>
      <c r="BD563" s="560"/>
      <c r="BE563" s="560"/>
      <c r="BF563" s="560"/>
      <c r="BG563" s="560"/>
      <c r="BH563" s="560"/>
      <c r="BI563" s="560"/>
      <c r="BJ563" s="769"/>
      <c r="BK563" s="560"/>
      <c r="BL563" s="560"/>
      <c r="BM563" s="560"/>
      <c r="BN563" s="560"/>
      <c r="BO563" s="560"/>
      <c r="BP563" s="560"/>
      <c r="BQ563" s="560"/>
      <c r="BR563" s="560"/>
      <c r="BS563" s="560"/>
      <c r="BT563" s="560"/>
      <c r="BU563" s="560"/>
      <c r="BV563" s="560"/>
      <c r="BW563" s="560"/>
      <c r="BX563" s="560"/>
      <c r="BY563" s="560"/>
      <c r="BZ563" s="560"/>
      <c r="CA563" s="560"/>
      <c r="CB563" s="560"/>
    </row>
    <row r="564" spans="1:80" ht="18.75">
      <c r="A564" s="792" t="s">
        <v>1071</v>
      </c>
      <c r="B564" s="792"/>
      <c r="C564" s="792"/>
      <c r="D564" s="792"/>
      <c r="E564" s="613"/>
      <c r="F564" s="613"/>
      <c r="G564" s="613"/>
      <c r="H564" s="613"/>
      <c r="I564" s="613"/>
      <c r="J564" s="613"/>
      <c r="K564" s="613"/>
      <c r="L564" s="613"/>
      <c r="M564" s="613"/>
      <c r="N564" s="613"/>
      <c r="O564" s="614"/>
      <c r="P564" s="614"/>
      <c r="Q564" s="614"/>
      <c r="R564" s="613"/>
      <c r="S564" s="613"/>
      <c r="T564" s="613"/>
      <c r="U564" s="613"/>
      <c r="V564" s="613"/>
      <c r="W564" s="613"/>
      <c r="X564" s="613"/>
      <c r="Y564" s="613"/>
      <c r="Z564" s="613"/>
      <c r="AA564" s="613"/>
      <c r="AB564" s="613"/>
      <c r="AC564" s="613"/>
      <c r="AD564" s="613"/>
      <c r="AE564" s="614"/>
      <c r="AF564" s="614"/>
      <c r="AG564" s="614"/>
      <c r="AH564" s="614"/>
      <c r="AI564" s="614"/>
      <c r="AJ564" s="614"/>
      <c r="AK564" s="614"/>
      <c r="AL564" s="613"/>
      <c r="AM564" s="613"/>
      <c r="AN564" s="614"/>
      <c r="AO564" s="614"/>
      <c r="AP564" s="613"/>
      <c r="AQ564" s="613"/>
      <c r="AR564" s="613"/>
      <c r="AS564" s="613"/>
      <c r="AT564" s="613"/>
      <c r="AU564" s="613"/>
      <c r="AV564" s="613"/>
      <c r="AW564" s="613"/>
      <c r="AX564" s="613"/>
      <c r="AY564" s="613"/>
      <c r="AZ564" s="89"/>
      <c r="BA564" s="613"/>
      <c r="BB564" s="613"/>
      <c r="BC564" s="614"/>
      <c r="BD564" s="613"/>
      <c r="BE564" s="613"/>
      <c r="BF564" s="613"/>
      <c r="BG564" s="613"/>
      <c r="BH564" s="613"/>
      <c r="BI564" s="613"/>
      <c r="BJ564" s="614"/>
      <c r="BK564" s="613"/>
      <c r="BL564" s="613"/>
      <c r="BM564" s="613"/>
      <c r="BN564" s="613"/>
      <c r="BO564" s="613"/>
      <c r="BP564" s="613"/>
      <c r="BQ564" s="613"/>
      <c r="BR564" s="613"/>
      <c r="BS564" s="613"/>
      <c r="BT564" s="613"/>
      <c r="BU564" s="613"/>
      <c r="BV564" s="613"/>
      <c r="BW564" s="613"/>
      <c r="BX564" s="613"/>
      <c r="BY564" s="613"/>
      <c r="BZ564" s="613"/>
      <c r="CA564" s="613"/>
      <c r="CB564" s="613"/>
    </row>
    <row r="565" spans="1:80">
      <c r="A565" s="560"/>
      <c r="B565" s="560"/>
      <c r="C565" s="769"/>
      <c r="D565" s="560"/>
      <c r="E565" s="560"/>
      <c r="F565" s="560"/>
      <c r="G565" s="560"/>
      <c r="H565" s="560"/>
      <c r="I565" s="560"/>
      <c r="J565" s="560"/>
      <c r="K565" s="560"/>
      <c r="L565" s="560"/>
      <c r="M565" s="560"/>
      <c r="N565" s="560"/>
      <c r="O565" s="769"/>
      <c r="P565" s="769"/>
      <c r="Q565" s="769"/>
      <c r="R565" s="560"/>
      <c r="S565" s="560"/>
      <c r="T565" s="560"/>
      <c r="U565" s="560"/>
      <c r="V565" s="560"/>
      <c r="W565" s="560"/>
      <c r="X565" s="560"/>
      <c r="Y565" s="560"/>
      <c r="Z565" s="560"/>
      <c r="AA565" s="560"/>
      <c r="AB565" s="560"/>
      <c r="AC565" s="560"/>
      <c r="AD565" s="560"/>
      <c r="AE565" s="769"/>
      <c r="AF565" s="769"/>
      <c r="AG565" s="769"/>
      <c r="AH565" s="769"/>
      <c r="AI565" s="769"/>
      <c r="AJ565" s="769"/>
      <c r="AK565" s="769"/>
      <c r="AL565" s="560"/>
      <c r="AM565" s="560"/>
      <c r="AN565" s="769"/>
      <c r="AO565" s="769"/>
      <c r="AP565" s="560"/>
      <c r="AQ565" s="560"/>
      <c r="AR565" s="560"/>
      <c r="AS565" s="560"/>
      <c r="AT565" s="560"/>
      <c r="AU565" s="560"/>
      <c r="AV565" s="560"/>
      <c r="AW565" s="560"/>
      <c r="AX565" s="560"/>
      <c r="AY565" s="560"/>
      <c r="AZ565" s="770"/>
      <c r="BA565" s="560"/>
      <c r="BB565" s="560"/>
      <c r="BC565" s="769"/>
      <c r="BD565" s="560"/>
      <c r="BE565" s="560"/>
      <c r="BF565" s="560"/>
      <c r="BG565" s="560"/>
      <c r="BH565" s="560"/>
      <c r="BI565" s="560"/>
      <c r="BJ565" s="769"/>
      <c r="BK565" s="560"/>
      <c r="BL565" s="560"/>
      <c r="BM565" s="560"/>
      <c r="BN565" s="560"/>
      <c r="BO565" s="560"/>
      <c r="BP565" s="560"/>
      <c r="BQ565" s="560"/>
      <c r="BR565" s="560"/>
      <c r="BS565" s="560"/>
      <c r="BT565" s="560"/>
      <c r="BU565" s="560"/>
      <c r="BV565" s="560"/>
      <c r="BW565" s="560"/>
      <c r="BX565" s="560"/>
      <c r="BY565" s="560"/>
      <c r="BZ565" s="560"/>
      <c r="CA565" s="560"/>
      <c r="CB565" s="560"/>
    </row>
    <row r="566" spans="1:80">
      <c r="A566" s="565" t="s">
        <v>134</v>
      </c>
      <c r="B566" s="640" t="s">
        <v>124</v>
      </c>
      <c r="C566" s="641" t="s">
        <v>119</v>
      </c>
      <c r="D566" s="642" t="s">
        <v>111</v>
      </c>
      <c r="E566" s="793" t="s">
        <v>1063</v>
      </c>
      <c r="F566" s="569"/>
      <c r="G566" s="570"/>
      <c r="H566" s="640" t="s">
        <v>124</v>
      </c>
      <c r="I566" s="642" t="s">
        <v>119</v>
      </c>
      <c r="J566" s="642" t="s">
        <v>111</v>
      </c>
      <c r="K566" s="793" t="s">
        <v>1063</v>
      </c>
      <c r="L566" s="569"/>
      <c r="M566" s="571" t="s">
        <v>124</v>
      </c>
      <c r="N566" s="642" t="s">
        <v>119</v>
      </c>
      <c r="O566" s="641" t="s">
        <v>111</v>
      </c>
      <c r="P566" s="793" t="s">
        <v>1063</v>
      </c>
      <c r="Q566" s="769"/>
      <c r="R566" s="571" t="s">
        <v>124</v>
      </c>
      <c r="S566" s="642" t="s">
        <v>119</v>
      </c>
      <c r="T566" s="642" t="s">
        <v>111</v>
      </c>
      <c r="U566" s="793" t="s">
        <v>1063</v>
      </c>
      <c r="V566" s="569"/>
      <c r="W566" s="565" t="s">
        <v>133</v>
      </c>
      <c r="X566" s="640" t="s">
        <v>124</v>
      </c>
      <c r="Y566" s="641" t="s">
        <v>119</v>
      </c>
      <c r="Z566" s="642" t="s">
        <v>111</v>
      </c>
      <c r="AA566" s="569"/>
      <c r="AB566" s="569"/>
      <c r="AC566" s="569"/>
      <c r="AD566" s="570"/>
      <c r="AE566" s="640" t="s">
        <v>124</v>
      </c>
      <c r="AF566" s="642" t="s">
        <v>119</v>
      </c>
      <c r="AG566" s="642" t="s">
        <v>111</v>
      </c>
      <c r="AH566" s="569"/>
      <c r="AI566" s="569"/>
      <c r="AJ566" s="569"/>
      <c r="AK566" s="570"/>
      <c r="AL566" s="571" t="s">
        <v>124</v>
      </c>
      <c r="AM566" s="642" t="s">
        <v>119</v>
      </c>
      <c r="AN566" s="641" t="s">
        <v>111</v>
      </c>
      <c r="AO566" s="569"/>
      <c r="AP566" s="569"/>
      <c r="AQ566" s="569"/>
      <c r="AR566" s="700"/>
      <c r="AS566" s="571" t="s">
        <v>124</v>
      </c>
      <c r="AT566" s="642" t="s">
        <v>119</v>
      </c>
      <c r="AU566" s="642" t="s">
        <v>111</v>
      </c>
      <c r="AV566" s="569"/>
      <c r="AW566" s="569"/>
      <c r="AX566" s="569"/>
      <c r="AY566" s="700"/>
      <c r="AZ566" s="447" t="s">
        <v>141</v>
      </c>
      <c r="BA566" s="640" t="s">
        <v>124</v>
      </c>
      <c r="BB566" s="641" t="s">
        <v>119</v>
      </c>
      <c r="BC566" s="642" t="s">
        <v>111</v>
      </c>
      <c r="BD566" s="569"/>
      <c r="BE566" s="569"/>
      <c r="BF566" s="569"/>
      <c r="BG566" s="569"/>
      <c r="BH566" s="640" t="s">
        <v>124</v>
      </c>
      <c r="BI566" s="642" t="s">
        <v>119</v>
      </c>
      <c r="BJ566" s="642" t="s">
        <v>111</v>
      </c>
      <c r="BK566" s="569"/>
      <c r="BL566" s="569"/>
      <c r="BM566" s="569"/>
      <c r="BN566" s="569"/>
      <c r="BO566" s="571" t="s">
        <v>124</v>
      </c>
      <c r="BP566" s="642" t="s">
        <v>119</v>
      </c>
      <c r="BQ566" s="641" t="s">
        <v>111</v>
      </c>
      <c r="BR566" s="560"/>
      <c r="BS566" s="569"/>
      <c r="BT566" s="569"/>
      <c r="BU566" s="569"/>
      <c r="BV566" s="571" t="s">
        <v>124</v>
      </c>
      <c r="BW566" s="642" t="s">
        <v>119</v>
      </c>
      <c r="BX566" s="642" t="s">
        <v>111</v>
      </c>
      <c r="BY566" s="769"/>
      <c r="BZ566" s="769"/>
      <c r="CA566" s="769"/>
      <c r="CB566" s="570"/>
    </row>
    <row r="567" spans="1:80">
      <c r="A567" s="565"/>
      <c r="B567" s="572"/>
      <c r="C567" s="573" t="s">
        <v>1076</v>
      </c>
      <c r="D567" s="574" t="s">
        <v>112</v>
      </c>
      <c r="E567" s="794"/>
      <c r="F567" s="740">
        <v>151.82</v>
      </c>
      <c r="G567" s="570"/>
      <c r="H567" s="572"/>
      <c r="I567" s="573" t="s">
        <v>1076</v>
      </c>
      <c r="J567" s="574" t="s">
        <v>114</v>
      </c>
      <c r="K567" s="794"/>
      <c r="L567" s="740">
        <v>184.3</v>
      </c>
      <c r="M567" s="572"/>
      <c r="N567" s="573" t="s">
        <v>1077</v>
      </c>
      <c r="O567" s="645" t="s">
        <v>112</v>
      </c>
      <c r="P567" s="794"/>
      <c r="Q567" s="740">
        <v>192.54</v>
      </c>
      <c r="R567" s="572"/>
      <c r="S567" s="573" t="s">
        <v>1077</v>
      </c>
      <c r="T567" s="574" t="s">
        <v>114</v>
      </c>
      <c r="U567" s="794"/>
      <c r="V567" s="740">
        <v>202.66</v>
      </c>
      <c r="W567" s="647"/>
      <c r="X567" s="572"/>
      <c r="Y567" s="573" t="s">
        <v>1076</v>
      </c>
      <c r="Z567" s="574" t="s">
        <v>112</v>
      </c>
      <c r="AA567" s="569"/>
      <c r="AB567" s="569"/>
      <c r="AC567" s="569"/>
      <c r="AD567" s="570"/>
      <c r="AE567" s="572"/>
      <c r="AF567" s="573" t="s">
        <v>1076</v>
      </c>
      <c r="AG567" s="574" t="s">
        <v>114</v>
      </c>
      <c r="AH567" s="569"/>
      <c r="AI567" s="569"/>
      <c r="AJ567" s="569"/>
      <c r="AK567" s="570"/>
      <c r="AL567" s="572"/>
      <c r="AM567" s="573" t="s">
        <v>1077</v>
      </c>
      <c r="AN567" s="645" t="s">
        <v>112</v>
      </c>
      <c r="AO567" s="569"/>
      <c r="AP567" s="569"/>
      <c r="AQ567" s="569"/>
      <c r="AR567" s="700"/>
      <c r="AS567" s="572"/>
      <c r="AT567" s="573" t="s">
        <v>1077</v>
      </c>
      <c r="AU567" s="574" t="s">
        <v>114</v>
      </c>
      <c r="AV567" s="795"/>
      <c r="AW567" s="795"/>
      <c r="AX567" s="569"/>
      <c r="AY567" s="700"/>
      <c r="AZ567" s="80"/>
      <c r="BA567" s="572"/>
      <c r="BB567" s="573" t="s">
        <v>1076</v>
      </c>
      <c r="BC567" s="574" t="s">
        <v>112</v>
      </c>
      <c r="BD567" s="569"/>
      <c r="BE567" s="569"/>
      <c r="BF567" s="569"/>
      <c r="BG567" s="570"/>
      <c r="BH567" s="572"/>
      <c r="BI567" s="573" t="s">
        <v>1076</v>
      </c>
      <c r="BJ567" s="574" t="s">
        <v>114</v>
      </c>
      <c r="BK567" s="569"/>
      <c r="BL567" s="569"/>
      <c r="BM567" s="569"/>
      <c r="BN567" s="570"/>
      <c r="BO567" s="572"/>
      <c r="BP567" s="573" t="s">
        <v>1077</v>
      </c>
      <c r="BQ567" s="645" t="s">
        <v>112</v>
      </c>
      <c r="BR567" s="569"/>
      <c r="BS567" s="569"/>
      <c r="BT567" s="569"/>
      <c r="BU567" s="700"/>
      <c r="BV567" s="572"/>
      <c r="BW567" s="573" t="s">
        <v>1077</v>
      </c>
      <c r="BX567" s="574" t="s">
        <v>114</v>
      </c>
      <c r="BY567" s="795"/>
      <c r="BZ567" s="795"/>
      <c r="CA567" s="569"/>
      <c r="CB567" s="700"/>
    </row>
    <row r="568" spans="1:80" ht="63">
      <c r="A568" s="564"/>
      <c r="B568" s="579" t="s">
        <v>122</v>
      </c>
      <c r="C568" s="582" t="s">
        <v>121</v>
      </c>
      <c r="D568" s="768" t="s">
        <v>125</v>
      </c>
      <c r="E568" s="796" t="s">
        <v>1013</v>
      </c>
      <c r="F568" s="796"/>
      <c r="G568" s="797"/>
      <c r="H568" s="582" t="s">
        <v>121</v>
      </c>
      <c r="I568" s="768" t="s">
        <v>125</v>
      </c>
      <c r="J568" s="796" t="s">
        <v>1013</v>
      </c>
      <c r="K568" s="796"/>
      <c r="L568" s="797"/>
      <c r="M568" s="582" t="s">
        <v>121</v>
      </c>
      <c r="N568" s="768" t="s">
        <v>125</v>
      </c>
      <c r="O568" s="798" t="s">
        <v>1013</v>
      </c>
      <c r="P568" s="798"/>
      <c r="Q568" s="799"/>
      <c r="R568" s="582" t="s">
        <v>121</v>
      </c>
      <c r="S568" s="768" t="s">
        <v>125</v>
      </c>
      <c r="T568" s="798" t="s">
        <v>1013</v>
      </c>
      <c r="U568" s="798"/>
      <c r="V568" s="799"/>
      <c r="W568" s="564"/>
      <c r="X568" s="582" t="s">
        <v>121</v>
      </c>
      <c r="Y568" s="584" t="s">
        <v>126</v>
      </c>
      <c r="Z568" s="583" t="s">
        <v>127</v>
      </c>
      <c r="AA568" s="583" t="s">
        <v>128</v>
      </c>
      <c r="AB568" s="583" t="s">
        <v>129</v>
      </c>
      <c r="AC568" s="583" t="s">
        <v>130</v>
      </c>
      <c r="AD568" s="701" t="s">
        <v>131</v>
      </c>
      <c r="AE568" s="582" t="s">
        <v>121</v>
      </c>
      <c r="AF568" s="583" t="s">
        <v>126</v>
      </c>
      <c r="AG568" s="583" t="s">
        <v>127</v>
      </c>
      <c r="AH568" s="583" t="s">
        <v>128</v>
      </c>
      <c r="AI568" s="583" t="s">
        <v>129</v>
      </c>
      <c r="AJ568" s="583" t="s">
        <v>130</v>
      </c>
      <c r="AK568" s="701" t="s">
        <v>131</v>
      </c>
      <c r="AL568" s="582" t="s">
        <v>121</v>
      </c>
      <c r="AM568" s="583" t="s">
        <v>126</v>
      </c>
      <c r="AN568" s="583" t="s">
        <v>127</v>
      </c>
      <c r="AO568" s="583" t="s">
        <v>128</v>
      </c>
      <c r="AP568" s="583" t="s">
        <v>129</v>
      </c>
      <c r="AQ568" s="583" t="s">
        <v>130</v>
      </c>
      <c r="AR568" s="696" t="s">
        <v>131</v>
      </c>
      <c r="AS568" s="582" t="s">
        <v>121</v>
      </c>
      <c r="AT568" s="583" t="s">
        <v>126</v>
      </c>
      <c r="AU568" s="695" t="s">
        <v>127</v>
      </c>
      <c r="AV568" s="695" t="s">
        <v>128</v>
      </c>
      <c r="AW568" s="583" t="s">
        <v>129</v>
      </c>
      <c r="AX568" s="583" t="s">
        <v>130</v>
      </c>
      <c r="AY568" s="696" t="s">
        <v>131</v>
      </c>
      <c r="AZ568" s="75"/>
      <c r="BA568" s="648" t="s">
        <v>121</v>
      </c>
      <c r="BB568" s="583" t="s">
        <v>143</v>
      </c>
      <c r="BC568" s="583" t="s">
        <v>888</v>
      </c>
      <c r="BD568" s="583" t="s">
        <v>1045</v>
      </c>
      <c r="BE568" s="583" t="s">
        <v>1044</v>
      </c>
      <c r="BF568" s="666" t="s">
        <v>1051</v>
      </c>
      <c r="BG568" s="666" t="s">
        <v>1052</v>
      </c>
      <c r="BH568" s="648" t="s">
        <v>121</v>
      </c>
      <c r="BI568" s="583" t="s">
        <v>143</v>
      </c>
      <c r="BJ568" s="583" t="s">
        <v>888</v>
      </c>
      <c r="BK568" s="583" t="s">
        <v>1045</v>
      </c>
      <c r="BL568" s="583" t="s">
        <v>1044</v>
      </c>
      <c r="BM568" s="666" t="s">
        <v>1051</v>
      </c>
      <c r="BN568" s="666" t="s">
        <v>1052</v>
      </c>
      <c r="BO568" s="648" t="s">
        <v>121</v>
      </c>
      <c r="BP568" s="583" t="s">
        <v>143</v>
      </c>
      <c r="BQ568" s="583" t="s">
        <v>888</v>
      </c>
      <c r="BR568" s="583" t="s">
        <v>1045</v>
      </c>
      <c r="BS568" s="583" t="s">
        <v>1044</v>
      </c>
      <c r="BT568" s="666" t="s">
        <v>1051</v>
      </c>
      <c r="BU568" s="666" t="s">
        <v>1052</v>
      </c>
      <c r="BV568" s="648" t="s">
        <v>121</v>
      </c>
      <c r="BW568" s="583" t="s">
        <v>143</v>
      </c>
      <c r="BX568" s="583" t="s">
        <v>888</v>
      </c>
      <c r="BY568" s="583" t="s">
        <v>1045</v>
      </c>
      <c r="BZ568" s="583" t="s">
        <v>1044</v>
      </c>
      <c r="CA568" s="666" t="s">
        <v>1051</v>
      </c>
      <c r="CB568" s="666" t="s">
        <v>1052</v>
      </c>
    </row>
    <row r="569" spans="1:80" ht="15.75">
      <c r="A569" s="564"/>
      <c r="B569" s="585" t="s">
        <v>120</v>
      </c>
      <c r="C569" s="769">
        <v>0</v>
      </c>
      <c r="D569" s="748">
        <f>187.48+214.97</f>
        <v>402.45</v>
      </c>
      <c r="E569" s="23">
        <v>5.61</v>
      </c>
      <c r="F569" s="23">
        <v>3.76</v>
      </c>
      <c r="G569" s="749">
        <v>5.91</v>
      </c>
      <c r="H569" s="769">
        <v>0</v>
      </c>
      <c r="I569" s="23">
        <f>214.89+210.96</f>
        <v>425.85</v>
      </c>
      <c r="J569" s="42">
        <v>1.83</v>
      </c>
      <c r="K569" s="42">
        <v>2.21</v>
      </c>
      <c r="L569" s="754">
        <v>3.09</v>
      </c>
      <c r="M569" s="769">
        <v>0</v>
      </c>
      <c r="N569" s="747">
        <f>214.79+203.6</f>
        <v>418.39</v>
      </c>
      <c r="O569" s="260">
        <v>4.07</v>
      </c>
      <c r="P569" s="260">
        <v>3.58</v>
      </c>
      <c r="Q569" s="94">
        <v>2.42</v>
      </c>
      <c r="R569" s="769">
        <v>0</v>
      </c>
      <c r="S569" s="649">
        <f>214.62+209.8</f>
        <v>424.42</v>
      </c>
      <c r="T569" s="260">
        <v>4.0199999999999996</v>
      </c>
      <c r="U569" s="260">
        <v>2.5299999999999998</v>
      </c>
      <c r="V569" s="94">
        <v>2.57</v>
      </c>
      <c r="W569" s="564"/>
      <c r="X569" s="650">
        <v>0</v>
      </c>
      <c r="Y569" s="651">
        <f t="shared" ref="Y569:Y582" si="520">AVERAGE(E569:G569)/10</f>
        <v>0.50933333333333342</v>
      </c>
      <c r="Z569" s="620">
        <v>9.6440000000000001</v>
      </c>
      <c r="AA569" s="620">
        <v>4.5170000000000003</v>
      </c>
      <c r="AB569" s="620">
        <f t="shared" ref="AB569:AB584" si="521">Z569-(AA569+Y569)</f>
        <v>4.6176666666666666</v>
      </c>
      <c r="AC569" s="620">
        <f t="shared" ref="AC569:AC584" si="522">3*Z569+AA569+Y569</f>
        <v>33.958333333333336</v>
      </c>
      <c r="AD569" s="653">
        <f t="shared" ref="AD569:AD584" si="523">1.398*(10^-6)*(X569^2)*AB569*AC569</f>
        <v>0</v>
      </c>
      <c r="AE569" s="650">
        <v>0</v>
      </c>
      <c r="AF569" s="620">
        <f t="shared" ref="AF569:AF584" si="524">AVERAGE(J569:L569)/10</f>
        <v>0.23766666666666664</v>
      </c>
      <c r="AG569" s="620">
        <v>9.6440000000000001</v>
      </c>
      <c r="AH569" s="620">
        <v>4.5170000000000003</v>
      </c>
      <c r="AI569" s="620">
        <f t="shared" ref="AI569:AI584" si="525">AG569-(AH569+AF569)</f>
        <v>4.8893333333333331</v>
      </c>
      <c r="AJ569" s="620">
        <f t="shared" ref="AJ569:AJ584" si="526">3*AG569+AH569+AF569</f>
        <v>33.686666666666675</v>
      </c>
      <c r="AK569" s="653">
        <f t="shared" ref="AK569:AK584" si="527">1.398*(10^-6)*(AE569^2)*AI569*AJ569</f>
        <v>0</v>
      </c>
      <c r="AL569" s="650">
        <v>0</v>
      </c>
      <c r="AM569" s="620">
        <f t="shared" ref="AM569:AM577" si="528">AVERAGE(O569:Q569)/10</f>
        <v>0.33566666666666667</v>
      </c>
      <c r="AN569" s="620">
        <v>9.6440000000000001</v>
      </c>
      <c r="AO569" s="620">
        <v>4.5170000000000003</v>
      </c>
      <c r="AP569" s="620">
        <f t="shared" ref="AP569:AP584" si="529">AN569-(AO569+AM569)</f>
        <v>4.7913333333333332</v>
      </c>
      <c r="AQ569" s="620">
        <f t="shared" ref="AQ569:AQ584" si="530">3*AN569+AO569+AM569</f>
        <v>33.784666666666674</v>
      </c>
      <c r="AR569" s="698">
        <f t="shared" ref="AR569:AR584" si="531">1.398*(10^-6)*(AL569^2)*AP569*AQ569</f>
        <v>0</v>
      </c>
      <c r="AS569" s="650">
        <v>0</v>
      </c>
      <c r="AT569" s="620">
        <f t="shared" ref="AT569" si="532">AVERAGE(T569:V569)/10</f>
        <v>0.30399999999999994</v>
      </c>
      <c r="AU569" s="620">
        <v>9.6440000000000001</v>
      </c>
      <c r="AV569" s="620">
        <v>4.5170000000000003</v>
      </c>
      <c r="AW569" s="620">
        <f t="shared" ref="AW569:AW584" si="533">AU569-(AV569+AT569)</f>
        <v>4.8229999999999995</v>
      </c>
      <c r="AX569" s="620">
        <f t="shared" ref="AX569:AX584" si="534">3*AU569+AV569+AT569</f>
        <v>33.753000000000007</v>
      </c>
      <c r="AY569" s="698">
        <f t="shared" ref="AY569:AY584" si="535">1.398*(10^-6)*(AS569^2)*AW569*AX569</f>
        <v>0</v>
      </c>
      <c r="AZ569" s="75"/>
      <c r="BA569" s="650">
        <v>0</v>
      </c>
      <c r="BB569" s="620">
        <v>103.50685607036536</v>
      </c>
      <c r="BC569" s="720">
        <f>(BB587-BB588)/BB569</f>
        <v>0.54421515770613416</v>
      </c>
      <c r="BD569" s="714">
        <f>D569-BB585</f>
        <v>58.289999999999964</v>
      </c>
      <c r="BE569" s="693">
        <f>BB587-BB588</f>
        <v>56.330000000000013</v>
      </c>
      <c r="BF569" s="693">
        <f t="shared" ref="BF569:BF584" si="536">BD569/BE569*100</f>
        <v>103.47949582815544</v>
      </c>
      <c r="BG569" s="668">
        <f t="shared" ref="BG569:BG584" si="537">BF569*BC569</f>
        <v>56.315110141470861</v>
      </c>
      <c r="BH569" s="650">
        <v>0</v>
      </c>
      <c r="BI569" s="620">
        <v>103.50685607036536</v>
      </c>
      <c r="BJ569" s="720">
        <f>(BI587-BI588)/BI569</f>
        <v>0.81965584909974099</v>
      </c>
      <c r="BK569" s="714">
        <f>I569-BI585</f>
        <v>53.110000000000014</v>
      </c>
      <c r="BL569" s="693">
        <f>BI587-BI588</f>
        <v>84.84</v>
      </c>
      <c r="BM569" s="693">
        <f t="shared" ref="BM569:BM584" si="538">BK569/BL569*100</f>
        <v>62.600188590287608</v>
      </c>
      <c r="BN569" s="668">
        <f t="shared" ref="BN569:BN584" si="539">BM569*BJ569</f>
        <v>51.310610732776105</v>
      </c>
      <c r="BO569" s="650">
        <v>0</v>
      </c>
      <c r="BP569" s="681">
        <v>103.50685607036536</v>
      </c>
      <c r="BQ569" s="720">
        <f>(BP587-BP588)/BP569</f>
        <v>0.64614077307626916</v>
      </c>
      <c r="BR569" s="714">
        <f>N569-BP585</f>
        <v>57.279999999999973</v>
      </c>
      <c r="BS569" s="693">
        <f>BP587-BP588</f>
        <v>66.88</v>
      </c>
      <c r="BT569" s="693">
        <f t="shared" ref="BT569:BT584" si="540">BR569/BS569*100</f>
        <v>85.645933014354043</v>
      </c>
      <c r="BU569" s="668">
        <f t="shared" ref="BU569:BU584" si="541">BT569*BQ569</f>
        <v>55.339329368733083</v>
      </c>
      <c r="BV569" s="650">
        <v>0</v>
      </c>
      <c r="BW569" s="620">
        <v>103.50685607036536</v>
      </c>
      <c r="BX569" s="720">
        <f>(BW587-BW588)/BW569</f>
        <v>0.79579269554862875</v>
      </c>
      <c r="BY569" s="714">
        <f>S569-BW585</f>
        <v>54.620000000000061</v>
      </c>
      <c r="BZ569" s="693">
        <f>BW587-BW588</f>
        <v>82.36999999999999</v>
      </c>
      <c r="CA569" s="693">
        <f t="shared" ref="CA569:CA584" si="542">BY569/BZ569*100</f>
        <v>66.310549957508883</v>
      </c>
      <c r="CB569" s="668">
        <f t="shared" ref="CB569:CB584" si="543">CA569*BX569</f>
        <v>52.769451293998003</v>
      </c>
    </row>
    <row r="570" spans="1:80" ht="15.75">
      <c r="A570" s="564"/>
      <c r="B570" s="585" t="s">
        <v>116</v>
      </c>
      <c r="C570" s="769">
        <v>300</v>
      </c>
      <c r="D570" s="748">
        <v>393.09</v>
      </c>
      <c r="E570" s="23">
        <v>6.85</v>
      </c>
      <c r="F570" s="23">
        <v>8.93</v>
      </c>
      <c r="G570" s="749">
        <v>7.13</v>
      </c>
      <c r="H570" s="769">
        <v>300</v>
      </c>
      <c r="I570" s="23">
        <v>425.59</v>
      </c>
      <c r="J570" s="42">
        <v>1.64</v>
      </c>
      <c r="K570" s="42">
        <v>2.27</v>
      </c>
      <c r="L570" s="754">
        <v>3.09</v>
      </c>
      <c r="M570" s="769">
        <v>300</v>
      </c>
      <c r="N570" s="649">
        <v>405.11</v>
      </c>
      <c r="O570" s="260">
        <v>3.71</v>
      </c>
      <c r="P570" s="260">
        <v>3.13</v>
      </c>
      <c r="Q570" s="94">
        <v>4.21</v>
      </c>
      <c r="R570" s="769">
        <v>300</v>
      </c>
      <c r="S570" s="649">
        <v>411.56</v>
      </c>
      <c r="T570" s="260">
        <v>4.59</v>
      </c>
      <c r="U570" s="260">
        <v>3.25</v>
      </c>
      <c r="V570" s="94">
        <v>5.07</v>
      </c>
      <c r="W570" s="564"/>
      <c r="X570" s="650">
        <v>300</v>
      </c>
      <c r="Y570" s="651">
        <f t="shared" si="520"/>
        <v>0.76366666666666672</v>
      </c>
      <c r="Z570" s="620">
        <v>9.6440000000000001</v>
      </c>
      <c r="AA570" s="620">
        <v>4.5170000000000003</v>
      </c>
      <c r="AB570" s="620">
        <f t="shared" si="521"/>
        <v>4.3633333333333333</v>
      </c>
      <c r="AC570" s="620">
        <f t="shared" si="522"/>
        <v>34.212666666666671</v>
      </c>
      <c r="AD570" s="653">
        <f t="shared" si="523"/>
        <v>18.782569251599998</v>
      </c>
      <c r="AE570" s="650">
        <v>300</v>
      </c>
      <c r="AF570" s="620">
        <f t="shared" si="524"/>
        <v>0.23333333333333334</v>
      </c>
      <c r="AG570" s="620">
        <v>9.6440000000000001</v>
      </c>
      <c r="AH570" s="620">
        <v>4.5170000000000003</v>
      </c>
      <c r="AI570" s="620">
        <f t="shared" si="525"/>
        <v>4.8936666666666664</v>
      </c>
      <c r="AJ570" s="620">
        <f t="shared" si="526"/>
        <v>33.682333333333339</v>
      </c>
      <c r="AK570" s="653">
        <f t="shared" si="527"/>
        <v>20.738924677859998</v>
      </c>
      <c r="AL570" s="650">
        <v>300</v>
      </c>
      <c r="AM570" s="620">
        <f t="shared" si="528"/>
        <v>0.36833333333333335</v>
      </c>
      <c r="AN570" s="620">
        <v>9.6440000000000001</v>
      </c>
      <c r="AO570" s="620">
        <v>4.5170000000000003</v>
      </c>
      <c r="AP570" s="620">
        <f t="shared" si="529"/>
        <v>4.7586666666666666</v>
      </c>
      <c r="AQ570" s="620">
        <f t="shared" si="530"/>
        <v>33.817333333333337</v>
      </c>
      <c r="AR570" s="698">
        <f t="shared" si="531"/>
        <v>20.24763595296</v>
      </c>
      <c r="AS570" s="650">
        <v>300</v>
      </c>
      <c r="AT570" s="620">
        <f>AVERAGE(T570:V570)/10</f>
        <v>0.43033333333333335</v>
      </c>
      <c r="AU570" s="620">
        <v>9.6440000000000001</v>
      </c>
      <c r="AV570" s="620">
        <v>4.5170000000000003</v>
      </c>
      <c r="AW570" s="620">
        <f t="shared" si="533"/>
        <v>4.6966666666666663</v>
      </c>
      <c r="AX570" s="620">
        <f t="shared" si="534"/>
        <v>33.879333333333335</v>
      </c>
      <c r="AY570" s="698">
        <f t="shared" si="535"/>
        <v>20.020470291599995</v>
      </c>
      <c r="AZ570" s="75"/>
      <c r="BA570" s="650">
        <v>300</v>
      </c>
      <c r="BB570" s="620">
        <v>103.50685607036536</v>
      </c>
      <c r="BC570" s="720">
        <f>(BB587-BB588)/BB569</f>
        <v>0.54421515770613416</v>
      </c>
      <c r="BD570" s="714">
        <f>D570-BB585</f>
        <v>48.92999999999995</v>
      </c>
      <c r="BE570" s="693">
        <f>BB587-BB588</f>
        <v>56.330000000000013</v>
      </c>
      <c r="BF570" s="693">
        <f t="shared" si="536"/>
        <v>86.863127995739291</v>
      </c>
      <c r="BG570" s="668">
        <f t="shared" si="537"/>
        <v>47.272230901049376</v>
      </c>
      <c r="BH570" s="650">
        <v>300</v>
      </c>
      <c r="BI570" s="620">
        <v>103.50685607036536</v>
      </c>
      <c r="BJ570" s="720">
        <f>(BI587-BI588)/BI569</f>
        <v>0.81965584909974099</v>
      </c>
      <c r="BK570" s="714">
        <f>I570-BI585</f>
        <v>52.849999999999966</v>
      </c>
      <c r="BL570" s="693">
        <f>BI587-BI588</f>
        <v>84.84</v>
      </c>
      <c r="BM570" s="693">
        <f t="shared" si="538"/>
        <v>62.293729372937257</v>
      </c>
      <c r="BN570" s="668">
        <f t="shared" si="539"/>
        <v>51.059419642764361</v>
      </c>
      <c r="BO570" s="650">
        <v>300</v>
      </c>
      <c r="BP570" s="681">
        <v>103.50685607036536</v>
      </c>
      <c r="BQ570" s="720">
        <f>(BP587-BP588)/BP569</f>
        <v>0.64614077307626916</v>
      </c>
      <c r="BR570" s="714">
        <f>N570-BP585</f>
        <v>44</v>
      </c>
      <c r="BS570" s="693">
        <f>BP587-BP588</f>
        <v>66.88</v>
      </c>
      <c r="BT570" s="693">
        <f t="shared" si="540"/>
        <v>65.789473684210535</v>
      </c>
      <c r="BU570" s="668">
        <f t="shared" si="541"/>
        <v>42.509261386596663</v>
      </c>
      <c r="BV570" s="650">
        <v>300</v>
      </c>
      <c r="BW570" s="620">
        <v>103.50685607036536</v>
      </c>
      <c r="BX570" s="720">
        <f>(BW587-BW588)/BW569</f>
        <v>0.79579269554862875</v>
      </c>
      <c r="BY570" s="714">
        <f>S570-BW585</f>
        <v>41.760000000000048</v>
      </c>
      <c r="BZ570" s="693">
        <f>BW587-BW588</f>
        <v>82.36999999999999</v>
      </c>
      <c r="CA570" s="693">
        <f t="shared" si="542"/>
        <v>50.698069685565194</v>
      </c>
      <c r="CB570" s="668">
        <f t="shared" si="543"/>
        <v>40.34515353418815</v>
      </c>
    </row>
    <row r="571" spans="1:80" ht="15.75">
      <c r="A571" s="564"/>
      <c r="B571" s="585" t="s">
        <v>116</v>
      </c>
      <c r="C571" s="769">
        <v>350</v>
      </c>
      <c r="D571" s="655">
        <v>391.26</v>
      </c>
      <c r="E571" s="23">
        <v>8.2100000000000009</v>
      </c>
      <c r="F571" s="23">
        <v>7.65</v>
      </c>
      <c r="G571" s="749">
        <v>9.33</v>
      </c>
      <c r="H571" s="769">
        <v>350</v>
      </c>
      <c r="I571" s="23">
        <v>425.5</v>
      </c>
      <c r="J571" s="42">
        <v>1.95</v>
      </c>
      <c r="K571" s="42">
        <v>2.44</v>
      </c>
      <c r="L571" s="754">
        <v>3.4</v>
      </c>
      <c r="M571" s="769">
        <v>350</v>
      </c>
      <c r="N571" s="649">
        <v>403.85</v>
      </c>
      <c r="O571" s="260">
        <v>3.67</v>
      </c>
      <c r="P571" s="260">
        <v>4.6900000000000004</v>
      </c>
      <c r="Q571" s="749">
        <v>5.29</v>
      </c>
      <c r="R571" s="769">
        <v>350</v>
      </c>
      <c r="S571" s="649">
        <v>410.1</v>
      </c>
      <c r="T571" s="260">
        <v>4.74</v>
      </c>
      <c r="U571" s="260">
        <v>3.96</v>
      </c>
      <c r="V571" s="94">
        <v>6.24</v>
      </c>
      <c r="W571" s="564"/>
      <c r="X571" s="650">
        <v>350</v>
      </c>
      <c r="Y571" s="651">
        <f t="shared" si="520"/>
        <v>0.83966666666666667</v>
      </c>
      <c r="Z571" s="620">
        <v>9.6440000000000001</v>
      </c>
      <c r="AA571" s="620">
        <v>4.5170000000000003</v>
      </c>
      <c r="AB571" s="620">
        <f t="shared" si="521"/>
        <v>4.2873333333333328</v>
      </c>
      <c r="AC571" s="620">
        <f t="shared" si="522"/>
        <v>34.288666666666671</v>
      </c>
      <c r="AD571" s="653">
        <f t="shared" si="523"/>
        <v>25.175674118606661</v>
      </c>
      <c r="AE571" s="650">
        <v>350</v>
      </c>
      <c r="AF571" s="620">
        <f t="shared" si="524"/>
        <v>0.2596666666666666</v>
      </c>
      <c r="AG571" s="620">
        <v>9.6440000000000001</v>
      </c>
      <c r="AH571" s="620">
        <v>4.5170000000000003</v>
      </c>
      <c r="AI571" s="620">
        <f t="shared" si="525"/>
        <v>4.8673333333333328</v>
      </c>
      <c r="AJ571" s="620">
        <f t="shared" si="526"/>
        <v>33.708666666666673</v>
      </c>
      <c r="AK571" s="653">
        <f t="shared" si="527"/>
        <v>28.098033373806665</v>
      </c>
      <c r="AL571" s="650">
        <v>350</v>
      </c>
      <c r="AM571" s="620">
        <f t="shared" si="528"/>
        <v>0.45499999999999996</v>
      </c>
      <c r="AN571" s="620">
        <v>9.6440000000000001</v>
      </c>
      <c r="AO571" s="620">
        <v>4.5170000000000003</v>
      </c>
      <c r="AP571" s="620">
        <f t="shared" si="529"/>
        <v>4.6719999999999997</v>
      </c>
      <c r="AQ571" s="620">
        <f t="shared" si="530"/>
        <v>33.904000000000003</v>
      </c>
      <c r="AR571" s="698">
        <f t="shared" si="531"/>
        <v>27.126704317439998</v>
      </c>
      <c r="AS571" s="650">
        <v>350</v>
      </c>
      <c r="AT571" s="620">
        <f t="shared" ref="AT571" si="544">AVERAGE(T571:V571)/10</f>
        <v>0.49799999999999994</v>
      </c>
      <c r="AU571" s="620">
        <v>9.6440000000000001</v>
      </c>
      <c r="AV571" s="620">
        <v>4.5170000000000003</v>
      </c>
      <c r="AW571" s="620">
        <f t="shared" si="533"/>
        <v>4.6289999999999996</v>
      </c>
      <c r="AX571" s="620">
        <f t="shared" si="534"/>
        <v>33.947000000000003</v>
      </c>
      <c r="AY571" s="698">
        <f t="shared" si="535"/>
        <v>26.911124242064997</v>
      </c>
      <c r="AZ571" s="75"/>
      <c r="BA571" s="650">
        <v>350</v>
      </c>
      <c r="BB571" s="620">
        <v>103.50685607036536</v>
      </c>
      <c r="BC571" s="720">
        <f>(BB587-BB588)/BB569</f>
        <v>0.54421515770613416</v>
      </c>
      <c r="BD571" s="714">
        <f>D571-BB585</f>
        <v>47.099999999999966</v>
      </c>
      <c r="BE571" s="693">
        <f>BB587-BB588</f>
        <v>56.330000000000013</v>
      </c>
      <c r="BF571" s="693">
        <f t="shared" si="536"/>
        <v>83.614415054145141</v>
      </c>
      <c r="BG571" s="668">
        <f t="shared" si="537"/>
        <v>45.504232075197756</v>
      </c>
      <c r="BH571" s="650">
        <v>350</v>
      </c>
      <c r="BI571" s="620">
        <v>103.50685607036536</v>
      </c>
      <c r="BJ571" s="720">
        <f>(BI587-BI588)/BI569</f>
        <v>0.81965584909974099</v>
      </c>
      <c r="BK571" s="714">
        <f>I571-BI585</f>
        <v>52.759999999999991</v>
      </c>
      <c r="BL571" s="693">
        <f>BI587-BI588</f>
        <v>84.84</v>
      </c>
      <c r="BM571" s="693">
        <f t="shared" si="538"/>
        <v>62.187647336162179</v>
      </c>
      <c r="BN571" s="668">
        <f t="shared" si="539"/>
        <v>50.972468880837255</v>
      </c>
      <c r="BO571" s="650">
        <v>350</v>
      </c>
      <c r="BP571" s="681">
        <v>103.50685607036536</v>
      </c>
      <c r="BQ571" s="720">
        <f>(BP587-BP588)/BP569</f>
        <v>0.64614077307626916</v>
      </c>
      <c r="BR571" s="714">
        <f>N571-BP585</f>
        <v>42.740000000000009</v>
      </c>
      <c r="BS571" s="693">
        <f>BP587-BP588</f>
        <v>66.88</v>
      </c>
      <c r="BT571" s="693">
        <f t="shared" si="540"/>
        <v>63.905502392344516</v>
      </c>
      <c r="BU571" s="668">
        <f t="shared" si="541"/>
        <v>41.291950719616857</v>
      </c>
      <c r="BV571" s="650">
        <v>350</v>
      </c>
      <c r="BW571" s="620">
        <v>103.50685607036536</v>
      </c>
      <c r="BX571" s="720">
        <f>(BW587-BW588)/BW569</f>
        <v>0.79579269554862875</v>
      </c>
      <c r="BY571" s="714">
        <f>S571-BW585</f>
        <v>40.300000000000068</v>
      </c>
      <c r="BZ571" s="693">
        <f>BW587-BW588</f>
        <v>82.36999999999999</v>
      </c>
      <c r="CA571" s="693">
        <f t="shared" si="542"/>
        <v>48.925579701347665</v>
      </c>
      <c r="CB571" s="668">
        <f t="shared" si="543"/>
        <v>38.934618951814734</v>
      </c>
    </row>
    <row r="572" spans="1:80" ht="15.75">
      <c r="A572" s="564"/>
      <c r="B572" s="585" t="s">
        <v>116</v>
      </c>
      <c r="C572" s="769">
        <v>450</v>
      </c>
      <c r="D572" s="655">
        <v>387.95</v>
      </c>
      <c r="E572" s="23">
        <v>8.34</v>
      </c>
      <c r="F572" s="23">
        <v>9.4</v>
      </c>
      <c r="G572" s="749">
        <v>8.06</v>
      </c>
      <c r="H572" s="769">
        <v>450</v>
      </c>
      <c r="I572" s="23">
        <v>424.22</v>
      </c>
      <c r="J572" s="42">
        <v>2.09</v>
      </c>
      <c r="K572" s="42">
        <v>2.06</v>
      </c>
      <c r="L572" s="754">
        <v>3.53</v>
      </c>
      <c r="M572" s="769">
        <v>450</v>
      </c>
      <c r="N572" s="639">
        <v>400.35</v>
      </c>
      <c r="O572" s="550">
        <v>6.01</v>
      </c>
      <c r="P572" s="550">
        <v>5.23</v>
      </c>
      <c r="Q572" s="94">
        <v>4.2</v>
      </c>
      <c r="R572" s="769">
        <v>450</v>
      </c>
      <c r="S572" s="649">
        <v>407.33</v>
      </c>
      <c r="T572" s="260">
        <v>4.53</v>
      </c>
      <c r="U572" s="260">
        <v>5.81</v>
      </c>
      <c r="V572" s="94">
        <v>5.91</v>
      </c>
      <c r="W572" s="564"/>
      <c r="X572" s="650">
        <v>450</v>
      </c>
      <c r="Y572" s="651">
        <f t="shared" si="520"/>
        <v>0.8600000000000001</v>
      </c>
      <c r="Z572" s="620">
        <v>9.6440000000000001</v>
      </c>
      <c r="AA572" s="620">
        <v>4.5170000000000003</v>
      </c>
      <c r="AB572" s="620">
        <f t="shared" si="521"/>
        <v>4.2669999999999995</v>
      </c>
      <c r="AC572" s="620">
        <f t="shared" si="522"/>
        <v>34.309000000000005</v>
      </c>
      <c r="AD572" s="653">
        <f t="shared" si="523"/>
        <v>41.444118016784991</v>
      </c>
      <c r="AE572" s="650">
        <v>450</v>
      </c>
      <c r="AF572" s="620">
        <f t="shared" si="524"/>
        <v>0.25600000000000001</v>
      </c>
      <c r="AG572" s="620">
        <v>9.6440000000000001</v>
      </c>
      <c r="AH572" s="620">
        <v>4.5170000000000003</v>
      </c>
      <c r="AI572" s="620">
        <f t="shared" si="525"/>
        <v>4.8709999999999996</v>
      </c>
      <c r="AJ572" s="620">
        <f t="shared" si="526"/>
        <v>33.705000000000005</v>
      </c>
      <c r="AK572" s="653">
        <f t="shared" si="527"/>
        <v>46.477703385224991</v>
      </c>
      <c r="AL572" s="650">
        <v>450</v>
      </c>
      <c r="AM572" s="620">
        <f t="shared" si="528"/>
        <v>0.51466666666666672</v>
      </c>
      <c r="AN572" s="620">
        <v>9.6440000000000001</v>
      </c>
      <c r="AO572" s="620">
        <v>4.5170000000000003</v>
      </c>
      <c r="AP572" s="620">
        <f t="shared" si="529"/>
        <v>4.612333333333333</v>
      </c>
      <c r="AQ572" s="620">
        <f t="shared" si="530"/>
        <v>33.963666666666668</v>
      </c>
      <c r="AR572" s="698">
        <f t="shared" si="531"/>
        <v>44.347327700984991</v>
      </c>
      <c r="AS572" s="650">
        <v>450</v>
      </c>
      <c r="AT572" s="620">
        <f>AVERAGE(T572:V572)/10</f>
        <v>0.54166666666666674</v>
      </c>
      <c r="AU572" s="620">
        <v>9.6440000000000001</v>
      </c>
      <c r="AV572" s="620">
        <v>4.5170000000000003</v>
      </c>
      <c r="AW572" s="620">
        <f t="shared" si="533"/>
        <v>4.5853333333333328</v>
      </c>
      <c r="AX572" s="620">
        <f t="shared" si="534"/>
        <v>33.990666666666669</v>
      </c>
      <c r="AY572" s="698">
        <f t="shared" si="535"/>
        <v>44.122772500559989</v>
      </c>
      <c r="AZ572" s="75"/>
      <c r="BA572" s="650">
        <v>450</v>
      </c>
      <c r="BB572" s="620">
        <v>103.50685607036536</v>
      </c>
      <c r="BC572" s="720">
        <f>(BB587-BB588)/BB569</f>
        <v>0.54421515770613416</v>
      </c>
      <c r="BD572" s="714">
        <f>D572-BB585</f>
        <v>43.789999999999964</v>
      </c>
      <c r="BE572" s="693">
        <f>BB587-BB588</f>
        <v>56.330000000000013</v>
      </c>
      <c r="BF572" s="693">
        <f t="shared" si="536"/>
        <v>77.738327711698844</v>
      </c>
      <c r="BG572" s="668">
        <f t="shared" si="537"/>
        <v>42.306376275433323</v>
      </c>
      <c r="BH572" s="650">
        <v>450</v>
      </c>
      <c r="BI572" s="620">
        <v>103.50685607036536</v>
      </c>
      <c r="BJ572" s="720">
        <f>(BI587-BI588)/BI569</f>
        <v>0.81965584909974099</v>
      </c>
      <c r="BK572" s="714">
        <f>I572-BI585</f>
        <v>51.480000000000018</v>
      </c>
      <c r="BL572" s="693">
        <f>BI587-BI588</f>
        <v>84.84</v>
      </c>
      <c r="BM572" s="693">
        <f t="shared" si="538"/>
        <v>60.678925035360699</v>
      </c>
      <c r="BN572" s="668">
        <f t="shared" si="539"/>
        <v>49.735835822318101</v>
      </c>
      <c r="BO572" s="650">
        <v>450</v>
      </c>
      <c r="BP572" s="681">
        <v>103.50685607036536</v>
      </c>
      <c r="BQ572" s="720">
        <f>(BP587-BP588)/BP569</f>
        <v>0.64614077307626916</v>
      </c>
      <c r="BR572" s="714">
        <f>N572-BP585</f>
        <v>39.240000000000009</v>
      </c>
      <c r="BS572" s="693">
        <f>BP587-BP588</f>
        <v>66.88</v>
      </c>
      <c r="BT572" s="693">
        <f t="shared" si="540"/>
        <v>58.672248803827763</v>
      </c>
      <c r="BU572" s="668">
        <f t="shared" si="541"/>
        <v>37.910532200228481</v>
      </c>
      <c r="BV572" s="650">
        <v>450</v>
      </c>
      <c r="BW572" s="620">
        <v>103.50685607036536</v>
      </c>
      <c r="BX572" s="720">
        <f>(BW587-BW588)/BW569</f>
        <v>0.79579269554862875</v>
      </c>
      <c r="BY572" s="714">
        <f>S572-BW585</f>
        <v>37.53000000000003</v>
      </c>
      <c r="BZ572" s="693">
        <f>BW587-BW588</f>
        <v>82.36999999999999</v>
      </c>
      <c r="CA572" s="693">
        <f t="shared" si="542"/>
        <v>45.562704868277329</v>
      </c>
      <c r="CB572" s="668">
        <f t="shared" si="543"/>
        <v>36.258467723613045</v>
      </c>
    </row>
    <row r="573" spans="1:80" ht="15.75">
      <c r="A573" s="564"/>
      <c r="B573" s="585" t="s">
        <v>116</v>
      </c>
      <c r="C573" s="769">
        <v>550</v>
      </c>
      <c r="D573" s="655">
        <v>385.18</v>
      </c>
      <c r="E573" s="750">
        <v>10.55</v>
      </c>
      <c r="F573" s="750">
        <v>9.06</v>
      </c>
      <c r="G573" s="751">
        <v>8.7899999999999991</v>
      </c>
      <c r="H573" s="769">
        <v>550</v>
      </c>
      <c r="I573" s="750">
        <v>421.14</v>
      </c>
      <c r="J573" s="42">
        <v>2.1800000000000002</v>
      </c>
      <c r="K573" s="42">
        <v>2.67</v>
      </c>
      <c r="L573" s="754">
        <v>4.01</v>
      </c>
      <c r="M573" s="769">
        <v>550</v>
      </c>
      <c r="N573" s="639">
        <v>397.59</v>
      </c>
      <c r="O573" s="550">
        <v>5.69</v>
      </c>
      <c r="P573" s="550">
        <v>5.61</v>
      </c>
      <c r="Q573" s="94">
        <v>1.87</v>
      </c>
      <c r="R573" s="769">
        <v>550</v>
      </c>
      <c r="S573" s="649">
        <v>405.15</v>
      </c>
      <c r="T573" s="260">
        <v>7.25</v>
      </c>
      <c r="U573" s="260">
        <v>4.67</v>
      </c>
      <c r="V573" s="260">
        <v>6.95</v>
      </c>
      <c r="W573" s="564"/>
      <c r="X573" s="650">
        <v>550</v>
      </c>
      <c r="Y573" s="651">
        <f t="shared" si="520"/>
        <v>0.94666666666666666</v>
      </c>
      <c r="Z573" s="620">
        <v>9.6440000000000001</v>
      </c>
      <c r="AA573" s="620">
        <v>4.5170000000000003</v>
      </c>
      <c r="AB573" s="620">
        <f t="shared" si="521"/>
        <v>4.1803333333333335</v>
      </c>
      <c r="AC573" s="620">
        <f t="shared" si="522"/>
        <v>34.395666666666671</v>
      </c>
      <c r="AD573" s="653">
        <f t="shared" si="523"/>
        <v>60.806106387051663</v>
      </c>
      <c r="AE573" s="650">
        <v>550</v>
      </c>
      <c r="AF573" s="620">
        <f t="shared" si="524"/>
        <v>0.29533333333333334</v>
      </c>
      <c r="AG573" s="620">
        <v>9.6440000000000001</v>
      </c>
      <c r="AH573" s="620">
        <v>4.5170000000000003</v>
      </c>
      <c r="AI573" s="620">
        <f t="shared" si="525"/>
        <v>4.8316666666666661</v>
      </c>
      <c r="AJ573" s="620">
        <f t="shared" si="526"/>
        <v>33.744333333333337</v>
      </c>
      <c r="AK573" s="653">
        <f t="shared" si="527"/>
        <v>68.949380401091645</v>
      </c>
      <c r="AL573" s="650">
        <v>550</v>
      </c>
      <c r="AM573" s="620">
        <f t="shared" si="528"/>
        <v>0.43900000000000006</v>
      </c>
      <c r="AN573" s="620">
        <v>9.6440000000000001</v>
      </c>
      <c r="AO573" s="620">
        <v>4.5170000000000003</v>
      </c>
      <c r="AP573" s="620">
        <f t="shared" si="529"/>
        <v>4.6879999999999997</v>
      </c>
      <c r="AQ573" s="620">
        <f t="shared" si="530"/>
        <v>33.888000000000005</v>
      </c>
      <c r="AR573" s="698">
        <f t="shared" si="531"/>
        <v>67.184036282879987</v>
      </c>
      <c r="AS573" s="650">
        <v>550</v>
      </c>
      <c r="AT573" s="620">
        <f t="shared" ref="AT573:AT584" si="545">AVERAGE(T573:V573)/10</f>
        <v>0.629</v>
      </c>
      <c r="AU573" s="620">
        <v>9.6440000000000001</v>
      </c>
      <c r="AV573" s="620">
        <v>4.5170000000000003</v>
      </c>
      <c r="AW573" s="620">
        <f t="shared" si="533"/>
        <v>4.4979999999999993</v>
      </c>
      <c r="AX573" s="620">
        <f t="shared" si="534"/>
        <v>34.078000000000003</v>
      </c>
      <c r="AY573" s="698">
        <f t="shared" si="535"/>
        <v>64.822548313379983</v>
      </c>
      <c r="AZ573" s="75"/>
      <c r="BA573" s="650">
        <v>550</v>
      </c>
      <c r="BB573" s="620">
        <v>103.50685607036536</v>
      </c>
      <c r="BC573" s="720">
        <f>(BB587-BB588)/BB569</f>
        <v>0.54421515770613416</v>
      </c>
      <c r="BD573" s="714">
        <f>D573-BB585</f>
        <v>41.019999999999982</v>
      </c>
      <c r="BE573" s="693">
        <f>BB587-BB588</f>
        <v>56.330000000000013</v>
      </c>
      <c r="BF573" s="693">
        <f t="shared" si="536"/>
        <v>72.820876974968883</v>
      </c>
      <c r="BG573" s="668">
        <f t="shared" si="537"/>
        <v>39.630225047231683</v>
      </c>
      <c r="BH573" s="650">
        <v>550</v>
      </c>
      <c r="BI573" s="620">
        <v>103.50685607036536</v>
      </c>
      <c r="BJ573" s="720">
        <f>(BI587-BI588)/BI569</f>
        <v>0.81965584909974099</v>
      </c>
      <c r="BK573" s="714">
        <f>I573-BI585</f>
        <v>48.399999999999977</v>
      </c>
      <c r="BL573" s="693">
        <f>BI587-BI588</f>
        <v>84.84</v>
      </c>
      <c r="BM573" s="693">
        <f t="shared" si="538"/>
        <v>57.048561999057021</v>
      </c>
      <c r="BN573" s="668">
        <f t="shared" si="539"/>
        <v>46.760187525256299</v>
      </c>
      <c r="BO573" s="650">
        <v>550</v>
      </c>
      <c r="BP573" s="681">
        <v>103.50685607036536</v>
      </c>
      <c r="BQ573" s="720">
        <f>(BP587-BP588)/BP569</f>
        <v>0.64614077307626916</v>
      </c>
      <c r="BR573" s="714">
        <f>N573-BP585</f>
        <v>36.479999999999961</v>
      </c>
      <c r="BS573" s="693">
        <f>BP587-BP588</f>
        <v>66.88</v>
      </c>
      <c r="BT573" s="693">
        <f t="shared" si="540"/>
        <v>54.545454545454483</v>
      </c>
      <c r="BU573" s="668">
        <f t="shared" si="541"/>
        <v>35.244042167796458</v>
      </c>
      <c r="BV573" s="650">
        <v>550</v>
      </c>
      <c r="BW573" s="620">
        <v>103.50685607036536</v>
      </c>
      <c r="BX573" s="720">
        <f>(BW587-BW588)/BW569</f>
        <v>0.79579269554862875</v>
      </c>
      <c r="BY573" s="714">
        <f>S573-BW585</f>
        <v>35.350000000000023</v>
      </c>
      <c r="BZ573" s="693">
        <f>BW587-BW588</f>
        <v>82.36999999999999</v>
      </c>
      <c r="CA573" s="693">
        <f t="shared" si="542"/>
        <v>42.91611023430864</v>
      </c>
      <c r="CB573" s="668">
        <f t="shared" si="543"/>
        <v>34.152327045822567</v>
      </c>
    </row>
    <row r="574" spans="1:80" ht="15.75">
      <c r="A574" s="564"/>
      <c r="B574" s="585" t="s">
        <v>116</v>
      </c>
      <c r="C574" s="769">
        <v>650</v>
      </c>
      <c r="D574" s="655">
        <v>382.67</v>
      </c>
      <c r="E574" s="750">
        <v>8.83</v>
      </c>
      <c r="F574" s="750">
        <v>9.64</v>
      </c>
      <c r="G574" s="751">
        <v>10.91</v>
      </c>
      <c r="H574" s="769">
        <v>650</v>
      </c>
      <c r="I574" s="750">
        <v>418.3</v>
      </c>
      <c r="J574" s="42">
        <v>4.54</v>
      </c>
      <c r="K574" s="42">
        <v>2.4900000000000002</v>
      </c>
      <c r="L574" s="754">
        <v>2.1800000000000002</v>
      </c>
      <c r="M574" s="769">
        <v>650</v>
      </c>
      <c r="N574" s="639">
        <v>395.54</v>
      </c>
      <c r="O574" s="550">
        <v>5.66</v>
      </c>
      <c r="P574" s="550">
        <v>5.39</v>
      </c>
      <c r="Q574" s="94">
        <v>4.84</v>
      </c>
      <c r="R574" s="769">
        <v>650</v>
      </c>
      <c r="S574" s="639">
        <v>403.4</v>
      </c>
      <c r="T574" s="639">
        <v>7.17</v>
      </c>
      <c r="U574" s="639">
        <v>5.32</v>
      </c>
      <c r="V574" s="654">
        <v>5.3</v>
      </c>
      <c r="W574" s="564"/>
      <c r="X574" s="650">
        <v>650</v>
      </c>
      <c r="Y574" s="651">
        <f t="shared" si="520"/>
        <v>0.97933333333333328</v>
      </c>
      <c r="Z574" s="620">
        <v>9.6440000000000001</v>
      </c>
      <c r="AA574" s="620">
        <v>4.5170000000000003</v>
      </c>
      <c r="AB574" s="620">
        <f t="shared" si="521"/>
        <v>4.1476666666666668</v>
      </c>
      <c r="AC574" s="620">
        <f t="shared" si="522"/>
        <v>34.428333333333342</v>
      </c>
      <c r="AD574" s="653">
        <f t="shared" si="523"/>
        <v>84.343910026891677</v>
      </c>
      <c r="AE574" s="650">
        <v>650</v>
      </c>
      <c r="AF574" s="620">
        <f t="shared" si="524"/>
        <v>0.30700000000000005</v>
      </c>
      <c r="AG574" s="620">
        <v>9.6440000000000001</v>
      </c>
      <c r="AH574" s="620">
        <v>4.5170000000000003</v>
      </c>
      <c r="AI574" s="620">
        <f t="shared" si="525"/>
        <v>4.8199999999999994</v>
      </c>
      <c r="AJ574" s="620">
        <f t="shared" si="526"/>
        <v>33.756000000000007</v>
      </c>
      <c r="AK574" s="653">
        <f t="shared" si="527"/>
        <v>96.101883867599994</v>
      </c>
      <c r="AL574" s="650">
        <v>650</v>
      </c>
      <c r="AM574" s="620">
        <f t="shared" si="528"/>
        <v>0.52966666666666673</v>
      </c>
      <c r="AN574" s="620">
        <v>9.6440000000000001</v>
      </c>
      <c r="AO574" s="620">
        <v>4.5170000000000003</v>
      </c>
      <c r="AP574" s="620">
        <f t="shared" si="529"/>
        <v>4.5973333333333333</v>
      </c>
      <c r="AQ574" s="620">
        <f t="shared" si="530"/>
        <v>33.978666666666669</v>
      </c>
      <c r="AR574" s="698">
        <f t="shared" si="531"/>
        <v>92.266959937706673</v>
      </c>
      <c r="AS574" s="650">
        <v>650</v>
      </c>
      <c r="AT574" s="620">
        <f t="shared" si="545"/>
        <v>0.59299999999999997</v>
      </c>
      <c r="AU574" s="620">
        <v>9.6440000000000001</v>
      </c>
      <c r="AV574" s="620">
        <v>4.5170000000000003</v>
      </c>
      <c r="AW574" s="620">
        <f t="shared" si="533"/>
        <v>4.5339999999999998</v>
      </c>
      <c r="AX574" s="620">
        <f t="shared" si="534"/>
        <v>34.042000000000002</v>
      </c>
      <c r="AY574" s="698">
        <f t="shared" si="535"/>
        <v>91.165489430340003</v>
      </c>
      <c r="AZ574" s="75"/>
      <c r="BA574" s="650">
        <v>650</v>
      </c>
      <c r="BB574" s="620">
        <v>103.50685607036536</v>
      </c>
      <c r="BC574" s="720">
        <f>(BB587-BB588)/BB569</f>
        <v>0.54421515770613416</v>
      </c>
      <c r="BD574" s="714">
        <f>D574-BB585</f>
        <v>38.509999999999991</v>
      </c>
      <c r="BE574" s="693">
        <f>BB587-BB588</f>
        <v>56.330000000000013</v>
      </c>
      <c r="BF574" s="693">
        <f t="shared" si="536"/>
        <v>68.364992011361593</v>
      </c>
      <c r="BG574" s="668">
        <f t="shared" si="537"/>
        <v>37.205264909041752</v>
      </c>
      <c r="BH574" s="650">
        <v>650</v>
      </c>
      <c r="BI574" s="620">
        <v>103.50685607036536</v>
      </c>
      <c r="BJ574" s="720">
        <f>(BI587-BI588)/BI569</f>
        <v>0.81965584909974099</v>
      </c>
      <c r="BK574" s="714">
        <f>I574-BI585</f>
        <v>45.56</v>
      </c>
      <c r="BL574" s="693">
        <f>BI587-BI588</f>
        <v>84.84</v>
      </c>
      <c r="BM574" s="693">
        <f t="shared" si="538"/>
        <v>53.701084394153696</v>
      </c>
      <c r="BN574" s="668">
        <f t="shared" si="539"/>
        <v>44.016407926666901</v>
      </c>
      <c r="BO574" s="650">
        <v>650</v>
      </c>
      <c r="BP574" s="681">
        <v>103.50685607036536</v>
      </c>
      <c r="BQ574" s="720">
        <f>(BP587-BP588)/BP569</f>
        <v>0.64614077307626916</v>
      </c>
      <c r="BR574" s="714">
        <f>N574-BP585</f>
        <v>34.430000000000007</v>
      </c>
      <c r="BS574" s="693">
        <f>BP587-BP588</f>
        <v>66.88</v>
      </c>
      <c r="BT574" s="693">
        <f t="shared" si="540"/>
        <v>51.480263157894747</v>
      </c>
      <c r="BU574" s="668">
        <f t="shared" si="541"/>
        <v>33.263497035011888</v>
      </c>
      <c r="BV574" s="650">
        <v>650</v>
      </c>
      <c r="BW574" s="620">
        <v>103.50685607036536</v>
      </c>
      <c r="BX574" s="720">
        <f>(BW587-BW588)/BW569</f>
        <v>0.79579269554862875</v>
      </c>
      <c r="BY574" s="714">
        <f>S574-BW585</f>
        <v>33.600000000000023</v>
      </c>
      <c r="BZ574" s="693">
        <f>BW587-BW588</f>
        <v>82.36999999999999</v>
      </c>
      <c r="CA574" s="693">
        <f t="shared" si="542"/>
        <v>40.791550321719107</v>
      </c>
      <c r="CB574" s="668">
        <f t="shared" si="543"/>
        <v>32.461617786128386</v>
      </c>
    </row>
    <row r="575" spans="1:80" ht="15.75">
      <c r="A575" s="564"/>
      <c r="B575" s="585" t="s">
        <v>116</v>
      </c>
      <c r="C575" s="769">
        <v>750</v>
      </c>
      <c r="D575" s="655">
        <v>380.34</v>
      </c>
      <c r="E575" s="750">
        <v>10.33</v>
      </c>
      <c r="F575" s="750">
        <v>11.48</v>
      </c>
      <c r="G575" s="751">
        <v>9.56</v>
      </c>
      <c r="H575" s="769">
        <v>750</v>
      </c>
      <c r="I575" s="750">
        <v>415.5</v>
      </c>
      <c r="J575" s="42">
        <v>4.6399999999999997</v>
      </c>
      <c r="K575" s="42">
        <v>2.93</v>
      </c>
      <c r="L575" s="754">
        <v>3.1</v>
      </c>
      <c r="M575" s="769">
        <v>750</v>
      </c>
      <c r="N575" s="639">
        <v>393.82</v>
      </c>
      <c r="O575" s="562">
        <v>6.8</v>
      </c>
      <c r="P575" s="562">
        <v>6.39</v>
      </c>
      <c r="Q575" s="588">
        <v>4.92</v>
      </c>
      <c r="R575" s="769">
        <v>750</v>
      </c>
      <c r="S575" s="639">
        <v>401.94</v>
      </c>
      <c r="T575" s="639">
        <v>8.27</v>
      </c>
      <c r="U575" s="639">
        <v>5.0199999999999996</v>
      </c>
      <c r="V575" s="654">
        <v>7.3</v>
      </c>
      <c r="W575" s="564"/>
      <c r="X575" s="650">
        <v>750</v>
      </c>
      <c r="Y575" s="651">
        <f t="shared" si="520"/>
        <v>1.045666666666667</v>
      </c>
      <c r="Z575" s="620">
        <v>9.6440000000000001</v>
      </c>
      <c r="AA575" s="620">
        <v>4.5170000000000003</v>
      </c>
      <c r="AB575" s="620">
        <f t="shared" si="521"/>
        <v>4.0813333333333333</v>
      </c>
      <c r="AC575" s="620">
        <f t="shared" si="522"/>
        <v>34.494666666666674</v>
      </c>
      <c r="AD575" s="653">
        <f t="shared" si="523"/>
        <v>110.70920113800001</v>
      </c>
      <c r="AE575" s="650">
        <v>750</v>
      </c>
      <c r="AF575" s="620">
        <f t="shared" si="524"/>
        <v>0.35566666666666669</v>
      </c>
      <c r="AG575" s="620">
        <v>9.6440000000000001</v>
      </c>
      <c r="AH575" s="620">
        <v>4.5170000000000003</v>
      </c>
      <c r="AI575" s="620">
        <f t="shared" si="525"/>
        <v>4.7713333333333328</v>
      </c>
      <c r="AJ575" s="620">
        <f t="shared" si="526"/>
        <v>33.80466666666667</v>
      </c>
      <c r="AK575" s="653">
        <f t="shared" si="527"/>
        <v>126.83704465049998</v>
      </c>
      <c r="AL575" s="650">
        <v>750</v>
      </c>
      <c r="AM575" s="620">
        <f t="shared" si="528"/>
        <v>0.60366666666666657</v>
      </c>
      <c r="AN575" s="620">
        <v>9.6440000000000001</v>
      </c>
      <c r="AO575" s="620">
        <v>4.5170000000000003</v>
      </c>
      <c r="AP575" s="620">
        <f t="shared" si="529"/>
        <v>4.5233333333333334</v>
      </c>
      <c r="AQ575" s="620">
        <f t="shared" si="530"/>
        <v>34.052666666666674</v>
      </c>
      <c r="AR575" s="698">
        <f t="shared" si="531"/>
        <v>121.12656974250002</v>
      </c>
      <c r="AS575" s="650">
        <v>750</v>
      </c>
      <c r="AT575" s="620">
        <f t="shared" si="545"/>
        <v>0.68633333333333335</v>
      </c>
      <c r="AU575" s="620">
        <v>9.6440000000000001</v>
      </c>
      <c r="AV575" s="620">
        <v>4.5170000000000003</v>
      </c>
      <c r="AW575" s="620">
        <f t="shared" si="533"/>
        <v>4.4406666666666661</v>
      </c>
      <c r="AX575" s="620">
        <f t="shared" si="534"/>
        <v>34.135333333333335</v>
      </c>
      <c r="AY575" s="698">
        <f t="shared" si="535"/>
        <v>119.20158245849998</v>
      </c>
      <c r="AZ575" s="75"/>
      <c r="BA575" s="650">
        <v>750</v>
      </c>
      <c r="BB575" s="620">
        <v>103.50685607036536</v>
      </c>
      <c r="BC575" s="720">
        <f>(BB587-BB588)/BB569</f>
        <v>0.54421515770613416</v>
      </c>
      <c r="BD575" s="714">
        <f>D575-BB585</f>
        <v>36.17999999999995</v>
      </c>
      <c r="BE575" s="693">
        <f>BB587-BB588</f>
        <v>56.330000000000013</v>
      </c>
      <c r="BF575" s="693">
        <f t="shared" si="536"/>
        <v>64.228652582992979</v>
      </c>
      <c r="BG575" s="668">
        <f t="shared" si="537"/>
        <v>34.954206294706026</v>
      </c>
      <c r="BH575" s="650">
        <v>750</v>
      </c>
      <c r="BI575" s="620">
        <v>103.50685607036536</v>
      </c>
      <c r="BJ575" s="720">
        <f>(BI587-BI588)/BI569</f>
        <v>0.81965584909974099</v>
      </c>
      <c r="BK575" s="714">
        <f>I575-BI585</f>
        <v>42.759999999999991</v>
      </c>
      <c r="BL575" s="693">
        <f>BI587-BI588</f>
        <v>84.84</v>
      </c>
      <c r="BM575" s="693">
        <f t="shared" si="538"/>
        <v>50.400754361150391</v>
      </c>
      <c r="BN575" s="668">
        <f t="shared" si="539"/>
        <v>41.311273111156197</v>
      </c>
      <c r="BO575" s="650">
        <v>750</v>
      </c>
      <c r="BP575" s="681">
        <v>103.50685607036536</v>
      </c>
      <c r="BQ575" s="720">
        <f>(BP587-BP588)/BP569</f>
        <v>0.64614077307626916</v>
      </c>
      <c r="BR575" s="714">
        <f>N575-BP585</f>
        <v>32.70999999999998</v>
      </c>
      <c r="BS575" s="693">
        <f>BP587-BP588</f>
        <v>66.88</v>
      </c>
      <c r="BT575" s="693">
        <f t="shared" si="540"/>
        <v>48.90849282296648</v>
      </c>
      <c r="BU575" s="668">
        <f t="shared" si="541"/>
        <v>31.601771362626724</v>
      </c>
      <c r="BV575" s="650">
        <v>750</v>
      </c>
      <c r="BW575" s="620">
        <v>103.50685607036536</v>
      </c>
      <c r="BX575" s="720">
        <f>(BW587-BW588)/BW569</f>
        <v>0.79579269554862875</v>
      </c>
      <c r="BY575" s="714">
        <f>S575-BW585</f>
        <v>32.140000000000043</v>
      </c>
      <c r="BZ575" s="693">
        <f>BW587-BW588</f>
        <v>82.36999999999999</v>
      </c>
      <c r="CA575" s="693">
        <f t="shared" si="542"/>
        <v>39.019060337501578</v>
      </c>
      <c r="CB575" s="668">
        <f t="shared" si="543"/>
        <v>31.05108320375497</v>
      </c>
    </row>
    <row r="576" spans="1:80" ht="15.75">
      <c r="A576" s="564"/>
      <c r="B576" s="585" t="s">
        <v>116</v>
      </c>
      <c r="C576" s="769">
        <v>850</v>
      </c>
      <c r="D576" s="655">
        <v>378.49</v>
      </c>
      <c r="E576" s="750">
        <v>10.83</v>
      </c>
      <c r="F576" s="750">
        <v>12.23</v>
      </c>
      <c r="G576" s="751">
        <v>9.65</v>
      </c>
      <c r="H576" s="769">
        <v>850</v>
      </c>
      <c r="I576" s="750">
        <v>413.3</v>
      </c>
      <c r="J576" s="42">
        <v>5.1100000000000003</v>
      </c>
      <c r="K576" s="42">
        <v>3</v>
      </c>
      <c r="L576" s="754">
        <v>3.69</v>
      </c>
      <c r="M576" s="769">
        <v>850</v>
      </c>
      <c r="N576" s="639">
        <v>392.55</v>
      </c>
      <c r="O576" s="562">
        <v>7.14</v>
      </c>
      <c r="P576" s="562">
        <v>5.8</v>
      </c>
      <c r="Q576" s="588">
        <v>6.78</v>
      </c>
      <c r="R576" s="769">
        <v>850</v>
      </c>
      <c r="S576" s="639">
        <v>400.79</v>
      </c>
      <c r="T576" s="639">
        <v>8.6199999999999992</v>
      </c>
      <c r="U576" s="639">
        <v>5.7</v>
      </c>
      <c r="V576" s="654">
        <v>8.44</v>
      </c>
      <c r="W576" s="564"/>
      <c r="X576" s="650">
        <v>850</v>
      </c>
      <c r="Y576" s="651">
        <f t="shared" si="520"/>
        <v>1.0903333333333334</v>
      </c>
      <c r="Z576" s="620">
        <v>9.6440000000000001</v>
      </c>
      <c r="AA576" s="620">
        <v>4.5170000000000003</v>
      </c>
      <c r="AB576" s="620">
        <f t="shared" si="521"/>
        <v>4.0366666666666662</v>
      </c>
      <c r="AC576" s="620">
        <f t="shared" si="522"/>
        <v>34.539333333333339</v>
      </c>
      <c r="AD576" s="653">
        <f t="shared" si="523"/>
        <v>140.82568161876665</v>
      </c>
      <c r="AE576" s="650">
        <v>850</v>
      </c>
      <c r="AF576" s="620">
        <f t="shared" si="524"/>
        <v>0.39333333333333331</v>
      </c>
      <c r="AG576" s="620">
        <v>9.6440000000000001</v>
      </c>
      <c r="AH576" s="620">
        <v>4.5170000000000003</v>
      </c>
      <c r="AI576" s="620">
        <f t="shared" si="525"/>
        <v>4.7336666666666662</v>
      </c>
      <c r="AJ576" s="620">
        <f t="shared" si="526"/>
        <v>33.842333333333336</v>
      </c>
      <c r="AK576" s="653">
        <f t="shared" si="527"/>
        <v>161.80911938233166</v>
      </c>
      <c r="AL576" s="650">
        <v>850</v>
      </c>
      <c r="AM576" s="620">
        <f t="shared" si="528"/>
        <v>0.65733333333333333</v>
      </c>
      <c r="AN576" s="620">
        <v>9.6440000000000001</v>
      </c>
      <c r="AO576" s="620">
        <v>4.5170000000000003</v>
      </c>
      <c r="AP576" s="620">
        <f t="shared" si="529"/>
        <v>4.4696666666666669</v>
      </c>
      <c r="AQ576" s="620">
        <f t="shared" si="530"/>
        <v>34.106333333333339</v>
      </c>
      <c r="AR576" s="698">
        <f t="shared" si="531"/>
        <v>153.97676505121169</v>
      </c>
      <c r="AS576" s="650">
        <v>850</v>
      </c>
      <c r="AT576" s="620">
        <f t="shared" si="545"/>
        <v>0.7586666666666666</v>
      </c>
      <c r="AU576" s="620">
        <v>9.6440000000000001</v>
      </c>
      <c r="AV576" s="620">
        <v>4.5170000000000003</v>
      </c>
      <c r="AW576" s="620">
        <f t="shared" si="533"/>
        <v>4.3683333333333332</v>
      </c>
      <c r="AX576" s="620">
        <f t="shared" si="534"/>
        <v>34.207666666666668</v>
      </c>
      <c r="AY576" s="698">
        <f t="shared" si="535"/>
        <v>150.93301413809166</v>
      </c>
      <c r="AZ576" s="75"/>
      <c r="BA576" s="650">
        <v>850</v>
      </c>
      <c r="BB576" s="620">
        <v>103.50685607036536</v>
      </c>
      <c r="BC576" s="720">
        <f>(BB587-BB588)/BB569</f>
        <v>0.54421515770613416</v>
      </c>
      <c r="BD576" s="714">
        <f>D576-BB585</f>
        <v>34.329999999999984</v>
      </c>
      <c r="BE576" s="693">
        <f>BB587-BB588</f>
        <v>56.330000000000013</v>
      </c>
      <c r="BF576" s="693">
        <f t="shared" si="536"/>
        <v>60.944434581927887</v>
      </c>
      <c r="BG576" s="668">
        <f t="shared" si="537"/>
        <v>33.166885077315058</v>
      </c>
      <c r="BH576" s="650">
        <v>850</v>
      </c>
      <c r="BI576" s="620">
        <v>103.50685607036536</v>
      </c>
      <c r="BJ576" s="720">
        <f>(BI587-BI588)/BI569</f>
        <v>0.81965584909974099</v>
      </c>
      <c r="BK576" s="714">
        <f>I576-BI585</f>
        <v>40.56</v>
      </c>
      <c r="BL576" s="693">
        <f>BI587-BI588</f>
        <v>84.84</v>
      </c>
      <c r="BM576" s="693">
        <f t="shared" si="538"/>
        <v>47.807637906647813</v>
      </c>
      <c r="BN576" s="668">
        <f t="shared" si="539"/>
        <v>39.185810041826379</v>
      </c>
      <c r="BO576" s="650">
        <v>850</v>
      </c>
      <c r="BP576" s="681">
        <v>103.50685607036536</v>
      </c>
      <c r="BQ576" s="720">
        <f>(BP587-BP588)/BP569</f>
        <v>0.64614077307626916</v>
      </c>
      <c r="BR576" s="714">
        <f>N576-BP585</f>
        <v>31.439999999999998</v>
      </c>
      <c r="BS576" s="693">
        <f>BP587-BP588</f>
        <v>66.88</v>
      </c>
      <c r="BT576" s="693">
        <f t="shared" si="540"/>
        <v>47.009569377990431</v>
      </c>
      <c r="BU576" s="668">
        <f t="shared" si="541"/>
        <v>30.374799499877245</v>
      </c>
      <c r="BV576" s="650">
        <v>850</v>
      </c>
      <c r="BW576" s="620">
        <v>103.50685607036536</v>
      </c>
      <c r="BX576" s="720">
        <f>(BW587-BW588)/BW569</f>
        <v>0.79579269554862875</v>
      </c>
      <c r="BY576" s="714">
        <f>S576-BW585</f>
        <v>30.990000000000066</v>
      </c>
      <c r="BZ576" s="693">
        <f>BW587-BW588</f>
        <v>82.36999999999999</v>
      </c>
      <c r="CA576" s="693">
        <f t="shared" si="542"/>
        <v>37.622920966371339</v>
      </c>
      <c r="CB576" s="668">
        <f t="shared" si="543"/>
        <v>29.940045690241668</v>
      </c>
    </row>
    <row r="577" spans="1:80" ht="15.75">
      <c r="A577" s="564"/>
      <c r="B577" s="585" t="s">
        <v>116</v>
      </c>
      <c r="C577" s="769">
        <v>950</v>
      </c>
      <c r="D577" s="655">
        <v>376.62</v>
      </c>
      <c r="E577" s="750">
        <v>10.95</v>
      </c>
      <c r="F577" s="750">
        <v>12.32</v>
      </c>
      <c r="G577" s="751">
        <v>9.89</v>
      </c>
      <c r="H577" s="769">
        <v>950</v>
      </c>
      <c r="I577" s="750">
        <v>411.14</v>
      </c>
      <c r="J577" s="42">
        <v>5.32</v>
      </c>
      <c r="K577" s="42">
        <v>3.85</v>
      </c>
      <c r="L577" s="754">
        <v>4.32</v>
      </c>
      <c r="M577" s="769">
        <v>950</v>
      </c>
      <c r="N577" s="639">
        <v>391.26</v>
      </c>
      <c r="O577" s="562">
        <v>7.25</v>
      </c>
      <c r="P577" s="562">
        <v>6.53</v>
      </c>
      <c r="Q577" s="588">
        <v>7.56</v>
      </c>
      <c r="R577" s="769">
        <v>950</v>
      </c>
      <c r="S577" s="639">
        <v>399.63</v>
      </c>
      <c r="T577" s="639">
        <v>8.7799999999999994</v>
      </c>
      <c r="U577" s="639">
        <v>6.24</v>
      </c>
      <c r="V577" s="654">
        <v>9.24</v>
      </c>
      <c r="W577" s="564"/>
      <c r="X577" s="650">
        <v>950</v>
      </c>
      <c r="Y577" s="651">
        <f t="shared" si="520"/>
        <v>1.1053333333333333</v>
      </c>
      <c r="Z577" s="620">
        <v>9.6440000000000001</v>
      </c>
      <c r="AA577" s="620">
        <v>4.5170000000000003</v>
      </c>
      <c r="AB577" s="620">
        <f t="shared" si="521"/>
        <v>4.0216666666666665</v>
      </c>
      <c r="AC577" s="620">
        <f t="shared" si="522"/>
        <v>34.554333333333339</v>
      </c>
      <c r="AD577" s="653">
        <f t="shared" si="523"/>
        <v>175.33272068789165</v>
      </c>
      <c r="AE577" s="650">
        <v>950</v>
      </c>
      <c r="AF577" s="620">
        <f t="shared" si="524"/>
        <v>0.44966666666666671</v>
      </c>
      <c r="AG577" s="620">
        <v>9.6440000000000001</v>
      </c>
      <c r="AH577" s="620">
        <v>4.5170000000000003</v>
      </c>
      <c r="AI577" s="620">
        <f t="shared" si="525"/>
        <v>4.6773333333333333</v>
      </c>
      <c r="AJ577" s="620">
        <f t="shared" si="526"/>
        <v>33.898666666666671</v>
      </c>
      <c r="AK577" s="653">
        <f t="shared" si="527"/>
        <v>200.04850942122667</v>
      </c>
      <c r="AL577" s="650">
        <v>950</v>
      </c>
      <c r="AM577" s="620">
        <f t="shared" si="528"/>
        <v>0.71133333333333337</v>
      </c>
      <c r="AN577" s="620">
        <v>9.6440000000000001</v>
      </c>
      <c r="AO577" s="620">
        <v>4.5170000000000003</v>
      </c>
      <c r="AP577" s="620">
        <f t="shared" si="529"/>
        <v>4.4156666666666666</v>
      </c>
      <c r="AQ577" s="620">
        <f t="shared" si="530"/>
        <v>34.160333333333341</v>
      </c>
      <c r="AR577" s="698">
        <f t="shared" si="531"/>
        <v>190.31488787365166</v>
      </c>
      <c r="AS577" s="650">
        <v>950</v>
      </c>
      <c r="AT577" s="620">
        <f t="shared" si="545"/>
        <v>0.80866666666666664</v>
      </c>
      <c r="AU577" s="620">
        <v>9.6440000000000001</v>
      </c>
      <c r="AV577" s="620">
        <v>4.5170000000000003</v>
      </c>
      <c r="AW577" s="620">
        <f t="shared" si="533"/>
        <v>4.3183333333333334</v>
      </c>
      <c r="AX577" s="620">
        <f t="shared" si="534"/>
        <v>34.257666666666672</v>
      </c>
      <c r="AY577" s="698">
        <f t="shared" si="535"/>
        <v>186.65014166049167</v>
      </c>
      <c r="AZ577" s="75"/>
      <c r="BA577" s="650">
        <v>950</v>
      </c>
      <c r="BB577" s="620">
        <v>103.50685607036536</v>
      </c>
      <c r="BC577" s="720">
        <f>(BB587-BB588)/BB569</f>
        <v>0.54421515770613416</v>
      </c>
      <c r="BD577" s="714">
        <f>D577-BB585</f>
        <v>32.45999999999998</v>
      </c>
      <c r="BE577" s="693">
        <f>BB587-BB588</f>
        <v>56.330000000000013</v>
      </c>
      <c r="BF577" s="693">
        <f t="shared" si="536"/>
        <v>57.624711521391745</v>
      </c>
      <c r="BG577" s="668">
        <f t="shared" si="537"/>
        <v>31.360241468384693</v>
      </c>
      <c r="BH577" s="650">
        <v>950</v>
      </c>
      <c r="BI577" s="620">
        <v>103.50685607036536</v>
      </c>
      <c r="BJ577" s="720">
        <f>(BI587-BI588)/BI569</f>
        <v>0.81965584909974099</v>
      </c>
      <c r="BK577" s="714">
        <f>I577-BI585</f>
        <v>38.399999999999977</v>
      </c>
      <c r="BL577" s="693">
        <f>BI587-BI588</f>
        <v>84.84</v>
      </c>
      <c r="BM577" s="693">
        <f t="shared" si="538"/>
        <v>45.261669024045233</v>
      </c>
      <c r="BN577" s="668">
        <f t="shared" si="539"/>
        <v>37.098991755575241</v>
      </c>
      <c r="BO577" s="650">
        <v>950</v>
      </c>
      <c r="BP577" s="681">
        <v>103.50685607036536</v>
      </c>
      <c r="BQ577" s="720">
        <f>(BP587-BP588)/BP569</f>
        <v>0.64614077307626916</v>
      </c>
      <c r="BR577" s="714">
        <f>N577-BP585</f>
        <v>30.149999999999977</v>
      </c>
      <c r="BS577" s="693">
        <f>BP587-BP588</f>
        <v>66.88</v>
      </c>
      <c r="BT577" s="693">
        <f t="shared" si="540"/>
        <v>45.080741626794229</v>
      </c>
      <c r="BU577" s="668">
        <f t="shared" si="541"/>
        <v>29.128505245588372</v>
      </c>
      <c r="BV577" s="650">
        <v>950</v>
      </c>
      <c r="BW577" s="620">
        <v>103.50685607036536</v>
      </c>
      <c r="BX577" s="720">
        <f>(BW587-BW588)/BW569</f>
        <v>0.79579269554862875</v>
      </c>
      <c r="BY577" s="714">
        <f>S577-BW585</f>
        <v>29.830000000000041</v>
      </c>
      <c r="BZ577" s="693">
        <f>BW587-BW588</f>
        <v>82.36999999999999</v>
      </c>
      <c r="CA577" s="693">
        <f t="shared" si="542"/>
        <v>36.214641252883382</v>
      </c>
      <c r="CB577" s="668">
        <f t="shared" si="543"/>
        <v>28.819346980958635</v>
      </c>
    </row>
    <row r="578" spans="1:80" ht="15.75">
      <c r="A578" s="564"/>
      <c r="B578" s="585" t="s">
        <v>116</v>
      </c>
      <c r="C578" s="769">
        <v>1000</v>
      </c>
      <c r="D578" s="655">
        <v>375.85</v>
      </c>
      <c r="E578" s="750">
        <v>11.65</v>
      </c>
      <c r="F578" s="750">
        <v>11.99</v>
      </c>
      <c r="G578" s="751">
        <v>9.89</v>
      </c>
      <c r="H578" s="769">
        <v>1000</v>
      </c>
      <c r="I578" s="750">
        <v>410.23</v>
      </c>
      <c r="J578" s="42">
        <v>3.88</v>
      </c>
      <c r="K578" s="42">
        <v>4.5599999999999996</v>
      </c>
      <c r="L578" s="754">
        <v>5.67</v>
      </c>
      <c r="M578" s="769">
        <v>1000</v>
      </c>
      <c r="N578" s="562">
        <v>390.71</v>
      </c>
      <c r="O578" s="639">
        <v>10.82</v>
      </c>
      <c r="P578" s="562">
        <v>5.12</v>
      </c>
      <c r="Q578" s="588">
        <v>7.97</v>
      </c>
      <c r="R578" s="769">
        <v>1000</v>
      </c>
      <c r="S578" s="639">
        <v>399.06</v>
      </c>
      <c r="T578" s="639">
        <v>9.35</v>
      </c>
      <c r="U578" s="639">
        <v>6.69</v>
      </c>
      <c r="V578" s="654">
        <v>9.82</v>
      </c>
      <c r="W578" s="564"/>
      <c r="X578" s="650">
        <v>1000</v>
      </c>
      <c r="Y578" s="651">
        <f t="shared" si="520"/>
        <v>1.1176666666666668</v>
      </c>
      <c r="Z578" s="620">
        <v>9.6440000000000001</v>
      </c>
      <c r="AA578" s="620">
        <v>4.5170000000000003</v>
      </c>
      <c r="AB578" s="620">
        <f t="shared" si="521"/>
        <v>4.0093333333333332</v>
      </c>
      <c r="AC578" s="620">
        <f t="shared" si="522"/>
        <v>34.56666666666667</v>
      </c>
      <c r="AD578" s="653">
        <f t="shared" si="523"/>
        <v>193.74782586666663</v>
      </c>
      <c r="AE578" s="650">
        <v>1000</v>
      </c>
      <c r="AF578" s="620">
        <f t="shared" si="524"/>
        <v>0.47033333333333333</v>
      </c>
      <c r="AG578" s="620">
        <v>9.6440000000000001</v>
      </c>
      <c r="AH578" s="620">
        <v>4.5170000000000003</v>
      </c>
      <c r="AI578" s="620">
        <f t="shared" si="525"/>
        <v>4.6566666666666663</v>
      </c>
      <c r="AJ578" s="620">
        <f t="shared" si="526"/>
        <v>33.919333333333341</v>
      </c>
      <c r="AK578" s="653">
        <f t="shared" si="527"/>
        <v>220.81553838666665</v>
      </c>
      <c r="AL578" s="650">
        <v>1000</v>
      </c>
      <c r="AM578" s="620">
        <f>AVERAGE(P578:Q578)/10</f>
        <v>0.65449999999999997</v>
      </c>
      <c r="AN578" s="620">
        <v>9.6440000000000001</v>
      </c>
      <c r="AO578" s="620">
        <v>4.5170000000000003</v>
      </c>
      <c r="AP578" s="620">
        <f t="shared" si="529"/>
        <v>4.4725000000000001</v>
      </c>
      <c r="AQ578" s="620">
        <f t="shared" si="530"/>
        <v>34.103500000000004</v>
      </c>
      <c r="AR578" s="698">
        <f t="shared" si="531"/>
        <v>213.2340094425</v>
      </c>
      <c r="AS578" s="650">
        <v>1000</v>
      </c>
      <c r="AT578" s="620">
        <f t="shared" si="545"/>
        <v>0.86199999999999988</v>
      </c>
      <c r="AU578" s="620">
        <v>9.6440000000000001</v>
      </c>
      <c r="AV578" s="620">
        <v>4.5170000000000003</v>
      </c>
      <c r="AW578" s="620">
        <f t="shared" si="533"/>
        <v>4.2649999999999997</v>
      </c>
      <c r="AX578" s="620">
        <f t="shared" si="534"/>
        <v>34.311000000000007</v>
      </c>
      <c r="AY578" s="698">
        <f t="shared" si="535"/>
        <v>204.57830816999999</v>
      </c>
      <c r="AZ578" s="75"/>
      <c r="BA578" s="650">
        <v>1000</v>
      </c>
      <c r="BB578" s="620">
        <v>103.50685607036536</v>
      </c>
      <c r="BC578" s="720">
        <f>(BB587-BB588)/BB569</f>
        <v>0.54421515770613416</v>
      </c>
      <c r="BD578" s="714">
        <f>D578-BB585</f>
        <v>31.689999999999998</v>
      </c>
      <c r="BE578" s="693">
        <f>BB587-BB588</f>
        <v>56.330000000000013</v>
      </c>
      <c r="BF578" s="693">
        <f t="shared" si="536"/>
        <v>56.257766731759261</v>
      </c>
      <c r="BG578" s="668">
        <f t="shared" si="537"/>
        <v>30.616329394119273</v>
      </c>
      <c r="BH578" s="650">
        <v>1000</v>
      </c>
      <c r="BI578" s="620">
        <v>103.50685607036536</v>
      </c>
      <c r="BJ578" s="720">
        <f>(BI587-BI588)/BI569</f>
        <v>0.81965584909974099</v>
      </c>
      <c r="BK578" s="714">
        <f>I578-BI585</f>
        <v>37.490000000000009</v>
      </c>
      <c r="BL578" s="693">
        <f>BI587-BI588</f>
        <v>84.84</v>
      </c>
      <c r="BM578" s="693">
        <f t="shared" si="538"/>
        <v>44.189061763319195</v>
      </c>
      <c r="BN578" s="668">
        <f t="shared" si="539"/>
        <v>36.219822940534293</v>
      </c>
      <c r="BO578" s="650">
        <v>1000</v>
      </c>
      <c r="BP578" s="681">
        <v>103.50685607036536</v>
      </c>
      <c r="BQ578" s="720">
        <f>(BP587-BP588)/BP569</f>
        <v>0.64614077307626916</v>
      </c>
      <c r="BR578" s="714">
        <f>N578-BP585</f>
        <v>29.599999999999966</v>
      </c>
      <c r="BS578" s="693">
        <f>BP587-BP588</f>
        <v>66.88</v>
      </c>
      <c r="BT578" s="693">
        <f t="shared" si="540"/>
        <v>44.258373205741577</v>
      </c>
      <c r="BU578" s="668">
        <f t="shared" si="541"/>
        <v>28.597139478255901</v>
      </c>
      <c r="BV578" s="650">
        <v>1000</v>
      </c>
      <c r="BW578" s="620">
        <v>103.50685607036536</v>
      </c>
      <c r="BX578" s="720">
        <f>(BW587-BW588)/BW569</f>
        <v>0.79579269554862875</v>
      </c>
      <c r="BY578" s="714">
        <f>S578-BW585</f>
        <v>29.260000000000048</v>
      </c>
      <c r="BZ578" s="693">
        <f>BW587-BW588</f>
        <v>82.36999999999999</v>
      </c>
      <c r="CA578" s="693">
        <f t="shared" si="542"/>
        <v>35.522641738497093</v>
      </c>
      <c r="CB578" s="668">
        <f t="shared" si="543"/>
        <v>28.268658822086831</v>
      </c>
    </row>
    <row r="579" spans="1:80" ht="15.75">
      <c r="A579" s="564"/>
      <c r="B579" s="585" t="s">
        <v>116</v>
      </c>
      <c r="C579" s="769">
        <v>1350</v>
      </c>
      <c r="D579" s="655">
        <v>373.67</v>
      </c>
      <c r="E579" s="750">
        <v>12.4</v>
      </c>
      <c r="F579" s="750">
        <v>13.34</v>
      </c>
      <c r="G579" s="751">
        <v>10.77</v>
      </c>
      <c r="H579" s="769">
        <v>1350</v>
      </c>
      <c r="I579" s="750">
        <v>404.47</v>
      </c>
      <c r="J579" s="755">
        <v>6.02</v>
      </c>
      <c r="K579" s="756">
        <v>4.51</v>
      </c>
      <c r="L579" s="757">
        <v>5.19</v>
      </c>
      <c r="M579" s="769">
        <v>1350</v>
      </c>
      <c r="N579" s="639">
        <v>388.61</v>
      </c>
      <c r="O579" s="562">
        <v>10.11</v>
      </c>
      <c r="P579" s="562">
        <v>3.45</v>
      </c>
      <c r="Q579" s="654">
        <v>8.58</v>
      </c>
      <c r="R579" s="769">
        <v>1350</v>
      </c>
      <c r="S579" s="639">
        <v>397.04</v>
      </c>
      <c r="T579" s="639">
        <v>9.83</v>
      </c>
      <c r="U579" s="639">
        <v>8.1</v>
      </c>
      <c r="V579" s="654">
        <v>9.4</v>
      </c>
      <c r="W579" s="564"/>
      <c r="X579" s="650">
        <v>1350</v>
      </c>
      <c r="Y579" s="651">
        <f t="shared" si="520"/>
        <v>1.2170000000000001</v>
      </c>
      <c r="Z579" s="620">
        <v>9.6440000000000001</v>
      </c>
      <c r="AA579" s="620">
        <v>4.5170000000000003</v>
      </c>
      <c r="AB579" s="620">
        <f t="shared" si="521"/>
        <v>3.91</v>
      </c>
      <c r="AC579" s="620">
        <f t="shared" si="522"/>
        <v>34.666000000000004</v>
      </c>
      <c r="AD579" s="653">
        <f t="shared" si="523"/>
        <v>345.3466109913</v>
      </c>
      <c r="AE579" s="650">
        <v>1350</v>
      </c>
      <c r="AF579" s="620">
        <f t="shared" si="524"/>
        <v>0.52399999999999991</v>
      </c>
      <c r="AG579" s="620">
        <v>9.6440000000000001</v>
      </c>
      <c r="AH579" s="620">
        <v>4.5170000000000003</v>
      </c>
      <c r="AI579" s="620">
        <f t="shared" si="525"/>
        <v>4.6029999999999998</v>
      </c>
      <c r="AJ579" s="620">
        <f t="shared" si="526"/>
        <v>33.973000000000006</v>
      </c>
      <c r="AK579" s="653">
        <f t="shared" si="527"/>
        <v>398.42775324274498</v>
      </c>
      <c r="AL579" s="650">
        <v>1350</v>
      </c>
      <c r="AM579" s="620">
        <f t="shared" ref="AM579:AM581" si="546">AVERAGE(O579:Q579)/10</f>
        <v>0.73799999999999999</v>
      </c>
      <c r="AN579" s="620">
        <v>9.6440000000000001</v>
      </c>
      <c r="AO579" s="620">
        <v>4.5170000000000003</v>
      </c>
      <c r="AP579" s="620">
        <f t="shared" si="529"/>
        <v>4.3889999999999993</v>
      </c>
      <c r="AQ579" s="620">
        <f t="shared" si="530"/>
        <v>34.187000000000005</v>
      </c>
      <c r="AR579" s="698">
        <f t="shared" si="531"/>
        <v>382.29734438626497</v>
      </c>
      <c r="AS579" s="650">
        <v>1350</v>
      </c>
      <c r="AT579" s="620">
        <f t="shared" si="545"/>
        <v>0.91099999999999992</v>
      </c>
      <c r="AU579" s="620">
        <v>9.6440000000000001</v>
      </c>
      <c r="AV579" s="620">
        <v>4.5170000000000003</v>
      </c>
      <c r="AW579" s="620">
        <f t="shared" si="533"/>
        <v>4.2160000000000002</v>
      </c>
      <c r="AX579" s="620">
        <f t="shared" si="534"/>
        <v>34.360000000000007</v>
      </c>
      <c r="AY579" s="698">
        <f t="shared" si="535"/>
        <v>369.08675952480007</v>
      </c>
      <c r="AZ579" s="75"/>
      <c r="BA579" s="650">
        <v>1350</v>
      </c>
      <c r="BB579" s="620">
        <v>103.50685607036536</v>
      </c>
      <c r="BC579" s="720">
        <f>(BB587-BB588)/BB569</f>
        <v>0.54421515770613416</v>
      </c>
      <c r="BD579" s="714">
        <f>D579-BB585</f>
        <v>29.509999999999991</v>
      </c>
      <c r="BE579" s="693">
        <f>BB587-BB588</f>
        <v>56.330000000000013</v>
      </c>
      <c r="BF579" s="693">
        <f t="shared" si="536"/>
        <v>52.387715249423017</v>
      </c>
      <c r="BG579" s="668">
        <f t="shared" si="537"/>
        <v>28.510188716328798</v>
      </c>
      <c r="BH579" s="650">
        <v>1350</v>
      </c>
      <c r="BI579" s="620">
        <v>103.50685607036536</v>
      </c>
      <c r="BJ579" s="720">
        <f>(BI587-BI588)/BI569</f>
        <v>0.81965584909974099</v>
      </c>
      <c r="BK579" s="714">
        <f>I579-BI585</f>
        <v>31.730000000000018</v>
      </c>
      <c r="BL579" s="693">
        <f>BI587-BI588</f>
        <v>84.84</v>
      </c>
      <c r="BM579" s="693">
        <f t="shared" si="538"/>
        <v>37.39981140971242</v>
      </c>
      <c r="BN579" s="668">
        <f t="shared" si="539"/>
        <v>30.654974177198014</v>
      </c>
      <c r="BO579" s="650">
        <v>1350</v>
      </c>
      <c r="BP579" s="681">
        <v>103.50685607036536</v>
      </c>
      <c r="BQ579" s="720">
        <f>(BP587-BP588)/BP569</f>
        <v>0.64614077307626916</v>
      </c>
      <c r="BR579" s="714">
        <f>N579-BP585</f>
        <v>27.5</v>
      </c>
      <c r="BS579" s="693">
        <f>BP587-BP588</f>
        <v>66.88</v>
      </c>
      <c r="BT579" s="693">
        <f t="shared" si="540"/>
        <v>41.118421052631582</v>
      </c>
      <c r="BU579" s="668">
        <f t="shared" si="541"/>
        <v>26.568288366622912</v>
      </c>
      <c r="BV579" s="650">
        <v>1350</v>
      </c>
      <c r="BW579" s="620">
        <v>103.50685607036536</v>
      </c>
      <c r="BX579" s="720">
        <f>(BW587-BW588)/BW569</f>
        <v>0.79579269554862875</v>
      </c>
      <c r="BY579" s="714">
        <f>S579-BW585</f>
        <v>27.240000000000066</v>
      </c>
      <c r="BZ579" s="693">
        <f>BW587-BW588</f>
        <v>82.36999999999999</v>
      </c>
      <c r="CA579" s="693">
        <f t="shared" si="542"/>
        <v>33.070292582250907</v>
      </c>
      <c r="CB579" s="668">
        <f t="shared" si="543"/>
        <v>26.317097276611271</v>
      </c>
    </row>
    <row r="580" spans="1:80" ht="15.75">
      <c r="A580" s="564"/>
      <c r="B580" s="585" t="s">
        <v>116</v>
      </c>
      <c r="C580" s="769">
        <v>2500</v>
      </c>
      <c r="D580" s="655">
        <v>369.84</v>
      </c>
      <c r="E580" s="750">
        <v>15.37</v>
      </c>
      <c r="F580" s="750">
        <v>14.38</v>
      </c>
      <c r="G580" s="751">
        <v>13.89</v>
      </c>
      <c r="H580" s="769">
        <v>2500</v>
      </c>
      <c r="I580" s="655">
        <v>402.14</v>
      </c>
      <c r="J580" s="655">
        <v>6.59</v>
      </c>
      <c r="K580" s="756">
        <v>7.08</v>
      </c>
      <c r="L580" s="619">
        <v>8.33</v>
      </c>
      <c r="M580" s="769">
        <v>2500</v>
      </c>
      <c r="N580" s="639">
        <v>384.47</v>
      </c>
      <c r="O580" s="562">
        <v>12.77</v>
      </c>
      <c r="P580" s="562">
        <v>8.84</v>
      </c>
      <c r="Q580" s="588">
        <v>12.23</v>
      </c>
      <c r="R580" s="769">
        <v>2500</v>
      </c>
      <c r="S580" s="639">
        <v>392.5</v>
      </c>
      <c r="T580" s="639">
        <v>13.39</v>
      </c>
      <c r="U580" s="639">
        <v>12.14</v>
      </c>
      <c r="V580" s="654">
        <v>14.05</v>
      </c>
      <c r="W580" s="564"/>
      <c r="X580" s="650">
        <v>2500</v>
      </c>
      <c r="Y580" s="651">
        <f t="shared" si="520"/>
        <v>1.4546666666666668</v>
      </c>
      <c r="Z580" s="620">
        <v>9.6440000000000001</v>
      </c>
      <c r="AA580" s="620">
        <v>4.5170000000000003</v>
      </c>
      <c r="AB580" s="620">
        <f t="shared" si="521"/>
        <v>3.6723333333333326</v>
      </c>
      <c r="AC580" s="620">
        <f t="shared" si="522"/>
        <v>34.903666666666673</v>
      </c>
      <c r="AD580" s="653">
        <f t="shared" si="523"/>
        <v>1119.9543886291665</v>
      </c>
      <c r="AE580" s="650">
        <v>2500</v>
      </c>
      <c r="AF580" s="620">
        <f t="shared" si="524"/>
        <v>0.73333333333333328</v>
      </c>
      <c r="AG580" s="620">
        <v>9.6440000000000001</v>
      </c>
      <c r="AH580" s="620">
        <v>4.5170000000000003</v>
      </c>
      <c r="AI580" s="620">
        <f t="shared" si="525"/>
        <v>4.3936666666666664</v>
      </c>
      <c r="AJ580" s="620">
        <f t="shared" si="526"/>
        <v>34.182333333333339</v>
      </c>
      <c r="AK580" s="653">
        <f t="shared" si="527"/>
        <v>1312.2482401291666</v>
      </c>
      <c r="AL580" s="650">
        <v>2500</v>
      </c>
      <c r="AM580" s="620">
        <f t="shared" si="546"/>
        <v>1.1280000000000001</v>
      </c>
      <c r="AN580" s="620">
        <v>9.6440000000000001</v>
      </c>
      <c r="AO580" s="620">
        <v>4.5170000000000003</v>
      </c>
      <c r="AP580" s="620">
        <f t="shared" si="529"/>
        <v>3.9989999999999997</v>
      </c>
      <c r="AQ580" s="620">
        <f t="shared" si="530"/>
        <v>34.577000000000005</v>
      </c>
      <c r="AR580" s="698">
        <f t="shared" si="531"/>
        <v>1208.1640334624999</v>
      </c>
      <c r="AS580" s="650">
        <v>2500</v>
      </c>
      <c r="AT580" s="620">
        <f t="shared" si="545"/>
        <v>1.3193333333333332</v>
      </c>
      <c r="AU580" s="620">
        <v>9.6440000000000001</v>
      </c>
      <c r="AV580" s="620">
        <v>4.5170000000000003</v>
      </c>
      <c r="AW580" s="620">
        <f t="shared" si="533"/>
        <v>3.8076666666666661</v>
      </c>
      <c r="AX580" s="620">
        <f t="shared" si="534"/>
        <v>34.768333333333338</v>
      </c>
      <c r="AY580" s="698">
        <f t="shared" si="535"/>
        <v>1156.7246312291666</v>
      </c>
      <c r="AZ580" s="75"/>
      <c r="BA580" s="650">
        <v>2500</v>
      </c>
      <c r="BB580" s="620">
        <v>103.50685607036536</v>
      </c>
      <c r="BC580" s="720">
        <f>(BB587-BB588)/BB569</f>
        <v>0.54421515770613416</v>
      </c>
      <c r="BD580" s="714">
        <f>D580-BB585</f>
        <v>25.67999999999995</v>
      </c>
      <c r="BE580" s="693">
        <f>BB587-BB588</f>
        <v>56.330000000000013</v>
      </c>
      <c r="BF580" s="693">
        <f t="shared" si="536"/>
        <v>45.588496360731305</v>
      </c>
      <c r="BG580" s="668">
        <f t="shared" si="537"/>
        <v>24.809950736540909</v>
      </c>
      <c r="BH580" s="650">
        <v>2500</v>
      </c>
      <c r="BI580" s="620">
        <v>103.50685607036536</v>
      </c>
      <c r="BJ580" s="720">
        <f>(BI587-BI588)/BI569</f>
        <v>0.81965584909974099</v>
      </c>
      <c r="BK580" s="714">
        <f>I580-BI585</f>
        <v>29.399999999999977</v>
      </c>
      <c r="BL580" s="693">
        <f>BI587-BI588</f>
        <v>84.84</v>
      </c>
      <c r="BM580" s="693">
        <f t="shared" si="538"/>
        <v>34.653465346534624</v>
      </c>
      <c r="BN580" s="668">
        <f t="shared" si="539"/>
        <v>28.403915562862288</v>
      </c>
      <c r="BO580" s="650">
        <v>2500</v>
      </c>
      <c r="BP580" s="681">
        <v>103.50685607036536</v>
      </c>
      <c r="BQ580" s="720">
        <f>(BP587-BP588)/BP569</f>
        <v>0.64614077307626916</v>
      </c>
      <c r="BR580" s="714">
        <f>N580-BP585</f>
        <v>23.360000000000014</v>
      </c>
      <c r="BS580" s="693">
        <f>BP587-BP588</f>
        <v>66.88</v>
      </c>
      <c r="BT580" s="693">
        <f t="shared" si="540"/>
        <v>34.92822966507179</v>
      </c>
      <c r="BU580" s="668">
        <f t="shared" si="541"/>
        <v>22.568553317974963</v>
      </c>
      <c r="BV580" s="650">
        <v>2500</v>
      </c>
      <c r="BW580" s="620">
        <v>103.50685607036536</v>
      </c>
      <c r="BX580" s="720">
        <f>(BW587-BW588)/BW569</f>
        <v>0.79579269554862875</v>
      </c>
      <c r="BY580" s="714">
        <f>S580-BW585</f>
        <v>22.700000000000045</v>
      </c>
      <c r="BZ580" s="693">
        <f>BW587-BW588</f>
        <v>82.36999999999999</v>
      </c>
      <c r="CA580" s="693">
        <f t="shared" si="542"/>
        <v>27.558577151875742</v>
      </c>
      <c r="CB580" s="668">
        <f t="shared" si="543"/>
        <v>21.93091439717605</v>
      </c>
    </row>
    <row r="581" spans="1:80" ht="15.75">
      <c r="A581" s="564"/>
      <c r="B581" s="585" t="s">
        <v>116</v>
      </c>
      <c r="C581" s="769">
        <v>5000</v>
      </c>
      <c r="D581" s="655">
        <v>365.71</v>
      </c>
      <c r="E581" s="750">
        <v>20.399999999999999</v>
      </c>
      <c r="F581" s="750">
        <v>21.35</v>
      </c>
      <c r="G581" s="751">
        <v>19.32</v>
      </c>
      <c r="H581" s="769">
        <v>5000</v>
      </c>
      <c r="I581" s="655">
        <v>396.4</v>
      </c>
      <c r="J581" s="655">
        <v>13.48</v>
      </c>
      <c r="K581" s="655">
        <v>11.92</v>
      </c>
      <c r="L581" s="756">
        <v>12.22</v>
      </c>
      <c r="M581" s="769">
        <v>5000</v>
      </c>
      <c r="N581" s="639">
        <v>380.3</v>
      </c>
      <c r="O581" s="562">
        <v>19.670000000000002</v>
      </c>
      <c r="P581" s="562">
        <v>14.02</v>
      </c>
      <c r="Q581" s="588">
        <v>18.89</v>
      </c>
      <c r="R581" s="769">
        <v>5000</v>
      </c>
      <c r="S581" s="639">
        <v>388.04</v>
      </c>
      <c r="T581" s="779">
        <v>18.309999999999999</v>
      </c>
      <c r="U581" s="639">
        <v>17.260000000000002</v>
      </c>
      <c r="V581" s="654">
        <v>17.96</v>
      </c>
      <c r="W581" s="564"/>
      <c r="X581" s="650">
        <v>5000</v>
      </c>
      <c r="Y581" s="651">
        <f t="shared" si="520"/>
        <v>2.0356666666666667</v>
      </c>
      <c r="Z581" s="620">
        <v>9.6440000000000001</v>
      </c>
      <c r="AA581" s="620">
        <v>4.5170000000000003</v>
      </c>
      <c r="AB581" s="620">
        <f t="shared" si="521"/>
        <v>3.091333333333333</v>
      </c>
      <c r="AC581" s="620">
        <f t="shared" si="522"/>
        <v>35.484666666666669</v>
      </c>
      <c r="AD581" s="653">
        <f t="shared" si="523"/>
        <v>3833.8379044666663</v>
      </c>
      <c r="AE581" s="650">
        <v>5000</v>
      </c>
      <c r="AF581" s="620">
        <f t="shared" si="524"/>
        <v>1.254</v>
      </c>
      <c r="AG581" s="620">
        <v>9.6440000000000001</v>
      </c>
      <c r="AH581" s="620">
        <v>4.5170000000000003</v>
      </c>
      <c r="AI581" s="620">
        <f t="shared" si="525"/>
        <v>3.8729999999999993</v>
      </c>
      <c r="AJ581" s="620">
        <f t="shared" si="526"/>
        <v>34.703000000000003</v>
      </c>
      <c r="AK581" s="653">
        <f t="shared" si="527"/>
        <v>4697.4449290499988</v>
      </c>
      <c r="AL581" s="650">
        <v>5000</v>
      </c>
      <c r="AM581" s="620">
        <f t="shared" si="546"/>
        <v>1.7526666666666668</v>
      </c>
      <c r="AN581" s="620">
        <v>9.6440000000000001</v>
      </c>
      <c r="AO581" s="620">
        <v>4.5170000000000003</v>
      </c>
      <c r="AP581" s="620">
        <f t="shared" si="529"/>
        <v>3.3743333333333325</v>
      </c>
      <c r="AQ581" s="620">
        <f t="shared" si="530"/>
        <v>35.201666666666675</v>
      </c>
      <c r="AR581" s="698">
        <f t="shared" si="531"/>
        <v>4151.4363949166664</v>
      </c>
      <c r="AS581" s="650">
        <v>5000</v>
      </c>
      <c r="AT581" s="620">
        <f t="shared" si="545"/>
        <v>1.7843333333333333</v>
      </c>
      <c r="AU581" s="620">
        <v>9.6440000000000001</v>
      </c>
      <c r="AV581" s="620">
        <v>4.5170000000000003</v>
      </c>
      <c r="AW581" s="620">
        <f t="shared" si="533"/>
        <v>3.3426666666666662</v>
      </c>
      <c r="AX581" s="620">
        <f t="shared" si="534"/>
        <v>35.233333333333341</v>
      </c>
      <c r="AY581" s="698">
        <f t="shared" si="535"/>
        <v>4116.1764466666664</v>
      </c>
      <c r="AZ581" s="75"/>
      <c r="BA581" s="650">
        <v>5000</v>
      </c>
      <c r="BB581" s="620">
        <v>103.50685607036536</v>
      </c>
      <c r="BC581" s="720">
        <f>(BB587-BB588)/BB569</f>
        <v>0.54421515770613416</v>
      </c>
      <c r="BD581" s="714">
        <f>D581-BB585</f>
        <v>21.549999999999955</v>
      </c>
      <c r="BE581" s="693">
        <f>BB587-BB588</f>
        <v>56.330000000000013</v>
      </c>
      <c r="BF581" s="693">
        <f t="shared" si="536"/>
        <v>38.256701579975058</v>
      </c>
      <c r="BG581" s="668">
        <f t="shared" si="537"/>
        <v>20.819876883662637</v>
      </c>
      <c r="BH581" s="650">
        <v>5000</v>
      </c>
      <c r="BI581" s="620">
        <v>103.50685607036536</v>
      </c>
      <c r="BJ581" s="720">
        <f>(BI587-BI588)/BI569</f>
        <v>0.81965584909974099</v>
      </c>
      <c r="BK581" s="714">
        <f>I581-BI585</f>
        <v>23.659999999999968</v>
      </c>
      <c r="BL581" s="693">
        <f>BI587-BI588</f>
        <v>84.84</v>
      </c>
      <c r="BM581" s="693">
        <f t="shared" si="538"/>
        <v>27.887788778877848</v>
      </c>
      <c r="BN581" s="668">
        <f t="shared" si="539"/>
        <v>22.858389191065353</v>
      </c>
      <c r="BO581" s="650">
        <v>5000</v>
      </c>
      <c r="BP581" s="681">
        <v>103.50685607036536</v>
      </c>
      <c r="BQ581" s="720">
        <f>(BP587-BP588)/BP569</f>
        <v>0.64614077307626916</v>
      </c>
      <c r="BR581" s="714">
        <f>N581-BP585</f>
        <v>19.189999999999998</v>
      </c>
      <c r="BS581" s="693">
        <f>BP587-BP588</f>
        <v>66.88</v>
      </c>
      <c r="BT581" s="693">
        <f t="shared" si="540"/>
        <v>28.693181818181817</v>
      </c>
      <c r="BU581" s="668">
        <f t="shared" si="541"/>
        <v>18.53983468201795</v>
      </c>
      <c r="BV581" s="650">
        <v>5000</v>
      </c>
      <c r="BW581" s="620">
        <v>103.50685607036536</v>
      </c>
      <c r="BX581" s="720">
        <f>(BW587-BW588)/BW569</f>
        <v>0.79579269554862875</v>
      </c>
      <c r="BY581" s="714">
        <f>S581-BW585</f>
        <v>18.240000000000066</v>
      </c>
      <c r="BZ581" s="693">
        <f>BW587-BW588</f>
        <v>82.36999999999999</v>
      </c>
      <c r="CA581" s="693">
        <f t="shared" si="542"/>
        <v>22.143984460361864</v>
      </c>
      <c r="CB581" s="668">
        <f t="shared" si="543"/>
        <v>17.622021083898314</v>
      </c>
    </row>
    <row r="582" spans="1:80" ht="15.75">
      <c r="A582" s="564"/>
      <c r="B582" s="585" t="s">
        <v>116</v>
      </c>
      <c r="C582" s="769">
        <v>7000</v>
      </c>
      <c r="D582" s="655">
        <v>363.62</v>
      </c>
      <c r="E582" s="750">
        <v>22.63</v>
      </c>
      <c r="F582" s="750">
        <v>23.67</v>
      </c>
      <c r="G582" s="751">
        <v>21.79</v>
      </c>
      <c r="H582" s="769">
        <v>7000</v>
      </c>
      <c r="I582" s="655">
        <v>393.6</v>
      </c>
      <c r="J582" s="655">
        <v>14.6</v>
      </c>
      <c r="K582" s="756">
        <v>14.21</v>
      </c>
      <c r="L582" s="619">
        <v>16.7</v>
      </c>
      <c r="M582" s="769">
        <v>7000</v>
      </c>
      <c r="N582" s="639">
        <v>378.51</v>
      </c>
      <c r="O582" s="562">
        <v>21.51</v>
      </c>
      <c r="P582" s="562">
        <v>17.440000000000001</v>
      </c>
      <c r="Q582" s="588">
        <v>19.72</v>
      </c>
      <c r="R582" s="769">
        <v>7000</v>
      </c>
      <c r="S582" s="639">
        <v>386.1</v>
      </c>
      <c r="T582" s="639">
        <v>19.87</v>
      </c>
      <c r="U582" s="639">
        <v>19.14</v>
      </c>
      <c r="V582" s="654">
        <v>19.82</v>
      </c>
      <c r="W582" s="564"/>
      <c r="X582" s="650">
        <v>7000</v>
      </c>
      <c r="Y582" s="651">
        <f t="shared" si="520"/>
        <v>2.2696666666666667</v>
      </c>
      <c r="Z582" s="620">
        <v>9.6440000000000001</v>
      </c>
      <c r="AA582" s="620">
        <v>4.5170000000000003</v>
      </c>
      <c r="AB582" s="620">
        <f t="shared" si="521"/>
        <v>2.8573333333333331</v>
      </c>
      <c r="AC582" s="620">
        <f t="shared" si="522"/>
        <v>35.718666666666671</v>
      </c>
      <c r="AD582" s="653">
        <f t="shared" si="523"/>
        <v>6991.3234971626662</v>
      </c>
      <c r="AE582" s="650">
        <v>7000</v>
      </c>
      <c r="AF582" s="620">
        <f t="shared" si="524"/>
        <v>1.5170000000000001</v>
      </c>
      <c r="AG582" s="620">
        <v>9.6440000000000001</v>
      </c>
      <c r="AH582" s="620">
        <v>4.5170000000000003</v>
      </c>
      <c r="AI582" s="620">
        <f t="shared" si="525"/>
        <v>3.6099999999999994</v>
      </c>
      <c r="AJ582" s="620">
        <f t="shared" si="526"/>
        <v>34.966000000000008</v>
      </c>
      <c r="AK582" s="653">
        <f t="shared" si="527"/>
        <v>8646.8197645199998</v>
      </c>
      <c r="AL582" s="650">
        <v>7000</v>
      </c>
      <c r="AM582" s="620">
        <f>AVERAGE(O582:Q582)/10</f>
        <v>1.9556666666666669</v>
      </c>
      <c r="AN582" s="620">
        <v>9.6440000000000001</v>
      </c>
      <c r="AO582" s="620">
        <v>4.5170000000000003</v>
      </c>
      <c r="AP582" s="620">
        <f t="shared" si="529"/>
        <v>3.1713333333333331</v>
      </c>
      <c r="AQ582" s="620">
        <f t="shared" si="530"/>
        <v>35.404666666666671</v>
      </c>
      <c r="AR582" s="698">
        <f t="shared" si="531"/>
        <v>7691.4045295546666</v>
      </c>
      <c r="AS582" s="650">
        <v>7000</v>
      </c>
      <c r="AT582" s="620">
        <f t="shared" si="545"/>
        <v>1.9610000000000003</v>
      </c>
      <c r="AU582" s="620">
        <v>9.6440000000000001</v>
      </c>
      <c r="AV582" s="620">
        <v>4.5170000000000003</v>
      </c>
      <c r="AW582" s="620">
        <f t="shared" si="533"/>
        <v>3.1659999999999995</v>
      </c>
      <c r="AX582" s="620">
        <f t="shared" si="534"/>
        <v>35.410000000000004</v>
      </c>
      <c r="AY582" s="698">
        <f t="shared" si="535"/>
        <v>7679.6263261199983</v>
      </c>
      <c r="AZ582" s="75"/>
      <c r="BA582" s="650">
        <v>7000</v>
      </c>
      <c r="BB582" s="620">
        <v>103.50685607036536</v>
      </c>
      <c r="BC582" s="720">
        <f>(BB587-BB588)/BB569</f>
        <v>0.54421515770613416</v>
      </c>
      <c r="BD582" s="714">
        <f>D582-BB585</f>
        <v>19.45999999999998</v>
      </c>
      <c r="BE582" s="693">
        <f>BB587-BB588</f>
        <v>56.330000000000013</v>
      </c>
      <c r="BF582" s="693">
        <f t="shared" si="536"/>
        <v>34.546422865258251</v>
      </c>
      <c r="BG582" s="668">
        <f t="shared" si="537"/>
        <v>18.800686967799319</v>
      </c>
      <c r="BH582" s="650">
        <v>7000</v>
      </c>
      <c r="BI582" s="620">
        <v>103.50685607036536</v>
      </c>
      <c r="BJ582" s="720">
        <f>(BI587-BI588)/BI569</f>
        <v>0.81965584909974099</v>
      </c>
      <c r="BK582" s="714">
        <f>I582-BI585</f>
        <v>20.860000000000014</v>
      </c>
      <c r="BL582" s="693">
        <f>BI587-BI588</f>
        <v>84.84</v>
      </c>
      <c r="BM582" s="693">
        <f t="shared" si="538"/>
        <v>24.587458745874603</v>
      </c>
      <c r="BN582" s="668">
        <f t="shared" si="539"/>
        <v>20.153254375554699</v>
      </c>
      <c r="BO582" s="650">
        <v>7000</v>
      </c>
      <c r="BP582" s="681">
        <v>103.50685607036536</v>
      </c>
      <c r="BQ582" s="720">
        <f>(BP587-BP588)/BP569</f>
        <v>0.64614077307626916</v>
      </c>
      <c r="BR582" s="714">
        <f>N582-BP585</f>
        <v>17.399999999999977</v>
      </c>
      <c r="BS582" s="693">
        <f>BP587-BP588</f>
        <v>66.88</v>
      </c>
      <c r="BT582" s="693">
        <f t="shared" si="540"/>
        <v>26.016746411483222</v>
      </c>
      <c r="BU582" s="668">
        <f t="shared" si="541"/>
        <v>16.810480639245021</v>
      </c>
      <c r="BV582" s="650">
        <v>7000</v>
      </c>
      <c r="BW582" s="620">
        <v>103.50685607036536</v>
      </c>
      <c r="BX582" s="720">
        <f>(BW587-BW588)/BW569</f>
        <v>0.79579269554862875</v>
      </c>
      <c r="BY582" s="714">
        <f>S582-BW585</f>
        <v>16.300000000000068</v>
      </c>
      <c r="BZ582" s="693">
        <f>BW587-BW588</f>
        <v>82.36999999999999</v>
      </c>
      <c r="CA582" s="693">
        <f t="shared" si="542"/>
        <v>19.788758042976898</v>
      </c>
      <c r="CB582" s="668">
        <f t="shared" si="543"/>
        <v>15.747749104580192</v>
      </c>
    </row>
    <row r="583" spans="1:80" ht="15.75">
      <c r="A583" s="564"/>
      <c r="B583" s="585" t="s">
        <v>116</v>
      </c>
      <c r="C583" s="769">
        <v>9000</v>
      </c>
      <c r="D583" s="655">
        <v>362.23</v>
      </c>
      <c r="E583" s="23">
        <v>23.99</v>
      </c>
      <c r="F583" s="23">
        <v>25.43</v>
      </c>
      <c r="G583" s="749">
        <v>23.29</v>
      </c>
      <c r="H583" s="769">
        <v>9000</v>
      </c>
      <c r="I583" s="655">
        <v>391.64</v>
      </c>
      <c r="J583" s="655">
        <v>16.43</v>
      </c>
      <c r="K583" s="756">
        <v>15.88</v>
      </c>
      <c r="L583" s="619">
        <v>17.489999999999998</v>
      </c>
      <c r="M583" s="769">
        <v>9000</v>
      </c>
      <c r="N583" s="639">
        <v>377.75</v>
      </c>
      <c r="O583" s="639">
        <v>22.92</v>
      </c>
      <c r="P583" s="562">
        <v>19.97</v>
      </c>
      <c r="Q583" s="588">
        <v>21.74</v>
      </c>
      <c r="R583" s="769">
        <v>9000</v>
      </c>
      <c r="S583" s="639">
        <v>384.8</v>
      </c>
      <c r="T583" s="639">
        <v>20.88</v>
      </c>
      <c r="U583" s="639">
        <v>21.04</v>
      </c>
      <c r="V583" s="654">
        <v>21.35</v>
      </c>
      <c r="W583" s="564"/>
      <c r="X583" s="650">
        <v>9000</v>
      </c>
      <c r="Y583" s="651">
        <f>AVERAGE(E583:G583)/10</f>
        <v>2.4236666666666666</v>
      </c>
      <c r="Z583" s="620">
        <v>9.6440000000000001</v>
      </c>
      <c r="AA583" s="620">
        <v>4.5170000000000003</v>
      </c>
      <c r="AB583" s="620">
        <f t="shared" si="521"/>
        <v>2.7033333333333331</v>
      </c>
      <c r="AC583" s="620">
        <f t="shared" si="522"/>
        <v>35.872666666666674</v>
      </c>
      <c r="AD583" s="653">
        <f t="shared" si="523"/>
        <v>10981.342872360001</v>
      </c>
      <c r="AE583" s="650">
        <v>9000</v>
      </c>
      <c r="AF583" s="620">
        <f t="shared" si="524"/>
        <v>1.6599999999999997</v>
      </c>
      <c r="AG583" s="620">
        <v>9.6440000000000001</v>
      </c>
      <c r="AH583" s="620">
        <v>4.5170000000000003</v>
      </c>
      <c r="AI583" s="620">
        <f t="shared" si="525"/>
        <v>3.4670000000000005</v>
      </c>
      <c r="AJ583" s="620">
        <f t="shared" si="526"/>
        <v>35.109000000000002</v>
      </c>
      <c r="AK583" s="653">
        <f t="shared" si="527"/>
        <v>13783.658089914003</v>
      </c>
      <c r="AL583" s="650">
        <v>9000</v>
      </c>
      <c r="AM583" s="620">
        <f>AVERAGE(O583:Q583)/10</f>
        <v>2.1543333333333332</v>
      </c>
      <c r="AN583" s="620">
        <v>9.6440000000000001</v>
      </c>
      <c r="AO583" s="620">
        <v>4.5170000000000003</v>
      </c>
      <c r="AP583" s="620">
        <f t="shared" si="529"/>
        <v>2.972666666666667</v>
      </c>
      <c r="AQ583" s="620">
        <f t="shared" si="530"/>
        <v>35.603333333333339</v>
      </c>
      <c r="AR583" s="698">
        <f t="shared" si="531"/>
        <v>11984.752339560002</v>
      </c>
      <c r="AS583" s="650">
        <v>9000</v>
      </c>
      <c r="AT583" s="620">
        <f t="shared" si="545"/>
        <v>2.109</v>
      </c>
      <c r="AU583" s="620">
        <v>9.6440000000000001</v>
      </c>
      <c r="AV583" s="620">
        <v>4.5170000000000003</v>
      </c>
      <c r="AW583" s="620">
        <f t="shared" si="533"/>
        <v>3.0179999999999998</v>
      </c>
      <c r="AX583" s="620">
        <f t="shared" si="534"/>
        <v>35.558000000000007</v>
      </c>
      <c r="AY583" s="698">
        <f t="shared" si="535"/>
        <v>12152.027714472</v>
      </c>
      <c r="AZ583" s="75"/>
      <c r="BA583" s="650">
        <v>9000</v>
      </c>
      <c r="BB583" s="620">
        <v>103.50685607036536</v>
      </c>
      <c r="BC583" s="720">
        <f>(BB587-BB588)/BB569</f>
        <v>0.54421515770613416</v>
      </c>
      <c r="BD583" s="714">
        <f>D583-BB585</f>
        <v>18.069999999999993</v>
      </c>
      <c r="BE583" s="693">
        <f>BB587-BB588</f>
        <v>56.330000000000013</v>
      </c>
      <c r="BF583" s="693">
        <f t="shared" si="536"/>
        <v>32.078821232025547</v>
      </c>
      <c r="BG583" s="668">
        <f t="shared" si="537"/>
        <v>17.457780755813669</v>
      </c>
      <c r="BH583" s="650">
        <v>9000</v>
      </c>
      <c r="BI583" s="620">
        <v>103.50685607036536</v>
      </c>
      <c r="BJ583" s="720">
        <f>(BI587-BI588)/BI569</f>
        <v>0.81965584909974099</v>
      </c>
      <c r="BK583" s="714">
        <f>I583-BI585</f>
        <v>18.899999999999977</v>
      </c>
      <c r="BL583" s="693">
        <f>BI587-BI588</f>
        <v>84.84</v>
      </c>
      <c r="BM583" s="693">
        <f t="shared" si="538"/>
        <v>22.277227722772249</v>
      </c>
      <c r="BN583" s="668">
        <f t="shared" si="539"/>
        <v>18.259660004697178</v>
      </c>
      <c r="BO583" s="650">
        <v>9000</v>
      </c>
      <c r="BP583" s="681">
        <v>103.50685607036536</v>
      </c>
      <c r="BQ583" s="720">
        <f>(BP587-BP588)/BP569</f>
        <v>0.64614077307626916</v>
      </c>
      <c r="BR583" s="714">
        <f>N583-BP585</f>
        <v>16.639999999999986</v>
      </c>
      <c r="BS583" s="693">
        <f>BP587-BP588</f>
        <v>66.88</v>
      </c>
      <c r="BT583" s="693">
        <f t="shared" si="540"/>
        <v>24.880382775119596</v>
      </c>
      <c r="BU583" s="668">
        <f t="shared" si="541"/>
        <v>16.076229760749268</v>
      </c>
      <c r="BV583" s="650">
        <v>9000</v>
      </c>
      <c r="BW583" s="620">
        <v>103.50685607036536</v>
      </c>
      <c r="BX583" s="720">
        <f>(BW587-BW588)/BW569</f>
        <v>0.79579269554862875</v>
      </c>
      <c r="BY583" s="714">
        <f>S583-BW585</f>
        <v>15.000000000000057</v>
      </c>
      <c r="BZ583" s="693">
        <f>BW587-BW588</f>
        <v>82.36999999999999</v>
      </c>
      <c r="CA583" s="693">
        <f t="shared" si="542"/>
        <v>18.210513536481802</v>
      </c>
      <c r="CB583" s="668">
        <f t="shared" si="543"/>
        <v>14.491793654521645</v>
      </c>
    </row>
    <row r="584" spans="1:80" ht="15.75">
      <c r="A584" s="564"/>
      <c r="B584" s="599" t="s">
        <v>116</v>
      </c>
      <c r="C584" s="605">
        <v>10000</v>
      </c>
      <c r="D584" s="623">
        <v>361.31</v>
      </c>
      <c r="E584" s="752">
        <v>25.59</v>
      </c>
      <c r="F584" s="752">
        <v>26.48</v>
      </c>
      <c r="G584" s="753">
        <v>24.96</v>
      </c>
      <c r="H584" s="605">
        <v>10000</v>
      </c>
      <c r="I584" s="623">
        <v>390.47</v>
      </c>
      <c r="J584" s="623">
        <v>17.5</v>
      </c>
      <c r="K584" s="758">
        <v>17.100000000000001</v>
      </c>
      <c r="L584" s="624">
        <v>19.66</v>
      </c>
      <c r="M584" s="605">
        <v>10000</v>
      </c>
      <c r="N584" s="639">
        <v>377.45</v>
      </c>
      <c r="O584" s="639">
        <v>24.73</v>
      </c>
      <c r="P584" s="562">
        <v>21.75</v>
      </c>
      <c r="Q584" s="588">
        <v>22.16</v>
      </c>
      <c r="R584" s="605">
        <v>10000</v>
      </c>
      <c r="S584" s="658">
        <v>384.07</v>
      </c>
      <c r="T584" s="658">
        <v>22.2</v>
      </c>
      <c r="U584" s="658">
        <v>21.66</v>
      </c>
      <c r="V584" s="659">
        <v>21.88</v>
      </c>
      <c r="W584" s="564"/>
      <c r="X584" s="660">
        <v>10000</v>
      </c>
      <c r="Y584" s="608">
        <f t="shared" ref="Y584" si="547">AVERAGE(E584:G584)/10</f>
        <v>2.5676666666666668</v>
      </c>
      <c r="Z584" s="609">
        <v>9.6440000000000001</v>
      </c>
      <c r="AA584" s="609">
        <v>4.5170000000000003</v>
      </c>
      <c r="AB584" s="609">
        <f t="shared" si="521"/>
        <v>2.559333333333333</v>
      </c>
      <c r="AC584" s="609">
        <f t="shared" si="522"/>
        <v>36.016666666666673</v>
      </c>
      <c r="AD584" s="702">
        <f t="shared" si="523"/>
        <v>12886.576046666665</v>
      </c>
      <c r="AE584" s="660">
        <v>10000</v>
      </c>
      <c r="AF584" s="609">
        <f t="shared" si="524"/>
        <v>1.8086666666666669</v>
      </c>
      <c r="AG584" s="609">
        <v>9.6440000000000001</v>
      </c>
      <c r="AH584" s="609">
        <v>4.5170000000000003</v>
      </c>
      <c r="AI584" s="609">
        <f t="shared" si="525"/>
        <v>3.3183333333333334</v>
      </c>
      <c r="AJ584" s="609">
        <f t="shared" si="526"/>
        <v>35.257666666666672</v>
      </c>
      <c r="AK584" s="702">
        <f t="shared" si="527"/>
        <v>16356.137339666668</v>
      </c>
      <c r="AL584" s="660">
        <v>10000</v>
      </c>
      <c r="AM584" s="609">
        <f>AVERAGE(O584:Q584)/10</f>
        <v>2.2879999999999998</v>
      </c>
      <c r="AN584" s="609">
        <v>9.6440000000000001</v>
      </c>
      <c r="AO584" s="609">
        <v>4.5170000000000003</v>
      </c>
      <c r="AP584" s="609">
        <f t="shared" si="529"/>
        <v>2.8390000000000004</v>
      </c>
      <c r="AQ584" s="609">
        <f t="shared" si="530"/>
        <v>35.737000000000002</v>
      </c>
      <c r="AR584" s="699">
        <f t="shared" si="531"/>
        <v>14183.736551400001</v>
      </c>
      <c r="AS584" s="660">
        <v>10000</v>
      </c>
      <c r="AT584" s="609">
        <f t="shared" si="545"/>
        <v>2.1913333333333331</v>
      </c>
      <c r="AU584" s="609">
        <v>9.6440000000000001</v>
      </c>
      <c r="AV584" s="609">
        <v>4.5170000000000003</v>
      </c>
      <c r="AW584" s="609">
        <f t="shared" si="533"/>
        <v>2.9356666666666662</v>
      </c>
      <c r="AX584" s="609">
        <f t="shared" si="534"/>
        <v>35.640333333333338</v>
      </c>
      <c r="AY584" s="699">
        <f t="shared" si="535"/>
        <v>14627.013770066666</v>
      </c>
      <c r="AZ584" s="75"/>
      <c r="BA584" s="660">
        <v>10000</v>
      </c>
      <c r="BB584" s="609">
        <v>103.50685607036536</v>
      </c>
      <c r="BC584" s="720">
        <f>(BB587-BB588)/BB569</f>
        <v>0.54421515770613416</v>
      </c>
      <c r="BD584" s="714">
        <f>D584-BB585</f>
        <v>17.149999999999977</v>
      </c>
      <c r="BE584" s="682">
        <f>BB587-BB588</f>
        <v>56.330000000000013</v>
      </c>
      <c r="BF584" s="682">
        <f t="shared" si="536"/>
        <v>30.445588496360681</v>
      </c>
      <c r="BG584" s="683">
        <f t="shared" si="537"/>
        <v>16.568950745002994</v>
      </c>
      <c r="BH584" s="660">
        <v>10000</v>
      </c>
      <c r="BI584" s="609">
        <v>103.50685607036536</v>
      </c>
      <c r="BJ584" s="720">
        <f>(BI587-BI588)/BI569</f>
        <v>0.81965584909974099</v>
      </c>
      <c r="BK584" s="714">
        <f>I584-BI585</f>
        <v>17.730000000000018</v>
      </c>
      <c r="BL584" s="682">
        <f>BI587-BI588</f>
        <v>84.84</v>
      </c>
      <c r="BM584" s="682">
        <f t="shared" si="538"/>
        <v>20.898161244695917</v>
      </c>
      <c r="BN584" s="683">
        <f t="shared" si="539"/>
        <v>17.129300099644531</v>
      </c>
      <c r="BO584" s="660">
        <v>10000</v>
      </c>
      <c r="BP584" s="684">
        <v>103.50685607036536</v>
      </c>
      <c r="BQ584" s="720">
        <f>(BP587-BP588)/BP569</f>
        <v>0.64614077307626916</v>
      </c>
      <c r="BR584" s="714">
        <f>N584-BP585</f>
        <v>16.339999999999975</v>
      </c>
      <c r="BS584" s="682">
        <f>BP587-BP588</f>
        <v>66.88</v>
      </c>
      <c r="BT584" s="682">
        <f t="shared" si="540"/>
        <v>24.431818181818148</v>
      </c>
      <c r="BU584" s="683">
        <f t="shared" si="541"/>
        <v>15.786393887658827</v>
      </c>
      <c r="BV584" s="660">
        <v>10000</v>
      </c>
      <c r="BW584" s="609">
        <v>103.50685607036536</v>
      </c>
      <c r="BX584" s="720">
        <f>(BW587-BW588)/BW569</f>
        <v>0.79579269554862875</v>
      </c>
      <c r="BY584" s="714">
        <f>S584-BW585</f>
        <v>14.270000000000039</v>
      </c>
      <c r="BZ584" s="682">
        <f>BW587-BW588</f>
        <v>82.36999999999999</v>
      </c>
      <c r="CA584" s="682">
        <f t="shared" si="542"/>
        <v>17.324268544373002</v>
      </c>
      <c r="CB584" s="683">
        <f t="shared" si="543"/>
        <v>13.786526363334909</v>
      </c>
    </row>
    <row r="585" spans="1:80" ht="45">
      <c r="A585" s="560"/>
      <c r="B585" s="560"/>
      <c r="C585" s="769"/>
      <c r="D585" s="769"/>
      <c r="E585" s="560"/>
      <c r="F585" s="560"/>
      <c r="G585" s="560"/>
      <c r="H585" s="560"/>
      <c r="I585" s="560"/>
      <c r="J585" s="560"/>
      <c r="K585" s="560"/>
      <c r="L585" s="560"/>
      <c r="M585" s="560"/>
      <c r="N585" s="661"/>
      <c r="O585" s="769"/>
      <c r="P585" s="769"/>
      <c r="Q585" s="769"/>
      <c r="R585" s="560"/>
      <c r="S585" s="661"/>
      <c r="T585" s="560"/>
      <c r="U585" s="560"/>
      <c r="V585" s="560"/>
      <c r="AE585" s="770"/>
      <c r="AF585" s="770"/>
      <c r="AG585" s="770"/>
      <c r="AH585" s="770"/>
      <c r="AI585" s="770"/>
      <c r="AJ585" s="770"/>
      <c r="AK585" s="770"/>
      <c r="AN585" s="770"/>
      <c r="AO585" s="770"/>
      <c r="AZ585" s="791" t="s">
        <v>144</v>
      </c>
      <c r="BA585" s="709" t="s">
        <v>1047</v>
      </c>
      <c r="BB585" s="565">
        <f>BB586+BB587</f>
        <v>344.16</v>
      </c>
      <c r="BC585" s="769"/>
      <c r="BD585" s="769"/>
      <c r="BE585" s="769"/>
      <c r="BF585" s="769"/>
      <c r="BG585" s="769"/>
      <c r="BH585" s="709" t="s">
        <v>1047</v>
      </c>
      <c r="BI585" s="719">
        <f>BI586+BI587</f>
        <v>372.74</v>
      </c>
      <c r="BJ585" s="769"/>
      <c r="BK585" s="569"/>
      <c r="BL585" s="569"/>
      <c r="BM585" s="569"/>
      <c r="BN585" s="569"/>
      <c r="BO585" s="709" t="s">
        <v>1047</v>
      </c>
      <c r="BP585" s="697">
        <f>BP586+BP587</f>
        <v>361.11</v>
      </c>
      <c r="BQ585" s="560"/>
      <c r="BR585" s="769"/>
      <c r="BS585" s="769"/>
      <c r="BT585" s="769"/>
      <c r="BU585" s="769"/>
      <c r="BV585" s="709" t="s">
        <v>1047</v>
      </c>
      <c r="BW585" s="697">
        <f>BW586+BW587</f>
        <v>369.79999999999995</v>
      </c>
      <c r="BX585" s="560"/>
      <c r="BY585" s="560"/>
      <c r="BZ585" s="560"/>
      <c r="CA585" s="560"/>
      <c r="CB585" s="560"/>
    </row>
    <row r="586" spans="1:80">
      <c r="A586" s="560"/>
      <c r="B586" s="560"/>
      <c r="C586" s="769"/>
      <c r="D586" s="560"/>
      <c r="E586" s="560"/>
      <c r="F586" s="560"/>
      <c r="G586" s="560"/>
      <c r="H586" s="560"/>
      <c r="I586" s="560"/>
      <c r="J586" s="560"/>
      <c r="K586" s="560"/>
      <c r="L586" s="560"/>
      <c r="M586" s="560"/>
      <c r="N586" s="560"/>
      <c r="O586" s="769"/>
      <c r="P586" s="769"/>
      <c r="Q586" s="769"/>
      <c r="R586" s="560"/>
      <c r="S586" s="560"/>
      <c r="T586" s="560"/>
      <c r="U586" s="560"/>
      <c r="V586" s="560"/>
      <c r="AE586" s="770"/>
      <c r="AF586" s="770"/>
      <c r="AG586" s="770"/>
      <c r="AH586" s="770"/>
      <c r="AI586" s="770"/>
      <c r="AJ586" s="770"/>
      <c r="AK586" s="770"/>
      <c r="AN586" s="770"/>
      <c r="AO586" s="770"/>
      <c r="AZ586" s="791"/>
      <c r="BA586" s="655" t="s">
        <v>1048</v>
      </c>
      <c r="BB586" s="763">
        <v>215.05</v>
      </c>
      <c r="BC586" s="769"/>
      <c r="BD586" s="769"/>
      <c r="BE586" s="769"/>
      <c r="BF586" s="769"/>
      <c r="BG586" s="769"/>
      <c r="BH586" s="655" t="s">
        <v>1048</v>
      </c>
      <c r="BI586" s="764">
        <v>215.03</v>
      </c>
      <c r="BJ586" s="769"/>
      <c r="BK586" s="569"/>
      <c r="BL586" s="569"/>
      <c r="BM586" s="569"/>
      <c r="BN586" s="569"/>
      <c r="BO586" s="655" t="s">
        <v>1048</v>
      </c>
      <c r="BP586" s="765">
        <v>214.89</v>
      </c>
      <c r="BQ586" s="560"/>
      <c r="BR586" s="769"/>
      <c r="BS586" s="769"/>
      <c r="BT586" s="620"/>
      <c r="BU586" s="620"/>
      <c r="BV586" s="655" t="s">
        <v>1048</v>
      </c>
      <c r="BW586" s="765">
        <v>214.64</v>
      </c>
      <c r="BX586" s="560"/>
      <c r="BY586" s="560"/>
      <c r="BZ586" s="560"/>
      <c r="CA586" s="560"/>
      <c r="CB586" s="560"/>
    </row>
    <row r="587" spans="1:80" ht="18.75">
      <c r="A587" s="777"/>
      <c r="B587" s="778"/>
      <c r="C587" s="779"/>
      <c r="D587" s="779"/>
      <c r="E587" s="560"/>
      <c r="F587" s="560"/>
      <c r="G587" s="560"/>
      <c r="H587" s="560"/>
      <c r="I587" s="560"/>
      <c r="J587" s="560"/>
      <c r="K587" s="560"/>
      <c r="L587" s="560"/>
      <c r="M587" s="617"/>
      <c r="N587" s="560"/>
      <c r="O587" s="769"/>
      <c r="P587" s="769"/>
      <c r="Q587" s="769"/>
      <c r="R587" s="560"/>
      <c r="S587" s="560"/>
      <c r="T587" s="560"/>
      <c r="U587" s="560"/>
      <c r="V587" s="560"/>
      <c r="AE587" s="770"/>
      <c r="AF587" s="770"/>
      <c r="AG587" s="770"/>
      <c r="AH587" s="770"/>
      <c r="AI587" s="770"/>
      <c r="AJ587" s="770"/>
      <c r="AK587" s="770"/>
      <c r="AN587" s="770"/>
      <c r="AO587" s="770"/>
      <c r="AZ587" s="791"/>
      <c r="BA587" s="655" t="s">
        <v>1049</v>
      </c>
      <c r="BB587" s="565">
        <v>129.11000000000001</v>
      </c>
      <c r="BC587" s="769"/>
      <c r="BD587" s="769"/>
      <c r="BE587" s="769"/>
      <c r="BF587" s="769"/>
      <c r="BG587" s="769"/>
      <c r="BH587" s="655" t="s">
        <v>1049</v>
      </c>
      <c r="BI587" s="565">
        <v>157.71</v>
      </c>
      <c r="BJ587" s="769"/>
      <c r="BK587" s="569"/>
      <c r="BL587" s="569"/>
      <c r="BM587" s="569"/>
      <c r="BN587" s="569"/>
      <c r="BO587" s="655" t="s">
        <v>1049</v>
      </c>
      <c r="BP587" s="697">
        <v>146.22</v>
      </c>
      <c r="BQ587" s="560"/>
      <c r="BR587" s="769"/>
      <c r="BS587" s="769"/>
      <c r="BT587" s="620"/>
      <c r="BU587" s="620"/>
      <c r="BV587" s="655" t="s">
        <v>1049</v>
      </c>
      <c r="BW587" s="697">
        <v>155.16</v>
      </c>
      <c r="BX587" s="560"/>
      <c r="BY587" s="560"/>
      <c r="BZ587" s="560"/>
      <c r="CA587" s="560"/>
      <c r="CB587" s="560"/>
    </row>
    <row r="588" spans="1:80" ht="18.75">
      <c r="A588" s="800"/>
      <c r="B588" s="800"/>
      <c r="C588" s="800"/>
      <c r="D588" s="800"/>
      <c r="E588" s="560"/>
      <c r="F588" s="560"/>
      <c r="G588" s="560"/>
      <c r="H588" s="560"/>
      <c r="I588" s="560"/>
      <c r="J588" s="560"/>
      <c r="K588" s="560"/>
      <c r="L588" s="560"/>
      <c r="M588" s="617"/>
      <c r="N588" s="560"/>
      <c r="O588" s="769"/>
      <c r="P588" s="769"/>
      <c r="Q588" s="769"/>
      <c r="R588" s="560"/>
      <c r="S588" s="560"/>
      <c r="T588" s="560"/>
      <c r="U588" s="560"/>
      <c r="V588" s="560"/>
      <c r="AE588" s="770"/>
      <c r="AF588" s="770"/>
      <c r="AG588" s="770"/>
      <c r="AH588" s="770"/>
      <c r="AI588" s="770"/>
      <c r="AJ588" s="770"/>
      <c r="AK588" s="770"/>
      <c r="AN588" s="770"/>
      <c r="AO588" s="770"/>
      <c r="AZ588" s="791"/>
      <c r="BA588" s="655" t="s">
        <v>1050</v>
      </c>
      <c r="BB588" s="569">
        <v>72.78</v>
      </c>
      <c r="BC588" s="769"/>
      <c r="BD588" s="560"/>
      <c r="BE588" s="560"/>
      <c r="BF588" s="560"/>
      <c r="BG588" s="560"/>
      <c r="BH588" s="655" t="s">
        <v>1050</v>
      </c>
      <c r="BI588" s="569">
        <v>72.87</v>
      </c>
      <c r="BJ588" s="769"/>
      <c r="BK588" s="560"/>
      <c r="BL588" s="560"/>
      <c r="BM588" s="560"/>
      <c r="BN588" s="560"/>
      <c r="BO588" s="655" t="s">
        <v>1050</v>
      </c>
      <c r="BP588" s="769">
        <v>79.34</v>
      </c>
      <c r="BQ588" s="560"/>
      <c r="BR588" s="560"/>
      <c r="BS588" s="560"/>
      <c r="BT588" s="560"/>
      <c r="BU588" s="560"/>
      <c r="BV588" s="655" t="s">
        <v>1050</v>
      </c>
      <c r="BW588" s="769">
        <v>72.790000000000006</v>
      </c>
      <c r="BX588" s="560"/>
      <c r="BY588" s="560"/>
      <c r="BZ588" s="560"/>
      <c r="CA588" s="560"/>
      <c r="CB588" s="560"/>
    </row>
    <row r="589" spans="1:80" ht="18.75">
      <c r="A589" s="557" t="s">
        <v>1072</v>
      </c>
      <c r="B589" s="558"/>
      <c r="C589" s="639"/>
      <c r="D589" s="639"/>
      <c r="E589" s="562"/>
      <c r="F589" s="639"/>
      <c r="G589" s="560"/>
      <c r="H589" s="560"/>
      <c r="I589" s="560"/>
      <c r="J589" s="560"/>
      <c r="K589" s="560"/>
      <c r="L589" s="560"/>
      <c r="M589" s="560"/>
      <c r="N589" s="560"/>
      <c r="O589" s="769"/>
      <c r="P589" s="769"/>
      <c r="Q589" s="769"/>
      <c r="R589" s="560"/>
      <c r="S589" s="560"/>
      <c r="T589" s="560"/>
      <c r="U589" s="560"/>
      <c r="V589" s="560"/>
      <c r="W589" s="560"/>
      <c r="X589" s="560"/>
      <c r="Y589" s="560"/>
      <c r="Z589" s="560"/>
      <c r="AA589" s="560"/>
      <c r="AB589" s="560"/>
      <c r="AC589" s="560"/>
      <c r="AD589" s="560"/>
      <c r="AE589" s="769"/>
      <c r="AF589" s="769"/>
      <c r="AG589" s="769"/>
      <c r="AH589" s="769"/>
      <c r="AI589" s="769"/>
      <c r="AJ589" s="769"/>
      <c r="AK589" s="769"/>
      <c r="AL589" s="560"/>
      <c r="AM589" s="560"/>
      <c r="AN589" s="769"/>
      <c r="AO589" s="769"/>
      <c r="AP589" s="560"/>
      <c r="AQ589" s="560"/>
      <c r="AR589" s="560"/>
      <c r="AS589" s="560"/>
      <c r="AT589" s="560"/>
      <c r="AU589" s="560"/>
      <c r="AV589" s="560"/>
      <c r="AW589" s="560"/>
      <c r="AX589" s="560"/>
      <c r="AY589" s="560"/>
      <c r="AZ589" s="770"/>
      <c r="BA589" s="560"/>
      <c r="BB589" s="560"/>
      <c r="BC589" s="769"/>
      <c r="BD589" s="560"/>
      <c r="BE589" s="560"/>
      <c r="BF589" s="560"/>
      <c r="BG589" s="560"/>
      <c r="BH589" s="560"/>
      <c r="BI589" s="560"/>
      <c r="BJ589" s="769"/>
      <c r="BK589" s="560"/>
      <c r="BL589" s="560"/>
      <c r="BM589" s="560"/>
      <c r="BN589" s="560"/>
      <c r="BO589" s="560"/>
      <c r="BP589" s="560"/>
      <c r="BQ589" s="560"/>
      <c r="BR589" s="560"/>
      <c r="BS589" s="560"/>
      <c r="BT589" s="560"/>
      <c r="BU589" s="560"/>
      <c r="BV589" s="560"/>
      <c r="BW589" s="560"/>
      <c r="BX589" s="560"/>
      <c r="BY589" s="560"/>
      <c r="BZ589" s="560"/>
      <c r="CA589" s="560"/>
      <c r="CB589" s="560"/>
    </row>
    <row r="590" spans="1:80" ht="18.75">
      <c r="A590" s="792" t="s">
        <v>1073</v>
      </c>
      <c r="B590" s="792"/>
      <c r="C590" s="792"/>
      <c r="D590" s="792"/>
      <c r="E590" s="613"/>
      <c r="F590" s="613"/>
      <c r="G590" s="613"/>
      <c r="H590" s="613"/>
      <c r="I590" s="613"/>
      <c r="J590" s="613"/>
      <c r="K590" s="613"/>
      <c r="L590" s="613"/>
      <c r="M590" s="613"/>
      <c r="N590" s="613"/>
      <c r="O590" s="614"/>
      <c r="P590" s="614"/>
      <c r="Q590" s="614"/>
      <c r="R590" s="613"/>
      <c r="S590" s="613"/>
      <c r="T590" s="613"/>
      <c r="U590" s="613"/>
      <c r="V590" s="613"/>
      <c r="W590" s="613"/>
      <c r="X590" s="613"/>
      <c r="Y590" s="613"/>
      <c r="Z590" s="613"/>
      <c r="AA590" s="613"/>
      <c r="AB590" s="613"/>
      <c r="AC590" s="613"/>
      <c r="AD590" s="613"/>
      <c r="AE590" s="614"/>
      <c r="AF590" s="614"/>
      <c r="AG590" s="614"/>
      <c r="AH590" s="614"/>
      <c r="AI590" s="614"/>
      <c r="AJ590" s="614"/>
      <c r="AK590" s="614"/>
      <c r="AL590" s="613"/>
      <c r="AM590" s="613"/>
      <c r="AN590" s="614"/>
      <c r="AO590" s="614"/>
      <c r="AP590" s="613"/>
      <c r="AQ590" s="613"/>
      <c r="AR590" s="613"/>
      <c r="AS590" s="613"/>
      <c r="AT590" s="613"/>
      <c r="AU590" s="613"/>
      <c r="AV590" s="613"/>
      <c r="AW590" s="613"/>
      <c r="AX590" s="613"/>
      <c r="AY590" s="613"/>
      <c r="AZ590" s="89"/>
      <c r="BA590" s="613"/>
      <c r="BB590" s="613"/>
      <c r="BC590" s="614"/>
      <c r="BD590" s="613"/>
      <c r="BE590" s="613"/>
      <c r="BF590" s="613"/>
      <c r="BG590" s="613"/>
      <c r="BH590" s="613"/>
      <c r="BI590" s="613"/>
      <c r="BJ590" s="614"/>
      <c r="BK590" s="613"/>
      <c r="BL590" s="613"/>
      <c r="BM590" s="613"/>
      <c r="BN590" s="613"/>
      <c r="BO590" s="613"/>
      <c r="BP590" s="613"/>
      <c r="BQ590" s="613"/>
      <c r="BR590" s="613"/>
      <c r="BS590" s="613"/>
      <c r="BT590" s="613"/>
      <c r="BU590" s="613"/>
      <c r="BV590" s="613"/>
      <c r="BW590" s="613"/>
      <c r="BX590" s="613"/>
      <c r="BY590" s="613"/>
      <c r="BZ590" s="613"/>
      <c r="CA590" s="613"/>
      <c r="CB590" s="613"/>
    </row>
    <row r="591" spans="1:80">
      <c r="A591" s="560"/>
      <c r="B591" s="560"/>
      <c r="C591" s="769"/>
      <c r="D591" s="560"/>
      <c r="E591" s="560"/>
      <c r="F591" s="560"/>
      <c r="G591" s="560"/>
      <c r="H591" s="560"/>
      <c r="I591" s="560"/>
      <c r="J591" s="560"/>
      <c r="K591" s="560"/>
      <c r="L591" s="560"/>
      <c r="M591" s="560"/>
      <c r="N591" s="560"/>
      <c r="O591" s="769"/>
      <c r="P591" s="769"/>
      <c r="Q591" s="769"/>
      <c r="R591" s="560"/>
      <c r="S591" s="560"/>
      <c r="T591" s="560"/>
      <c r="U591" s="560"/>
      <c r="V591" s="560"/>
      <c r="W591" s="560"/>
      <c r="X591" s="560"/>
      <c r="Y591" s="560"/>
      <c r="Z591" s="560"/>
      <c r="AA591" s="560"/>
      <c r="AB591" s="560"/>
      <c r="AC591" s="560"/>
      <c r="AD591" s="560"/>
      <c r="AE591" s="769"/>
      <c r="AF591" s="769"/>
      <c r="AG591" s="769"/>
      <c r="AH591" s="769"/>
      <c r="AI591" s="769"/>
      <c r="AJ591" s="769"/>
      <c r="AK591" s="769"/>
      <c r="AL591" s="560"/>
      <c r="AM591" s="560"/>
      <c r="AN591" s="769"/>
      <c r="AO591" s="769"/>
      <c r="AP591" s="560"/>
      <c r="AQ591" s="560"/>
      <c r="AR591" s="560"/>
      <c r="AS591" s="560"/>
      <c r="AT591" s="560"/>
      <c r="AU591" s="560"/>
      <c r="AV591" s="560"/>
      <c r="AW591" s="560"/>
      <c r="AX591" s="560"/>
      <c r="AY591" s="560"/>
      <c r="AZ591" s="770"/>
      <c r="BA591" s="560"/>
      <c r="BB591" s="560"/>
      <c r="BC591" s="769"/>
      <c r="BD591" s="560"/>
      <c r="BE591" s="560"/>
      <c r="BF591" s="560"/>
      <c r="BG591" s="560"/>
      <c r="BH591" s="560"/>
      <c r="BI591" s="560"/>
      <c r="BJ591" s="769"/>
      <c r="BK591" s="560"/>
      <c r="BL591" s="560"/>
      <c r="BM591" s="560"/>
      <c r="BN591" s="560"/>
      <c r="BO591" s="560"/>
      <c r="BP591" s="560"/>
      <c r="BQ591" s="560"/>
      <c r="BR591" s="560"/>
      <c r="BS591" s="560"/>
      <c r="BT591" s="560"/>
      <c r="BU591" s="560"/>
      <c r="BV591" s="560"/>
      <c r="BW591" s="560"/>
      <c r="BX591" s="560"/>
      <c r="BY591" s="560"/>
      <c r="BZ591" s="560"/>
      <c r="CA591" s="560"/>
      <c r="CB591" s="560"/>
    </row>
    <row r="592" spans="1:80" ht="30">
      <c r="A592" s="565" t="s">
        <v>134</v>
      </c>
      <c r="B592" s="640" t="s">
        <v>124</v>
      </c>
      <c r="C592" s="641" t="s">
        <v>119</v>
      </c>
      <c r="D592" s="642" t="s">
        <v>111</v>
      </c>
      <c r="E592" s="793" t="s">
        <v>1063</v>
      </c>
      <c r="F592" s="569"/>
      <c r="G592" s="570"/>
      <c r="H592" s="640" t="s">
        <v>124</v>
      </c>
      <c r="I592" s="642" t="s">
        <v>119</v>
      </c>
      <c r="J592" s="642" t="s">
        <v>111</v>
      </c>
      <c r="K592" s="793" t="s">
        <v>1063</v>
      </c>
      <c r="L592" s="569"/>
      <c r="M592" s="571" t="s">
        <v>124</v>
      </c>
      <c r="N592" s="642" t="s">
        <v>119</v>
      </c>
      <c r="O592" s="641" t="s">
        <v>111</v>
      </c>
      <c r="P592" s="793" t="s">
        <v>1063</v>
      </c>
      <c r="Q592" s="769"/>
      <c r="R592" s="571" t="s">
        <v>124</v>
      </c>
      <c r="S592" s="642" t="s">
        <v>119</v>
      </c>
      <c r="T592" s="642" t="s">
        <v>111</v>
      </c>
      <c r="U592" s="793" t="s">
        <v>1063</v>
      </c>
      <c r="V592" s="569"/>
      <c r="W592" s="565" t="s">
        <v>133</v>
      </c>
      <c r="X592" s="641" t="s">
        <v>119</v>
      </c>
      <c r="Y592" s="642" t="s">
        <v>111</v>
      </c>
      <c r="Z592" s="642" t="s">
        <v>111</v>
      </c>
      <c r="AA592" s="569"/>
      <c r="AB592" s="569"/>
      <c r="AC592" s="569"/>
      <c r="AD592" s="570"/>
      <c r="AE592" s="640" t="s">
        <v>124</v>
      </c>
      <c r="AF592" s="642" t="s">
        <v>119</v>
      </c>
      <c r="AG592" s="642" t="s">
        <v>111</v>
      </c>
      <c r="AH592" s="569"/>
      <c r="AI592" s="569"/>
      <c r="AJ592" s="569"/>
      <c r="AK592" s="570"/>
      <c r="AL592" s="571" t="s">
        <v>124</v>
      </c>
      <c r="AM592" s="642" t="s">
        <v>119</v>
      </c>
      <c r="AN592" s="641" t="s">
        <v>111</v>
      </c>
      <c r="AO592" s="569"/>
      <c r="AP592" s="569"/>
      <c r="AQ592" s="569"/>
      <c r="AR592" s="700"/>
      <c r="AS592" s="571" t="s">
        <v>124</v>
      </c>
      <c r="AT592" s="642" t="s">
        <v>119</v>
      </c>
      <c r="AU592" s="642" t="s">
        <v>111</v>
      </c>
      <c r="AV592" s="569"/>
      <c r="AW592" s="569"/>
      <c r="AX592" s="569"/>
      <c r="AY592" s="700"/>
      <c r="AZ592" s="447" t="s">
        <v>141</v>
      </c>
      <c r="BA592" s="641" t="s">
        <v>119</v>
      </c>
      <c r="BB592" s="642" t="s">
        <v>111</v>
      </c>
      <c r="BC592" s="642" t="s">
        <v>111</v>
      </c>
      <c r="BD592" s="569"/>
      <c r="BE592" s="569"/>
      <c r="BF592" s="569"/>
      <c r="BG592" s="569"/>
      <c r="BH592" s="640" t="s">
        <v>124</v>
      </c>
      <c r="BI592" s="642" t="s">
        <v>119</v>
      </c>
      <c r="BJ592" s="642" t="s">
        <v>111</v>
      </c>
      <c r="BK592" s="569"/>
      <c r="BL592" s="569"/>
      <c r="BM592" s="569"/>
      <c r="BN592" s="569"/>
      <c r="BO592" s="571" t="s">
        <v>124</v>
      </c>
      <c r="BP592" s="642" t="s">
        <v>119</v>
      </c>
      <c r="BQ592" s="641" t="s">
        <v>111</v>
      </c>
      <c r="BR592" s="560"/>
      <c r="BS592" s="569"/>
      <c r="BT592" s="569"/>
      <c r="BU592" s="569"/>
      <c r="BV592" s="571" t="s">
        <v>124</v>
      </c>
      <c r="BW592" s="642" t="s">
        <v>119</v>
      </c>
      <c r="BX592" s="642" t="s">
        <v>111</v>
      </c>
      <c r="BY592" s="769"/>
      <c r="BZ592" s="769"/>
      <c r="CA592" s="769"/>
      <c r="CB592" s="570"/>
    </row>
    <row r="593" spans="1:80">
      <c r="A593" s="565"/>
      <c r="B593" s="572"/>
      <c r="C593" s="573" t="s">
        <v>1078</v>
      </c>
      <c r="D593" s="574" t="s">
        <v>112</v>
      </c>
      <c r="E593" s="794"/>
      <c r="F593" s="740">
        <v>146.19999999999999</v>
      </c>
      <c r="G593" s="570"/>
      <c r="H593" s="572"/>
      <c r="I593" s="573" t="s">
        <v>1078</v>
      </c>
      <c r="J593" s="574" t="s">
        <v>114</v>
      </c>
      <c r="K593" s="794"/>
      <c r="L593" s="740">
        <v>180.67</v>
      </c>
      <c r="M593" s="572"/>
      <c r="N593" s="573" t="s">
        <v>1079</v>
      </c>
      <c r="O593" s="645" t="s">
        <v>112</v>
      </c>
      <c r="P593" s="794"/>
      <c r="Q593" s="740">
        <v>192.63</v>
      </c>
      <c r="R593" s="572"/>
      <c r="S593" s="573" t="s">
        <v>1079</v>
      </c>
      <c r="T593" s="574" t="s">
        <v>114</v>
      </c>
      <c r="U593" s="794"/>
      <c r="V593" s="740">
        <v>159.72</v>
      </c>
      <c r="W593" s="647"/>
      <c r="X593" s="573" t="s">
        <v>1078</v>
      </c>
      <c r="Y593" s="574" t="s">
        <v>112</v>
      </c>
      <c r="Z593" s="574" t="s">
        <v>112</v>
      </c>
      <c r="AA593" s="569"/>
      <c r="AB593" s="569"/>
      <c r="AC593" s="569"/>
      <c r="AD593" s="570"/>
      <c r="AE593" s="572"/>
      <c r="AF593" s="573" t="s">
        <v>1078</v>
      </c>
      <c r="AG593" s="574" t="s">
        <v>114</v>
      </c>
      <c r="AH593" s="569"/>
      <c r="AI593" s="569"/>
      <c r="AJ593" s="569"/>
      <c r="AK593" s="570"/>
      <c r="AL593" s="572"/>
      <c r="AM593" s="573" t="s">
        <v>1079</v>
      </c>
      <c r="AN593" s="645" t="s">
        <v>112</v>
      </c>
      <c r="AO593" s="569"/>
      <c r="AP593" s="569"/>
      <c r="AQ593" s="569"/>
      <c r="AR593" s="700"/>
      <c r="AS593" s="572"/>
      <c r="AT593" s="573" t="s">
        <v>1079</v>
      </c>
      <c r="AU593" s="574" t="s">
        <v>114</v>
      </c>
      <c r="AV593" s="795"/>
      <c r="AW593" s="795"/>
      <c r="AX593" s="569"/>
      <c r="AY593" s="700"/>
      <c r="AZ593" s="80"/>
      <c r="BA593" s="573" t="s">
        <v>1078</v>
      </c>
      <c r="BB593" s="574" t="s">
        <v>112</v>
      </c>
      <c r="BC593" s="574" t="s">
        <v>112</v>
      </c>
      <c r="BD593" s="569"/>
      <c r="BE593" s="569"/>
      <c r="BF593" s="569"/>
      <c r="BG593" s="570"/>
      <c r="BH593" s="572"/>
      <c r="BI593" s="573" t="s">
        <v>1078</v>
      </c>
      <c r="BJ593" s="574" t="s">
        <v>114</v>
      </c>
      <c r="BK593" s="569"/>
      <c r="BL593" s="569"/>
      <c r="BM593" s="569"/>
      <c r="BN593" s="570"/>
      <c r="BO593" s="572"/>
      <c r="BP593" s="573" t="s">
        <v>1079</v>
      </c>
      <c r="BQ593" s="645" t="s">
        <v>112</v>
      </c>
      <c r="BR593" s="569"/>
      <c r="BS593" s="569"/>
      <c r="BT593" s="569"/>
      <c r="BU593" s="700"/>
      <c r="BV593" s="572"/>
      <c r="BW593" s="573" t="s">
        <v>1079</v>
      </c>
      <c r="BX593" s="574" t="s">
        <v>114</v>
      </c>
      <c r="BY593" s="795"/>
      <c r="BZ593" s="795"/>
      <c r="CA593" s="569"/>
      <c r="CB593" s="700"/>
    </row>
    <row r="594" spans="1:80" ht="63">
      <c r="A594" s="564"/>
      <c r="B594" s="579" t="s">
        <v>122</v>
      </c>
      <c r="C594" s="582" t="s">
        <v>121</v>
      </c>
      <c r="D594" s="768" t="s">
        <v>125</v>
      </c>
      <c r="E594" s="796" t="s">
        <v>1013</v>
      </c>
      <c r="F594" s="796"/>
      <c r="G594" s="797"/>
      <c r="H594" s="582" t="s">
        <v>121</v>
      </c>
      <c r="I594" s="768" t="s">
        <v>125</v>
      </c>
      <c r="J594" s="796" t="s">
        <v>1013</v>
      </c>
      <c r="K594" s="796"/>
      <c r="L594" s="797"/>
      <c r="M594" s="582" t="s">
        <v>121</v>
      </c>
      <c r="N594" s="768" t="s">
        <v>125</v>
      </c>
      <c r="O594" s="798" t="s">
        <v>1013</v>
      </c>
      <c r="P594" s="798"/>
      <c r="Q594" s="799"/>
      <c r="R594" s="582" t="s">
        <v>121</v>
      </c>
      <c r="S594" s="768" t="s">
        <v>125</v>
      </c>
      <c r="T594" s="798" t="s">
        <v>1013</v>
      </c>
      <c r="U594" s="798"/>
      <c r="V594" s="799"/>
      <c r="W594" s="564"/>
      <c r="X594" s="582" t="s">
        <v>121</v>
      </c>
      <c r="Y594" s="584" t="s">
        <v>126</v>
      </c>
      <c r="Z594" s="583" t="s">
        <v>127</v>
      </c>
      <c r="AA594" s="583" t="s">
        <v>128</v>
      </c>
      <c r="AB594" s="583" t="s">
        <v>129</v>
      </c>
      <c r="AC594" s="583" t="s">
        <v>130</v>
      </c>
      <c r="AD594" s="701" t="s">
        <v>131</v>
      </c>
      <c r="AE594" s="582" t="s">
        <v>121</v>
      </c>
      <c r="AF594" s="583" t="s">
        <v>126</v>
      </c>
      <c r="AG594" s="583" t="s">
        <v>127</v>
      </c>
      <c r="AH594" s="583" t="s">
        <v>128</v>
      </c>
      <c r="AI594" s="583" t="s">
        <v>129</v>
      </c>
      <c r="AJ594" s="583" t="s">
        <v>130</v>
      </c>
      <c r="AK594" s="701" t="s">
        <v>131</v>
      </c>
      <c r="AL594" s="582" t="s">
        <v>121</v>
      </c>
      <c r="AM594" s="583" t="s">
        <v>126</v>
      </c>
      <c r="AN594" s="583" t="s">
        <v>127</v>
      </c>
      <c r="AO594" s="583" t="s">
        <v>128</v>
      </c>
      <c r="AP594" s="583" t="s">
        <v>129</v>
      </c>
      <c r="AQ594" s="583" t="s">
        <v>130</v>
      </c>
      <c r="AR594" s="696" t="s">
        <v>131</v>
      </c>
      <c r="AS594" s="582" t="s">
        <v>121</v>
      </c>
      <c r="AT594" s="583" t="s">
        <v>126</v>
      </c>
      <c r="AU594" s="695" t="s">
        <v>127</v>
      </c>
      <c r="AV594" s="695" t="s">
        <v>128</v>
      </c>
      <c r="AW594" s="583" t="s">
        <v>129</v>
      </c>
      <c r="AX594" s="583" t="s">
        <v>130</v>
      </c>
      <c r="AY594" s="696" t="s">
        <v>131</v>
      </c>
      <c r="AZ594" s="75"/>
      <c r="BA594" s="648" t="s">
        <v>121</v>
      </c>
      <c r="BB594" s="583" t="s">
        <v>143</v>
      </c>
      <c r="BC594" s="583" t="s">
        <v>888</v>
      </c>
      <c r="BD594" s="583" t="s">
        <v>1045</v>
      </c>
      <c r="BE594" s="583" t="s">
        <v>1044</v>
      </c>
      <c r="BF594" s="666" t="s">
        <v>1051</v>
      </c>
      <c r="BG594" s="666" t="s">
        <v>1052</v>
      </c>
      <c r="BH594" s="648" t="s">
        <v>121</v>
      </c>
      <c r="BI594" s="583" t="s">
        <v>143</v>
      </c>
      <c r="BJ594" s="583" t="s">
        <v>888</v>
      </c>
      <c r="BK594" s="583" t="s">
        <v>1045</v>
      </c>
      <c r="BL594" s="583" t="s">
        <v>1044</v>
      </c>
      <c r="BM594" s="666" t="s">
        <v>1051</v>
      </c>
      <c r="BN594" s="666" t="s">
        <v>1052</v>
      </c>
      <c r="BO594" s="648" t="s">
        <v>121</v>
      </c>
      <c r="BP594" s="583" t="s">
        <v>143</v>
      </c>
      <c r="BQ594" s="583" t="s">
        <v>888</v>
      </c>
      <c r="BR594" s="583" t="s">
        <v>1045</v>
      </c>
      <c r="BS594" s="583" t="s">
        <v>1044</v>
      </c>
      <c r="BT594" s="666" t="s">
        <v>1051</v>
      </c>
      <c r="BU594" s="666" t="s">
        <v>1052</v>
      </c>
      <c r="BV594" s="648" t="s">
        <v>121</v>
      </c>
      <c r="BW594" s="583" t="s">
        <v>143</v>
      </c>
      <c r="BX594" s="583" t="s">
        <v>888</v>
      </c>
      <c r="BY594" s="583" t="s">
        <v>1045</v>
      </c>
      <c r="BZ594" s="583" t="s">
        <v>1044</v>
      </c>
      <c r="CA594" s="666" t="s">
        <v>1051</v>
      </c>
      <c r="CB594" s="666" t="s">
        <v>1052</v>
      </c>
    </row>
    <row r="595" spans="1:80" ht="15.75">
      <c r="A595" s="564"/>
      <c r="B595" s="585" t="s">
        <v>120</v>
      </c>
      <c r="C595" s="769">
        <v>0</v>
      </c>
      <c r="D595" s="748">
        <v>416.75</v>
      </c>
      <c r="E595" s="23">
        <v>2.04</v>
      </c>
      <c r="F595" s="23">
        <v>4.18</v>
      </c>
      <c r="G595" s="749">
        <v>3.4</v>
      </c>
      <c r="H595" s="769">
        <v>0</v>
      </c>
      <c r="I595" s="23">
        <v>426.36</v>
      </c>
      <c r="J595" s="42">
        <v>0</v>
      </c>
      <c r="K595" s="42">
        <v>0</v>
      </c>
      <c r="L595" s="754">
        <v>0</v>
      </c>
      <c r="M595" s="769">
        <v>0</v>
      </c>
      <c r="N595" s="747">
        <v>413.41</v>
      </c>
      <c r="O595" s="260">
        <v>2.4700000000000002</v>
      </c>
      <c r="P595" s="260">
        <v>1.2</v>
      </c>
      <c r="Q595" s="94">
        <v>1.58</v>
      </c>
      <c r="R595" s="769">
        <v>0</v>
      </c>
      <c r="S595" s="649">
        <v>437.4</v>
      </c>
      <c r="T595" s="260">
        <v>0</v>
      </c>
      <c r="U595" s="260">
        <v>0</v>
      </c>
      <c r="V595" s="94">
        <v>0</v>
      </c>
      <c r="W595" s="564"/>
      <c r="X595" s="650">
        <v>0</v>
      </c>
      <c r="Y595" s="651">
        <f t="shared" ref="Y595:Y608" si="548">AVERAGE(E595:G595)/10</f>
        <v>0.32066666666666666</v>
      </c>
      <c r="Z595" s="620">
        <v>9.6440000000000001</v>
      </c>
      <c r="AA595" s="620">
        <v>4.5170000000000003</v>
      </c>
      <c r="AB595" s="620">
        <f t="shared" ref="AB595:AB610" si="549">Z595-(AA595+Y595)</f>
        <v>4.8063333333333329</v>
      </c>
      <c r="AC595" s="620">
        <f t="shared" ref="AC595:AC610" si="550">3*Z595+AA595+Y595</f>
        <v>33.769666666666673</v>
      </c>
      <c r="AD595" s="653">
        <f t="shared" ref="AD595:AD610" si="551">1.398*(10^-6)*(X595^2)*AB595*AC595</f>
        <v>0</v>
      </c>
      <c r="AE595" s="650">
        <v>0</v>
      </c>
      <c r="AF595" s="620">
        <f t="shared" ref="AF595:AF610" si="552">AVERAGE(J595:L595)/10</f>
        <v>0</v>
      </c>
      <c r="AG595" s="620">
        <v>9.6440000000000001</v>
      </c>
      <c r="AH595" s="620">
        <v>4.5170000000000003</v>
      </c>
      <c r="AI595" s="620">
        <f t="shared" ref="AI595:AI610" si="553">AG595-(AH595+AF595)</f>
        <v>5.1269999999999998</v>
      </c>
      <c r="AJ595" s="620">
        <f t="shared" ref="AJ595:AJ610" si="554">3*AG595+AH595+AF595</f>
        <v>33.449000000000005</v>
      </c>
      <c r="AK595" s="653">
        <f t="shared" ref="AK595:AK610" si="555">1.398*(10^-6)*(AE595^2)*AI595*AJ595</f>
        <v>0</v>
      </c>
      <c r="AL595" s="650">
        <v>0</v>
      </c>
      <c r="AM595" s="620">
        <f t="shared" ref="AM595:AM603" si="556">AVERAGE(O595:Q595)/10</f>
        <v>0.17499999999999999</v>
      </c>
      <c r="AN595" s="620">
        <v>9.6440000000000001</v>
      </c>
      <c r="AO595" s="620">
        <v>4.5170000000000003</v>
      </c>
      <c r="AP595" s="620">
        <f t="shared" ref="AP595:AP610" si="557">AN595-(AO595+AM595)</f>
        <v>4.952</v>
      </c>
      <c r="AQ595" s="620">
        <f t="shared" ref="AQ595:AQ610" si="558">3*AN595+AO595+AM595</f>
        <v>33.624000000000002</v>
      </c>
      <c r="AR595" s="698">
        <f t="shared" ref="AR595:AR610" si="559">1.398*(10^-6)*(AL595^2)*AP595*AQ595</f>
        <v>0</v>
      </c>
      <c r="AS595" s="650">
        <v>0</v>
      </c>
      <c r="AT595" s="620">
        <f t="shared" ref="AT595" si="560">AVERAGE(T595:V595)/10</f>
        <v>0</v>
      </c>
      <c r="AU595" s="620">
        <v>9.6440000000000001</v>
      </c>
      <c r="AV595" s="620">
        <v>4.5170000000000003</v>
      </c>
      <c r="AW595" s="620">
        <f t="shared" ref="AW595:AW610" si="561">AU595-(AV595+AT595)</f>
        <v>5.1269999999999998</v>
      </c>
      <c r="AX595" s="620">
        <f t="shared" ref="AX595:AX610" si="562">3*AU595+AV595+AT595</f>
        <v>33.449000000000005</v>
      </c>
      <c r="AY595" s="698">
        <f t="shared" ref="AY595:AY610" si="563">1.398*(10^-6)*(AS595^2)*AW595*AX595</f>
        <v>0</v>
      </c>
      <c r="AZ595" s="75"/>
      <c r="BA595" s="650">
        <v>0</v>
      </c>
      <c r="BB595" s="620">
        <v>103.50685607036536</v>
      </c>
      <c r="BC595" s="720">
        <f>(BB613-BB614)/BB595</f>
        <v>0</v>
      </c>
      <c r="BD595" s="714">
        <f>D595-BB611</f>
        <v>201.7</v>
      </c>
      <c r="BE595" s="693">
        <f>BB613-BB614</f>
        <v>0</v>
      </c>
      <c r="BF595" s="693" t="e">
        <f t="shared" ref="BF595:BF610" si="564">BD595/BE595*100</f>
        <v>#DIV/0!</v>
      </c>
      <c r="BG595" s="668" t="e">
        <f t="shared" ref="BG595:BG610" si="565">BF595*BC595</f>
        <v>#DIV/0!</v>
      </c>
      <c r="BH595" s="650">
        <v>0</v>
      </c>
      <c r="BI595" s="620">
        <v>103.50685607036536</v>
      </c>
      <c r="BJ595" s="720">
        <f>(BI613-BI614)/BI595</f>
        <v>0</v>
      </c>
      <c r="BK595" s="714">
        <f>I595-BI611</f>
        <v>211.33</v>
      </c>
      <c r="BL595" s="693">
        <f>BI613-BI614</f>
        <v>0</v>
      </c>
      <c r="BM595" s="693" t="e">
        <f t="shared" ref="BM595:BM610" si="566">BK595/BL595*100</f>
        <v>#DIV/0!</v>
      </c>
      <c r="BN595" s="668" t="e">
        <f t="shared" ref="BN595:BN610" si="567">BM595*BJ595</f>
        <v>#DIV/0!</v>
      </c>
      <c r="BO595" s="650">
        <v>0</v>
      </c>
      <c r="BP595" s="681">
        <v>103.50685607036536</v>
      </c>
      <c r="BQ595" s="720">
        <f>(BP613-BP614)/BP595</f>
        <v>0</v>
      </c>
      <c r="BR595" s="714">
        <f>N595-BP611</f>
        <v>198.52000000000004</v>
      </c>
      <c r="BS595" s="693">
        <f>BP613-BP614</f>
        <v>0</v>
      </c>
      <c r="BT595" s="693" t="e">
        <f t="shared" ref="BT595:BT610" si="568">BR595/BS595*100</f>
        <v>#DIV/0!</v>
      </c>
      <c r="BU595" s="668" t="e">
        <f t="shared" ref="BU595:BU610" si="569">BT595*BQ595</f>
        <v>#DIV/0!</v>
      </c>
      <c r="BV595" s="650">
        <v>0</v>
      </c>
      <c r="BW595" s="620">
        <v>103.50685607036536</v>
      </c>
      <c r="BX595" s="720">
        <f>(BW613-BW614)/BW595</f>
        <v>0</v>
      </c>
      <c r="BY595" s="714">
        <f>S595-BW611</f>
        <v>222.76</v>
      </c>
      <c r="BZ595" s="693">
        <f>BW613-BW614</f>
        <v>0</v>
      </c>
      <c r="CA595" s="693" t="e">
        <f t="shared" ref="CA595:CA610" si="570">BY595/BZ595*100</f>
        <v>#DIV/0!</v>
      </c>
      <c r="CB595" s="668" t="e">
        <f t="shared" ref="CB595:CB610" si="571">CA595*BX595</f>
        <v>#DIV/0!</v>
      </c>
    </row>
    <row r="596" spans="1:80" ht="15.75">
      <c r="A596" s="564"/>
      <c r="B596" s="585" t="s">
        <v>116</v>
      </c>
      <c r="C596" s="769">
        <v>300</v>
      </c>
      <c r="D596" s="748">
        <v>406.23</v>
      </c>
      <c r="E596" s="23">
        <v>6.01</v>
      </c>
      <c r="F596" s="23">
        <v>6.8</v>
      </c>
      <c r="G596" s="749">
        <v>5.97</v>
      </c>
      <c r="H596" s="769">
        <v>300</v>
      </c>
      <c r="I596" s="23">
        <v>412.53</v>
      </c>
      <c r="J596" s="42">
        <v>3.02</v>
      </c>
      <c r="K596" s="42">
        <v>3.27</v>
      </c>
      <c r="L596" s="754">
        <v>2.5499999999999998</v>
      </c>
      <c r="M596" s="769">
        <v>300</v>
      </c>
      <c r="N596" s="649">
        <v>396.26</v>
      </c>
      <c r="O596" s="260">
        <v>5.08</v>
      </c>
      <c r="P596" s="42">
        <v>3.61</v>
      </c>
      <c r="Q596" s="749">
        <v>4.9800000000000004</v>
      </c>
      <c r="R596" s="769">
        <v>300</v>
      </c>
      <c r="S596" s="781">
        <v>437.4</v>
      </c>
      <c r="T596" s="260">
        <v>0.72</v>
      </c>
      <c r="U596" s="260">
        <v>1.03</v>
      </c>
      <c r="V596" s="94">
        <v>0.62</v>
      </c>
      <c r="W596" s="564"/>
      <c r="X596" s="650">
        <v>300</v>
      </c>
      <c r="Y596" s="651">
        <f t="shared" si="548"/>
        <v>0.62599999999999989</v>
      </c>
      <c r="Z596" s="620">
        <v>9.6440000000000001</v>
      </c>
      <c r="AA596" s="620">
        <v>4.5170000000000003</v>
      </c>
      <c r="AB596" s="620">
        <f t="shared" si="549"/>
        <v>4.5009999999999994</v>
      </c>
      <c r="AC596" s="620">
        <f t="shared" si="550"/>
        <v>34.075000000000003</v>
      </c>
      <c r="AD596" s="653">
        <f t="shared" si="551"/>
        <v>19.2972115665</v>
      </c>
      <c r="AE596" s="650">
        <v>300</v>
      </c>
      <c r="AF596" s="620">
        <f t="shared" si="552"/>
        <v>0.29466666666666669</v>
      </c>
      <c r="AG596" s="620">
        <v>9.6440000000000001</v>
      </c>
      <c r="AH596" s="620">
        <v>4.5170000000000003</v>
      </c>
      <c r="AI596" s="620">
        <f t="shared" si="553"/>
        <v>4.8323333333333327</v>
      </c>
      <c r="AJ596" s="620">
        <f t="shared" si="554"/>
        <v>33.74366666666667</v>
      </c>
      <c r="AK596" s="653">
        <f t="shared" si="555"/>
        <v>20.516290381859999</v>
      </c>
      <c r="AL596" s="650">
        <v>300</v>
      </c>
      <c r="AM596" s="620">
        <f t="shared" si="556"/>
        <v>0.45566666666666666</v>
      </c>
      <c r="AN596" s="620">
        <v>9.6440000000000001</v>
      </c>
      <c r="AO596" s="620">
        <v>4.5170000000000003</v>
      </c>
      <c r="AP596" s="620">
        <f t="shared" si="557"/>
        <v>4.6713333333333331</v>
      </c>
      <c r="AQ596" s="620">
        <f t="shared" si="558"/>
        <v>33.904666666666671</v>
      </c>
      <c r="AR596" s="698">
        <f t="shared" si="559"/>
        <v>19.92737154408</v>
      </c>
      <c r="AS596" s="650">
        <v>300</v>
      </c>
      <c r="AT596" s="620">
        <f>AVERAGE(T596:V596)/10</f>
        <v>7.9000000000000001E-2</v>
      </c>
      <c r="AU596" s="620">
        <v>9.6440000000000001</v>
      </c>
      <c r="AV596" s="620">
        <v>4.5170000000000003</v>
      </c>
      <c r="AW596" s="620">
        <f t="shared" si="561"/>
        <v>5.048</v>
      </c>
      <c r="AX596" s="620">
        <f t="shared" si="562"/>
        <v>33.528000000000006</v>
      </c>
      <c r="AY596" s="698">
        <f t="shared" si="563"/>
        <v>21.294952462080001</v>
      </c>
      <c r="AZ596" s="75"/>
      <c r="BA596" s="650">
        <v>300</v>
      </c>
      <c r="BB596" s="620">
        <v>103.50685607036536</v>
      </c>
      <c r="BC596" s="720">
        <f>(BB613-BB614)/BB595</f>
        <v>0</v>
      </c>
      <c r="BD596" s="714">
        <f>D596-BB611</f>
        <v>191.18</v>
      </c>
      <c r="BE596" s="693">
        <f>BB613-BB614</f>
        <v>0</v>
      </c>
      <c r="BF596" s="693" t="e">
        <f t="shared" si="564"/>
        <v>#DIV/0!</v>
      </c>
      <c r="BG596" s="668" t="e">
        <f t="shared" si="565"/>
        <v>#DIV/0!</v>
      </c>
      <c r="BH596" s="650">
        <v>300</v>
      </c>
      <c r="BI596" s="620">
        <v>103.50685607036536</v>
      </c>
      <c r="BJ596" s="720">
        <f>(BI613-BI614)/BI595</f>
        <v>0</v>
      </c>
      <c r="BK596" s="714">
        <f>I596-BI611</f>
        <v>197.49999999999997</v>
      </c>
      <c r="BL596" s="693">
        <f>BI613-BI614</f>
        <v>0</v>
      </c>
      <c r="BM596" s="693" t="e">
        <f t="shared" si="566"/>
        <v>#DIV/0!</v>
      </c>
      <c r="BN596" s="668" t="e">
        <f t="shared" si="567"/>
        <v>#DIV/0!</v>
      </c>
      <c r="BO596" s="650">
        <v>300</v>
      </c>
      <c r="BP596" s="681">
        <v>103.50685607036536</v>
      </c>
      <c r="BQ596" s="720">
        <f>(BP613-BP614)/BP595</f>
        <v>0</v>
      </c>
      <c r="BR596" s="714">
        <f>N596-BP611</f>
        <v>181.37</v>
      </c>
      <c r="BS596" s="693">
        <f>BP613-BP614</f>
        <v>0</v>
      </c>
      <c r="BT596" s="693" t="e">
        <f t="shared" si="568"/>
        <v>#DIV/0!</v>
      </c>
      <c r="BU596" s="668" t="e">
        <f t="shared" si="569"/>
        <v>#DIV/0!</v>
      </c>
      <c r="BV596" s="650">
        <v>300</v>
      </c>
      <c r="BW596" s="620">
        <v>103.50685607036536</v>
      </c>
      <c r="BX596" s="720">
        <f>(BW613-BW614)/BW595</f>
        <v>0</v>
      </c>
      <c r="BY596" s="714">
        <f>S596-BW611</f>
        <v>222.76</v>
      </c>
      <c r="BZ596" s="693">
        <f>BW613-BW614</f>
        <v>0</v>
      </c>
      <c r="CA596" s="693" t="e">
        <f t="shared" si="570"/>
        <v>#DIV/0!</v>
      </c>
      <c r="CB596" s="668" t="e">
        <f t="shared" si="571"/>
        <v>#DIV/0!</v>
      </c>
    </row>
    <row r="597" spans="1:80" ht="15.75">
      <c r="A597" s="564"/>
      <c r="B597" s="585" t="s">
        <v>116</v>
      </c>
      <c r="C597" s="769">
        <v>350</v>
      </c>
      <c r="D597" s="655">
        <v>404.42</v>
      </c>
      <c r="E597" s="23">
        <v>7.35</v>
      </c>
      <c r="F597" s="23">
        <v>6.63</v>
      </c>
      <c r="G597" s="749">
        <v>4.6100000000000003</v>
      </c>
      <c r="H597" s="769">
        <v>350</v>
      </c>
      <c r="I597" s="23">
        <v>411.02</v>
      </c>
      <c r="J597" s="42">
        <v>3.2</v>
      </c>
      <c r="K597" s="42">
        <v>3.46</v>
      </c>
      <c r="L597" s="754">
        <v>3.15</v>
      </c>
      <c r="M597" s="769">
        <v>350</v>
      </c>
      <c r="N597" s="649">
        <v>394.84</v>
      </c>
      <c r="O597" s="260">
        <v>5.2</v>
      </c>
      <c r="P597" s="42">
        <v>4.01</v>
      </c>
      <c r="Q597" s="749">
        <v>5.53</v>
      </c>
      <c r="R597" s="769">
        <v>350</v>
      </c>
      <c r="S597" s="649">
        <v>434.85</v>
      </c>
      <c r="T597" s="260">
        <v>0.91</v>
      </c>
      <c r="U597" s="260">
        <v>1.6</v>
      </c>
      <c r="V597" s="94">
        <v>1.88</v>
      </c>
      <c r="W597" s="564"/>
      <c r="X597" s="650">
        <v>350</v>
      </c>
      <c r="Y597" s="651">
        <f t="shared" si="548"/>
        <v>0.61966666666666659</v>
      </c>
      <c r="Z597" s="620">
        <v>9.6440000000000001</v>
      </c>
      <c r="AA597" s="620">
        <v>4.5170000000000003</v>
      </c>
      <c r="AB597" s="620">
        <f t="shared" si="549"/>
        <v>4.5073333333333334</v>
      </c>
      <c r="AC597" s="620">
        <f t="shared" si="550"/>
        <v>34.068666666666672</v>
      </c>
      <c r="AD597" s="653">
        <f t="shared" si="551"/>
        <v>26.297718611406665</v>
      </c>
      <c r="AE597" s="650">
        <v>350</v>
      </c>
      <c r="AF597" s="620">
        <f t="shared" si="552"/>
        <v>0.32700000000000001</v>
      </c>
      <c r="AG597" s="620">
        <v>9.6440000000000001</v>
      </c>
      <c r="AH597" s="620">
        <v>4.5170000000000003</v>
      </c>
      <c r="AI597" s="620">
        <f t="shared" si="553"/>
        <v>4.8</v>
      </c>
      <c r="AJ597" s="620">
        <f t="shared" si="554"/>
        <v>33.776000000000003</v>
      </c>
      <c r="AK597" s="653">
        <f t="shared" si="555"/>
        <v>27.764682623999995</v>
      </c>
      <c r="AL597" s="650">
        <v>350</v>
      </c>
      <c r="AM597" s="620">
        <f t="shared" si="556"/>
        <v>0.4913333333333334</v>
      </c>
      <c r="AN597" s="620">
        <v>9.6440000000000001</v>
      </c>
      <c r="AO597" s="620">
        <v>4.5170000000000003</v>
      </c>
      <c r="AP597" s="620">
        <f t="shared" si="557"/>
        <v>4.6356666666666664</v>
      </c>
      <c r="AQ597" s="620">
        <f t="shared" si="558"/>
        <v>33.940333333333342</v>
      </c>
      <c r="AR597" s="698">
        <f t="shared" si="559"/>
        <v>26.944588991331667</v>
      </c>
      <c r="AS597" s="650">
        <v>350</v>
      </c>
      <c r="AT597" s="620">
        <f t="shared" ref="AT597" si="572">AVERAGE(T597:V597)/10</f>
        <v>0.14633333333333337</v>
      </c>
      <c r="AU597" s="620">
        <v>9.6440000000000001</v>
      </c>
      <c r="AV597" s="620">
        <v>4.5170000000000003</v>
      </c>
      <c r="AW597" s="620">
        <f t="shared" si="561"/>
        <v>4.9806666666666661</v>
      </c>
      <c r="AX597" s="620">
        <f t="shared" si="562"/>
        <v>33.595333333333336</v>
      </c>
      <c r="AY597" s="698">
        <f t="shared" si="563"/>
        <v>28.655612253006659</v>
      </c>
      <c r="AZ597" s="75"/>
      <c r="BA597" s="650">
        <v>350</v>
      </c>
      <c r="BB597" s="620">
        <v>103.50685607036536</v>
      </c>
      <c r="BC597" s="720">
        <f>(BB613-BB614)/BB595</f>
        <v>0</v>
      </c>
      <c r="BD597" s="714">
        <f>D597-BB611</f>
        <v>189.37</v>
      </c>
      <c r="BE597" s="693">
        <f>BB613-BB614</f>
        <v>0</v>
      </c>
      <c r="BF597" s="693" t="e">
        <f t="shared" si="564"/>
        <v>#DIV/0!</v>
      </c>
      <c r="BG597" s="668" t="e">
        <f t="shared" si="565"/>
        <v>#DIV/0!</v>
      </c>
      <c r="BH597" s="650">
        <v>350</v>
      </c>
      <c r="BI597" s="620">
        <v>103.50685607036536</v>
      </c>
      <c r="BJ597" s="720">
        <f>(BI613-BI614)/BI595</f>
        <v>0</v>
      </c>
      <c r="BK597" s="714">
        <f>I597-BI611</f>
        <v>195.98999999999998</v>
      </c>
      <c r="BL597" s="693">
        <f>BI613-BI614</f>
        <v>0</v>
      </c>
      <c r="BM597" s="693" t="e">
        <f t="shared" si="566"/>
        <v>#DIV/0!</v>
      </c>
      <c r="BN597" s="668" t="e">
        <f t="shared" si="567"/>
        <v>#DIV/0!</v>
      </c>
      <c r="BO597" s="650">
        <v>350</v>
      </c>
      <c r="BP597" s="681">
        <v>103.50685607036536</v>
      </c>
      <c r="BQ597" s="720">
        <f>(BP613-BP614)/BP595</f>
        <v>0</v>
      </c>
      <c r="BR597" s="714">
        <f>N597-BP611</f>
        <v>179.95</v>
      </c>
      <c r="BS597" s="693">
        <f>BP613-BP614</f>
        <v>0</v>
      </c>
      <c r="BT597" s="693" t="e">
        <f t="shared" si="568"/>
        <v>#DIV/0!</v>
      </c>
      <c r="BU597" s="668" t="e">
        <f t="shared" si="569"/>
        <v>#DIV/0!</v>
      </c>
      <c r="BV597" s="650">
        <v>350</v>
      </c>
      <c r="BW597" s="620">
        <v>103.50685607036536</v>
      </c>
      <c r="BX597" s="720">
        <f>(BW613-BW614)/BW595</f>
        <v>0</v>
      </c>
      <c r="BY597" s="714">
        <f>S597-BW611</f>
        <v>220.21000000000004</v>
      </c>
      <c r="BZ597" s="693">
        <f>BW613-BW614</f>
        <v>0</v>
      </c>
      <c r="CA597" s="693" t="e">
        <f t="shared" si="570"/>
        <v>#DIV/0!</v>
      </c>
      <c r="CB597" s="668" t="e">
        <f t="shared" si="571"/>
        <v>#DIV/0!</v>
      </c>
    </row>
    <row r="598" spans="1:80" ht="15.75">
      <c r="A598" s="564"/>
      <c r="B598" s="585" t="s">
        <v>116</v>
      </c>
      <c r="C598" s="769">
        <v>450</v>
      </c>
      <c r="D598" s="655">
        <v>400.74</v>
      </c>
      <c r="E598" s="23">
        <v>6.81</v>
      </c>
      <c r="F598" s="23">
        <v>6.92</v>
      </c>
      <c r="G598" s="749">
        <v>8.3800000000000008</v>
      </c>
      <c r="H598" s="769">
        <v>450</v>
      </c>
      <c r="I598" s="23">
        <v>408.19</v>
      </c>
      <c r="J598" s="42">
        <v>3.43</v>
      </c>
      <c r="K598" s="42">
        <v>3.06</v>
      </c>
      <c r="L598" s="754">
        <v>3.88</v>
      </c>
      <c r="M598" s="769">
        <v>450</v>
      </c>
      <c r="N598" s="639">
        <v>391.86</v>
      </c>
      <c r="O598" s="550">
        <v>6.06</v>
      </c>
      <c r="P598" s="780">
        <v>5.74</v>
      </c>
      <c r="Q598" s="749">
        <v>4.99</v>
      </c>
      <c r="R598" s="769">
        <v>450</v>
      </c>
      <c r="S598" s="649">
        <v>431.26</v>
      </c>
      <c r="T598" s="260">
        <v>1.99</v>
      </c>
      <c r="U598" s="260">
        <v>2</v>
      </c>
      <c r="V598" s="94">
        <v>1.68</v>
      </c>
      <c r="W598" s="564"/>
      <c r="X598" s="650">
        <v>450</v>
      </c>
      <c r="Y598" s="651">
        <f t="shared" si="548"/>
        <v>0.73699999999999999</v>
      </c>
      <c r="Z598" s="620">
        <v>9.6440000000000001</v>
      </c>
      <c r="AA598" s="620">
        <v>4.5170000000000003</v>
      </c>
      <c r="AB598" s="620">
        <f t="shared" si="549"/>
        <v>4.3899999999999997</v>
      </c>
      <c r="AC598" s="620">
        <f t="shared" si="550"/>
        <v>34.186000000000007</v>
      </c>
      <c r="AD598" s="653">
        <f t="shared" si="551"/>
        <v>42.485918091299993</v>
      </c>
      <c r="AE598" s="650">
        <v>450</v>
      </c>
      <c r="AF598" s="620">
        <f t="shared" si="552"/>
        <v>0.34566666666666668</v>
      </c>
      <c r="AG598" s="620">
        <v>9.6440000000000001</v>
      </c>
      <c r="AH598" s="620">
        <v>4.5170000000000003</v>
      </c>
      <c r="AI598" s="620">
        <f t="shared" si="553"/>
        <v>4.7813333333333334</v>
      </c>
      <c r="AJ598" s="620">
        <f t="shared" si="554"/>
        <v>33.794666666666672</v>
      </c>
      <c r="AK598" s="653">
        <f t="shared" si="555"/>
        <v>45.743499679679999</v>
      </c>
      <c r="AL598" s="650">
        <v>450</v>
      </c>
      <c r="AM598" s="620">
        <f t="shared" si="556"/>
        <v>0.55966666666666665</v>
      </c>
      <c r="AN598" s="620">
        <v>9.6440000000000001</v>
      </c>
      <c r="AO598" s="620">
        <v>4.5170000000000003</v>
      </c>
      <c r="AP598" s="620">
        <f t="shared" si="557"/>
        <v>4.567333333333333</v>
      </c>
      <c r="AQ598" s="620">
        <f t="shared" si="558"/>
        <v>34.00866666666667</v>
      </c>
      <c r="AR598" s="698">
        <f t="shared" si="559"/>
        <v>43.972839726659991</v>
      </c>
      <c r="AS598" s="650">
        <v>450</v>
      </c>
      <c r="AT598" s="620">
        <f>AVERAGE(T598:V598)/10</f>
        <v>0.189</v>
      </c>
      <c r="AU598" s="620">
        <v>9.6440000000000001</v>
      </c>
      <c r="AV598" s="620">
        <v>4.5170000000000003</v>
      </c>
      <c r="AW598" s="620">
        <f t="shared" si="561"/>
        <v>4.9379999999999997</v>
      </c>
      <c r="AX598" s="620">
        <f t="shared" si="562"/>
        <v>33.638000000000005</v>
      </c>
      <c r="AY598" s="698">
        <f t="shared" si="563"/>
        <v>47.02333757417999</v>
      </c>
      <c r="AZ598" s="75"/>
      <c r="BA598" s="650">
        <v>450</v>
      </c>
      <c r="BB598" s="620">
        <v>103.50685607036536</v>
      </c>
      <c r="BC598" s="720">
        <f>(BB613-BB614)/BB595</f>
        <v>0</v>
      </c>
      <c r="BD598" s="714">
        <f>D598-BB611</f>
        <v>185.69</v>
      </c>
      <c r="BE598" s="693">
        <f>BB613-BB614</f>
        <v>0</v>
      </c>
      <c r="BF598" s="693" t="e">
        <f t="shared" si="564"/>
        <v>#DIV/0!</v>
      </c>
      <c r="BG598" s="668" t="e">
        <f t="shared" si="565"/>
        <v>#DIV/0!</v>
      </c>
      <c r="BH598" s="650">
        <v>450</v>
      </c>
      <c r="BI598" s="620">
        <v>103.50685607036536</v>
      </c>
      <c r="BJ598" s="720">
        <f>(BI613-BI614)/BI595</f>
        <v>0</v>
      </c>
      <c r="BK598" s="714">
        <f>I598-BI611</f>
        <v>193.16</v>
      </c>
      <c r="BL598" s="693">
        <f>BI613-BI614</f>
        <v>0</v>
      </c>
      <c r="BM598" s="693" t="e">
        <f t="shared" si="566"/>
        <v>#DIV/0!</v>
      </c>
      <c r="BN598" s="668" t="e">
        <f t="shared" si="567"/>
        <v>#DIV/0!</v>
      </c>
      <c r="BO598" s="650">
        <v>450</v>
      </c>
      <c r="BP598" s="681">
        <v>103.50685607036536</v>
      </c>
      <c r="BQ598" s="720">
        <f>(BP613-BP614)/BP595</f>
        <v>0</v>
      </c>
      <c r="BR598" s="714">
        <f>N598-BP611</f>
        <v>176.97000000000003</v>
      </c>
      <c r="BS598" s="693">
        <f>BP613-BP614</f>
        <v>0</v>
      </c>
      <c r="BT598" s="693" t="e">
        <f t="shared" si="568"/>
        <v>#DIV/0!</v>
      </c>
      <c r="BU598" s="668" t="e">
        <f t="shared" si="569"/>
        <v>#DIV/0!</v>
      </c>
      <c r="BV598" s="650">
        <v>450</v>
      </c>
      <c r="BW598" s="620">
        <v>103.50685607036536</v>
      </c>
      <c r="BX598" s="720">
        <f>(BW613-BW614)/BW595</f>
        <v>0</v>
      </c>
      <c r="BY598" s="714">
        <f>S598-BW611</f>
        <v>216.62</v>
      </c>
      <c r="BZ598" s="693">
        <f>BW613-BW614</f>
        <v>0</v>
      </c>
      <c r="CA598" s="693" t="e">
        <f t="shared" si="570"/>
        <v>#DIV/0!</v>
      </c>
      <c r="CB598" s="668" t="e">
        <f t="shared" si="571"/>
        <v>#DIV/0!</v>
      </c>
    </row>
    <row r="599" spans="1:80" ht="15.75">
      <c r="A599" s="564"/>
      <c r="B599" s="585" t="s">
        <v>116</v>
      </c>
      <c r="C599" s="769">
        <v>550</v>
      </c>
      <c r="D599" s="655">
        <v>397.67</v>
      </c>
      <c r="E599" s="750">
        <v>7.75</v>
      </c>
      <c r="F599" s="750">
        <v>9.99</v>
      </c>
      <c r="G599" s="751">
        <v>7.76</v>
      </c>
      <c r="H599" s="769">
        <v>550</v>
      </c>
      <c r="I599" s="750">
        <v>405.73</v>
      </c>
      <c r="J599" s="42">
        <v>4.5599999999999996</v>
      </c>
      <c r="K599" s="42">
        <v>4.55</v>
      </c>
      <c r="L599" s="754">
        <v>5.12</v>
      </c>
      <c r="M599" s="769">
        <v>550</v>
      </c>
      <c r="N599" s="639">
        <v>389.34</v>
      </c>
      <c r="O599" s="550">
        <v>7.54</v>
      </c>
      <c r="P599" s="780">
        <v>6.04</v>
      </c>
      <c r="Q599" s="749">
        <v>6.49</v>
      </c>
      <c r="R599" s="769">
        <v>550</v>
      </c>
      <c r="S599" s="649">
        <v>427.37</v>
      </c>
      <c r="T599" s="260">
        <v>3.41</v>
      </c>
      <c r="U599" s="260">
        <v>3.34</v>
      </c>
      <c r="V599" s="260">
        <v>1.81</v>
      </c>
      <c r="W599" s="564"/>
      <c r="X599" s="650">
        <v>550</v>
      </c>
      <c r="Y599" s="651">
        <f t="shared" si="548"/>
        <v>0.85</v>
      </c>
      <c r="Z599" s="620">
        <v>9.6440000000000001</v>
      </c>
      <c r="AA599" s="620">
        <v>4.5170000000000003</v>
      </c>
      <c r="AB599" s="620">
        <f t="shared" si="549"/>
        <v>4.2770000000000001</v>
      </c>
      <c r="AC599" s="620">
        <f t="shared" si="550"/>
        <v>34.299000000000007</v>
      </c>
      <c r="AD599" s="653">
        <f t="shared" si="551"/>
        <v>62.037352962584997</v>
      </c>
      <c r="AE599" s="650">
        <v>550</v>
      </c>
      <c r="AF599" s="620">
        <f t="shared" si="552"/>
        <v>0.47433333333333333</v>
      </c>
      <c r="AG599" s="620">
        <v>9.6440000000000001</v>
      </c>
      <c r="AH599" s="620">
        <v>4.5170000000000003</v>
      </c>
      <c r="AI599" s="620">
        <f t="shared" si="553"/>
        <v>4.6526666666666667</v>
      </c>
      <c r="AJ599" s="620">
        <f t="shared" si="554"/>
        <v>33.923333333333339</v>
      </c>
      <c r="AK599" s="653">
        <f t="shared" si="555"/>
        <v>66.747193453966659</v>
      </c>
      <c r="AL599" s="650">
        <v>550</v>
      </c>
      <c r="AM599" s="620">
        <f t="shared" si="556"/>
        <v>0.66900000000000004</v>
      </c>
      <c r="AN599" s="620">
        <v>9.6440000000000001</v>
      </c>
      <c r="AO599" s="620">
        <v>4.5170000000000003</v>
      </c>
      <c r="AP599" s="620">
        <f t="shared" si="557"/>
        <v>4.4580000000000002</v>
      </c>
      <c r="AQ599" s="620">
        <f t="shared" si="558"/>
        <v>34.118000000000002</v>
      </c>
      <c r="AR599" s="698">
        <f t="shared" si="559"/>
        <v>64.321502317379995</v>
      </c>
      <c r="AS599" s="650">
        <v>550</v>
      </c>
      <c r="AT599" s="620">
        <f t="shared" ref="AT599:AT610" si="573">AVERAGE(T599:V599)/10</f>
        <v>0.28533333333333333</v>
      </c>
      <c r="AU599" s="620">
        <v>9.6440000000000001</v>
      </c>
      <c r="AV599" s="620">
        <v>4.5170000000000003</v>
      </c>
      <c r="AW599" s="620">
        <f t="shared" si="561"/>
        <v>4.8416666666666668</v>
      </c>
      <c r="AX599" s="620">
        <f t="shared" si="562"/>
        <v>33.734333333333339</v>
      </c>
      <c r="AY599" s="698">
        <f t="shared" si="563"/>
        <v>69.071608333291664</v>
      </c>
      <c r="AZ599" s="75"/>
      <c r="BA599" s="650">
        <v>550</v>
      </c>
      <c r="BB599" s="620">
        <v>103.50685607036536</v>
      </c>
      <c r="BC599" s="720">
        <f>(BB613-BB614)/BB595</f>
        <v>0</v>
      </c>
      <c r="BD599" s="714">
        <f>D599-BB611</f>
        <v>182.62</v>
      </c>
      <c r="BE599" s="693">
        <f>BB613-BB614</f>
        <v>0</v>
      </c>
      <c r="BF599" s="693" t="e">
        <f t="shared" si="564"/>
        <v>#DIV/0!</v>
      </c>
      <c r="BG599" s="668" t="e">
        <f t="shared" si="565"/>
        <v>#DIV/0!</v>
      </c>
      <c r="BH599" s="650">
        <v>550</v>
      </c>
      <c r="BI599" s="620">
        <v>103.50685607036536</v>
      </c>
      <c r="BJ599" s="720">
        <f>(BI613-BI614)/BI595</f>
        <v>0</v>
      </c>
      <c r="BK599" s="714">
        <f>I599-BI611</f>
        <v>190.70000000000002</v>
      </c>
      <c r="BL599" s="693">
        <f>BI613-BI614</f>
        <v>0</v>
      </c>
      <c r="BM599" s="693" t="e">
        <f t="shared" si="566"/>
        <v>#DIV/0!</v>
      </c>
      <c r="BN599" s="668" t="e">
        <f t="shared" si="567"/>
        <v>#DIV/0!</v>
      </c>
      <c r="BO599" s="650">
        <v>550</v>
      </c>
      <c r="BP599" s="681">
        <v>103.50685607036536</v>
      </c>
      <c r="BQ599" s="720">
        <f>(BP613-BP614)/BP595</f>
        <v>0</v>
      </c>
      <c r="BR599" s="714">
        <f>N599-BP611</f>
        <v>174.45</v>
      </c>
      <c r="BS599" s="693">
        <f>BP613-BP614</f>
        <v>0</v>
      </c>
      <c r="BT599" s="693" t="e">
        <f t="shared" si="568"/>
        <v>#DIV/0!</v>
      </c>
      <c r="BU599" s="668" t="e">
        <f t="shared" si="569"/>
        <v>#DIV/0!</v>
      </c>
      <c r="BV599" s="650">
        <v>550</v>
      </c>
      <c r="BW599" s="620">
        <v>103.50685607036536</v>
      </c>
      <c r="BX599" s="720">
        <f>(BW613-BW614)/BW595</f>
        <v>0</v>
      </c>
      <c r="BY599" s="714">
        <f>S599-BW611</f>
        <v>212.73000000000002</v>
      </c>
      <c r="BZ599" s="693">
        <f>BW613-BW614</f>
        <v>0</v>
      </c>
      <c r="CA599" s="693" t="e">
        <f t="shared" si="570"/>
        <v>#DIV/0!</v>
      </c>
      <c r="CB599" s="668" t="e">
        <f t="shared" si="571"/>
        <v>#DIV/0!</v>
      </c>
    </row>
    <row r="600" spans="1:80" ht="15.75">
      <c r="A600" s="564"/>
      <c r="B600" s="585" t="s">
        <v>116</v>
      </c>
      <c r="C600" s="769">
        <v>650</v>
      </c>
      <c r="D600" s="655">
        <v>395.49</v>
      </c>
      <c r="E600" s="750">
        <v>8.49</v>
      </c>
      <c r="F600" s="750">
        <v>6.94</v>
      </c>
      <c r="G600" s="751">
        <v>8.43</v>
      </c>
      <c r="H600" s="769">
        <v>650</v>
      </c>
      <c r="I600" s="750">
        <v>403.96</v>
      </c>
      <c r="J600" s="42">
        <v>4.6500000000000004</v>
      </c>
      <c r="K600" s="42">
        <v>4.4000000000000004</v>
      </c>
      <c r="L600" s="754">
        <v>3.97</v>
      </c>
      <c r="M600" s="769">
        <v>650</v>
      </c>
      <c r="N600" s="639">
        <v>387.48</v>
      </c>
      <c r="O600" s="550">
        <v>7.35</v>
      </c>
      <c r="P600" s="550">
        <v>6.35</v>
      </c>
      <c r="Q600" s="94">
        <v>6.03</v>
      </c>
      <c r="R600" s="769">
        <v>650</v>
      </c>
      <c r="S600" s="639">
        <v>424.74</v>
      </c>
      <c r="T600" s="639">
        <v>2.97</v>
      </c>
      <c r="U600" s="639">
        <v>3</v>
      </c>
      <c r="V600" s="654">
        <v>3.07</v>
      </c>
      <c r="W600" s="564"/>
      <c r="X600" s="650">
        <v>650</v>
      </c>
      <c r="Y600" s="651">
        <f t="shared" si="548"/>
        <v>0.79533333333333334</v>
      </c>
      <c r="Z600" s="620">
        <v>9.6440000000000001</v>
      </c>
      <c r="AA600" s="620">
        <v>4.5170000000000003</v>
      </c>
      <c r="AB600" s="620">
        <f t="shared" si="549"/>
        <v>4.3316666666666661</v>
      </c>
      <c r="AC600" s="620">
        <f t="shared" si="550"/>
        <v>34.244333333333337</v>
      </c>
      <c r="AD600" s="653">
        <f t="shared" si="551"/>
        <v>87.614831410491647</v>
      </c>
      <c r="AE600" s="650">
        <v>650</v>
      </c>
      <c r="AF600" s="620">
        <f t="shared" si="552"/>
        <v>0.43400000000000005</v>
      </c>
      <c r="AG600" s="620">
        <v>9.6440000000000001</v>
      </c>
      <c r="AH600" s="620">
        <v>4.5170000000000003</v>
      </c>
      <c r="AI600" s="620">
        <f t="shared" si="553"/>
        <v>4.6929999999999996</v>
      </c>
      <c r="AJ600" s="620">
        <f t="shared" si="554"/>
        <v>33.883000000000003</v>
      </c>
      <c r="AK600" s="653">
        <f t="shared" si="555"/>
        <v>93.921775671944999</v>
      </c>
      <c r="AL600" s="650">
        <v>650</v>
      </c>
      <c r="AM600" s="620">
        <f t="shared" si="556"/>
        <v>0.65766666666666673</v>
      </c>
      <c r="AN600" s="620">
        <v>9.6440000000000001</v>
      </c>
      <c r="AO600" s="620">
        <v>4.5170000000000003</v>
      </c>
      <c r="AP600" s="620">
        <f t="shared" si="557"/>
        <v>4.4693333333333332</v>
      </c>
      <c r="AQ600" s="620">
        <f t="shared" si="558"/>
        <v>34.106666666666669</v>
      </c>
      <c r="AR600" s="698">
        <f t="shared" si="559"/>
        <v>90.035941021866662</v>
      </c>
      <c r="AS600" s="650">
        <v>650</v>
      </c>
      <c r="AT600" s="620">
        <f t="shared" si="573"/>
        <v>0.30133333333333334</v>
      </c>
      <c r="AU600" s="620">
        <v>9.6440000000000001</v>
      </c>
      <c r="AV600" s="620">
        <v>4.5170000000000003</v>
      </c>
      <c r="AW600" s="620">
        <f t="shared" si="561"/>
        <v>4.8256666666666668</v>
      </c>
      <c r="AX600" s="620">
        <f t="shared" si="562"/>
        <v>33.750333333333337</v>
      </c>
      <c r="AY600" s="698">
        <f t="shared" si="563"/>
        <v>96.198714995131667</v>
      </c>
      <c r="AZ600" s="75"/>
      <c r="BA600" s="650">
        <v>650</v>
      </c>
      <c r="BB600" s="620">
        <v>103.50685607036536</v>
      </c>
      <c r="BC600" s="720">
        <f>(BB613-BB614)/BB595</f>
        <v>0</v>
      </c>
      <c r="BD600" s="714">
        <f>D600-BB611</f>
        <v>180.44</v>
      </c>
      <c r="BE600" s="693">
        <f>BB613-BB614</f>
        <v>0</v>
      </c>
      <c r="BF600" s="693" t="e">
        <f t="shared" si="564"/>
        <v>#DIV/0!</v>
      </c>
      <c r="BG600" s="668" t="e">
        <f t="shared" si="565"/>
        <v>#DIV/0!</v>
      </c>
      <c r="BH600" s="650">
        <v>650</v>
      </c>
      <c r="BI600" s="620">
        <v>103.50685607036536</v>
      </c>
      <c r="BJ600" s="720">
        <f>(BI613-BI614)/BI595</f>
        <v>0</v>
      </c>
      <c r="BK600" s="714">
        <f>I600-BI611</f>
        <v>188.92999999999998</v>
      </c>
      <c r="BL600" s="693">
        <f>BI613-BI614</f>
        <v>0</v>
      </c>
      <c r="BM600" s="693" t="e">
        <f t="shared" si="566"/>
        <v>#DIV/0!</v>
      </c>
      <c r="BN600" s="668" t="e">
        <f t="shared" si="567"/>
        <v>#DIV/0!</v>
      </c>
      <c r="BO600" s="650">
        <v>650</v>
      </c>
      <c r="BP600" s="681">
        <v>103.50685607036536</v>
      </c>
      <c r="BQ600" s="720">
        <f>(BP613-BP614)/BP595</f>
        <v>0</v>
      </c>
      <c r="BR600" s="714">
        <f>N600-BP611</f>
        <v>172.59000000000003</v>
      </c>
      <c r="BS600" s="693">
        <f>BP613-BP614</f>
        <v>0</v>
      </c>
      <c r="BT600" s="693" t="e">
        <f t="shared" si="568"/>
        <v>#DIV/0!</v>
      </c>
      <c r="BU600" s="668" t="e">
        <f t="shared" si="569"/>
        <v>#DIV/0!</v>
      </c>
      <c r="BV600" s="650">
        <v>650</v>
      </c>
      <c r="BW600" s="620">
        <v>103.50685607036536</v>
      </c>
      <c r="BX600" s="720">
        <f>(BW613-BW614)/BW595</f>
        <v>0</v>
      </c>
      <c r="BY600" s="714">
        <f>S600-BW611</f>
        <v>210.10000000000002</v>
      </c>
      <c r="BZ600" s="693">
        <f>BW613-BW614</f>
        <v>0</v>
      </c>
      <c r="CA600" s="693" t="e">
        <f t="shared" si="570"/>
        <v>#DIV/0!</v>
      </c>
      <c r="CB600" s="668" t="e">
        <f t="shared" si="571"/>
        <v>#DIV/0!</v>
      </c>
    </row>
    <row r="601" spans="1:80" ht="15.75">
      <c r="A601" s="564"/>
      <c r="B601" s="585" t="s">
        <v>116</v>
      </c>
      <c r="C601" s="769">
        <v>750</v>
      </c>
      <c r="D601" s="655">
        <v>393.75</v>
      </c>
      <c r="E601" s="750">
        <v>7.07</v>
      </c>
      <c r="F601" s="750">
        <v>8.7899999999999991</v>
      </c>
      <c r="G601" s="751">
        <v>8.81</v>
      </c>
      <c r="H601" s="769">
        <v>750</v>
      </c>
      <c r="I601" s="750">
        <v>402.52</v>
      </c>
      <c r="J601" s="42">
        <v>5.81</v>
      </c>
      <c r="K601" s="42">
        <v>4.3600000000000003</v>
      </c>
      <c r="L601" s="754">
        <v>5.26</v>
      </c>
      <c r="M601" s="769">
        <v>750</v>
      </c>
      <c r="N601" s="639">
        <v>386.08</v>
      </c>
      <c r="O601" s="562">
        <v>7.83</v>
      </c>
      <c r="P601" s="562">
        <v>7.16</v>
      </c>
      <c r="Q601" s="588">
        <v>9.39</v>
      </c>
      <c r="R601" s="769">
        <v>750</v>
      </c>
      <c r="S601" s="639">
        <v>422.63</v>
      </c>
      <c r="T601" s="639">
        <v>3.81</v>
      </c>
      <c r="U601" s="639">
        <v>4.42</v>
      </c>
      <c r="V601" s="654">
        <v>4.16</v>
      </c>
      <c r="W601" s="564"/>
      <c r="X601" s="650">
        <v>750</v>
      </c>
      <c r="Y601" s="651">
        <f t="shared" si="548"/>
        <v>0.82233333333333347</v>
      </c>
      <c r="Z601" s="620">
        <v>9.6440000000000001</v>
      </c>
      <c r="AA601" s="620">
        <v>4.5170000000000003</v>
      </c>
      <c r="AB601" s="620">
        <f t="shared" si="549"/>
        <v>4.304666666666666</v>
      </c>
      <c r="AC601" s="620">
        <f t="shared" si="550"/>
        <v>34.271333333333338</v>
      </c>
      <c r="AD601" s="653">
        <f t="shared" si="551"/>
        <v>116.01128215049998</v>
      </c>
      <c r="AE601" s="650">
        <v>750</v>
      </c>
      <c r="AF601" s="620">
        <f t="shared" si="552"/>
        <v>0.51433333333333331</v>
      </c>
      <c r="AG601" s="620">
        <v>9.6440000000000001</v>
      </c>
      <c r="AH601" s="620">
        <v>4.5170000000000003</v>
      </c>
      <c r="AI601" s="620">
        <f t="shared" si="553"/>
        <v>4.6126666666666667</v>
      </c>
      <c r="AJ601" s="620">
        <f t="shared" si="554"/>
        <v>33.963333333333338</v>
      </c>
      <c r="AK601" s="653">
        <f t="shared" si="555"/>
        <v>123.19471502250001</v>
      </c>
      <c r="AL601" s="650">
        <v>750</v>
      </c>
      <c r="AM601" s="620">
        <f t="shared" si="556"/>
        <v>0.81266666666666665</v>
      </c>
      <c r="AN601" s="620">
        <v>9.6440000000000001</v>
      </c>
      <c r="AO601" s="620">
        <v>4.5170000000000003</v>
      </c>
      <c r="AP601" s="620">
        <f t="shared" si="557"/>
        <v>4.3143333333333329</v>
      </c>
      <c r="AQ601" s="620">
        <f t="shared" si="558"/>
        <v>34.26166666666667</v>
      </c>
      <c r="AR601" s="698">
        <f t="shared" si="559"/>
        <v>116.239004030625</v>
      </c>
      <c r="AS601" s="650">
        <v>750</v>
      </c>
      <c r="AT601" s="620">
        <f t="shared" si="573"/>
        <v>0.41299999999999998</v>
      </c>
      <c r="AU601" s="620">
        <v>9.6440000000000001</v>
      </c>
      <c r="AV601" s="620">
        <v>4.5170000000000003</v>
      </c>
      <c r="AW601" s="620">
        <f t="shared" si="561"/>
        <v>4.7139999999999995</v>
      </c>
      <c r="AX601" s="620">
        <f t="shared" si="562"/>
        <v>33.862000000000002</v>
      </c>
      <c r="AY601" s="698">
        <f t="shared" si="563"/>
        <v>125.52547739849999</v>
      </c>
      <c r="AZ601" s="75"/>
      <c r="BA601" s="650">
        <v>750</v>
      </c>
      <c r="BB601" s="620">
        <v>103.50685607036536</v>
      </c>
      <c r="BC601" s="720">
        <f>(BB613-BB614)/BB595</f>
        <v>0</v>
      </c>
      <c r="BD601" s="714">
        <f>D601-BB611</f>
        <v>178.7</v>
      </c>
      <c r="BE601" s="693">
        <f>BB613-BB614</f>
        <v>0</v>
      </c>
      <c r="BF601" s="693" t="e">
        <f t="shared" si="564"/>
        <v>#DIV/0!</v>
      </c>
      <c r="BG601" s="668" t="e">
        <f t="shared" si="565"/>
        <v>#DIV/0!</v>
      </c>
      <c r="BH601" s="650">
        <v>750</v>
      </c>
      <c r="BI601" s="620">
        <v>103.50685607036536</v>
      </c>
      <c r="BJ601" s="720">
        <f>(BI613-BI614)/BI595</f>
        <v>0</v>
      </c>
      <c r="BK601" s="714">
        <f>I601-BI611</f>
        <v>187.48999999999998</v>
      </c>
      <c r="BL601" s="693">
        <f>BI613-BI614</f>
        <v>0</v>
      </c>
      <c r="BM601" s="693" t="e">
        <f t="shared" si="566"/>
        <v>#DIV/0!</v>
      </c>
      <c r="BN601" s="668" t="e">
        <f t="shared" si="567"/>
        <v>#DIV/0!</v>
      </c>
      <c r="BO601" s="650">
        <v>750</v>
      </c>
      <c r="BP601" s="681">
        <v>103.50685607036536</v>
      </c>
      <c r="BQ601" s="720">
        <f>(BP613-BP614)/BP595</f>
        <v>0</v>
      </c>
      <c r="BR601" s="714">
        <f>N601-BP611</f>
        <v>171.19</v>
      </c>
      <c r="BS601" s="693">
        <f>BP613-BP614</f>
        <v>0</v>
      </c>
      <c r="BT601" s="693" t="e">
        <f t="shared" si="568"/>
        <v>#DIV/0!</v>
      </c>
      <c r="BU601" s="668" t="e">
        <f t="shared" si="569"/>
        <v>#DIV/0!</v>
      </c>
      <c r="BV601" s="650">
        <v>750</v>
      </c>
      <c r="BW601" s="620">
        <v>103.50685607036536</v>
      </c>
      <c r="BX601" s="720">
        <f>(BW613-BW614)/BW595</f>
        <v>0</v>
      </c>
      <c r="BY601" s="714">
        <f>S601-BW611</f>
        <v>207.99</v>
      </c>
      <c r="BZ601" s="693">
        <f>BW613-BW614</f>
        <v>0</v>
      </c>
      <c r="CA601" s="693" t="e">
        <f t="shared" si="570"/>
        <v>#DIV/0!</v>
      </c>
      <c r="CB601" s="668" t="e">
        <f t="shared" si="571"/>
        <v>#DIV/0!</v>
      </c>
    </row>
    <row r="602" spans="1:80" ht="15.75">
      <c r="A602" s="564"/>
      <c r="B602" s="585" t="s">
        <v>116</v>
      </c>
      <c r="C602" s="769">
        <v>850</v>
      </c>
      <c r="D602" s="655">
        <v>392.17</v>
      </c>
      <c r="E602" s="750">
        <v>10.92</v>
      </c>
      <c r="F602" s="750">
        <v>8.91</v>
      </c>
      <c r="G602" s="751">
        <v>8.99</v>
      </c>
      <c r="H602" s="769">
        <v>850</v>
      </c>
      <c r="I602" s="750">
        <v>401.35</v>
      </c>
      <c r="J602" s="42">
        <v>4.8600000000000003</v>
      </c>
      <c r="K602" s="42">
        <v>5.08</v>
      </c>
      <c r="L602" s="754">
        <v>5.83</v>
      </c>
      <c r="M602" s="769">
        <v>850</v>
      </c>
      <c r="N602" s="639">
        <v>384.84</v>
      </c>
      <c r="O602" s="562">
        <v>8.34</v>
      </c>
      <c r="P602" s="562">
        <v>6.86</v>
      </c>
      <c r="Q602" s="588">
        <v>9.84</v>
      </c>
      <c r="R602" s="769">
        <v>850</v>
      </c>
      <c r="S602" s="639">
        <v>420.82</v>
      </c>
      <c r="T602" s="639">
        <v>3.34</v>
      </c>
      <c r="U602" s="639">
        <v>4.16</v>
      </c>
      <c r="V602" s="654">
        <v>4.55</v>
      </c>
      <c r="W602" s="564"/>
      <c r="X602" s="650">
        <v>850</v>
      </c>
      <c r="Y602" s="651">
        <f t="shared" si="548"/>
        <v>0.96066666666666678</v>
      </c>
      <c r="Z602" s="620">
        <v>9.6440000000000001</v>
      </c>
      <c r="AA602" s="620">
        <v>4.5170000000000003</v>
      </c>
      <c r="AB602" s="620">
        <f t="shared" si="549"/>
        <v>4.1663333333333332</v>
      </c>
      <c r="AC602" s="620">
        <f t="shared" si="550"/>
        <v>34.409666666666674</v>
      </c>
      <c r="AD602" s="653">
        <f t="shared" si="551"/>
        <v>144.80364755221169</v>
      </c>
      <c r="AE602" s="650">
        <v>850</v>
      </c>
      <c r="AF602" s="620">
        <f t="shared" si="552"/>
        <v>0.52566666666666673</v>
      </c>
      <c r="AG602" s="620">
        <v>9.6440000000000001</v>
      </c>
      <c r="AH602" s="620">
        <v>4.5170000000000003</v>
      </c>
      <c r="AI602" s="620">
        <f t="shared" si="553"/>
        <v>4.6013333333333328</v>
      </c>
      <c r="AJ602" s="620">
        <f t="shared" si="554"/>
        <v>33.974666666666671</v>
      </c>
      <c r="AK602" s="653">
        <f t="shared" si="555"/>
        <v>157.90065196658668</v>
      </c>
      <c r="AL602" s="650">
        <v>850</v>
      </c>
      <c r="AM602" s="620">
        <f t="shared" si="556"/>
        <v>0.83466666666666656</v>
      </c>
      <c r="AN602" s="620">
        <v>9.6440000000000001</v>
      </c>
      <c r="AO602" s="620">
        <v>4.5170000000000003</v>
      </c>
      <c r="AP602" s="620">
        <f t="shared" si="557"/>
        <v>4.2923333333333336</v>
      </c>
      <c r="AQ602" s="620">
        <f t="shared" si="558"/>
        <v>34.283666666666669</v>
      </c>
      <c r="AR602" s="698">
        <f t="shared" si="559"/>
        <v>148.63658810533167</v>
      </c>
      <c r="AS602" s="650">
        <v>850</v>
      </c>
      <c r="AT602" s="620">
        <f t="shared" si="573"/>
        <v>0.40166666666666667</v>
      </c>
      <c r="AU602" s="620">
        <v>9.6440000000000001</v>
      </c>
      <c r="AV602" s="620">
        <v>4.5170000000000003</v>
      </c>
      <c r="AW602" s="620">
        <f t="shared" si="561"/>
        <v>4.7253333333333334</v>
      </c>
      <c r="AX602" s="620">
        <f t="shared" si="562"/>
        <v>33.850666666666669</v>
      </c>
      <c r="AY602" s="698">
        <f t="shared" si="563"/>
        <v>161.56403795370667</v>
      </c>
      <c r="AZ602" s="75"/>
      <c r="BA602" s="650">
        <v>850</v>
      </c>
      <c r="BB602" s="620">
        <v>103.50685607036536</v>
      </c>
      <c r="BC602" s="720">
        <f>(BB613-BB614)/BB595</f>
        <v>0</v>
      </c>
      <c r="BD602" s="714">
        <f>D602-BB611</f>
        <v>177.12</v>
      </c>
      <c r="BE602" s="693">
        <f>BB613-BB614</f>
        <v>0</v>
      </c>
      <c r="BF602" s="693" t="e">
        <f t="shared" si="564"/>
        <v>#DIV/0!</v>
      </c>
      <c r="BG602" s="668" t="e">
        <f t="shared" si="565"/>
        <v>#DIV/0!</v>
      </c>
      <c r="BH602" s="650">
        <v>850</v>
      </c>
      <c r="BI602" s="620">
        <v>103.50685607036536</v>
      </c>
      <c r="BJ602" s="720">
        <f>(BI613-BI614)/BI595</f>
        <v>0</v>
      </c>
      <c r="BK602" s="714">
        <f>I602-BI611</f>
        <v>186.32000000000002</v>
      </c>
      <c r="BL602" s="693">
        <f>BI613-BI614</f>
        <v>0</v>
      </c>
      <c r="BM602" s="693" t="e">
        <f t="shared" si="566"/>
        <v>#DIV/0!</v>
      </c>
      <c r="BN602" s="668" t="e">
        <f t="shared" si="567"/>
        <v>#DIV/0!</v>
      </c>
      <c r="BO602" s="650">
        <v>850</v>
      </c>
      <c r="BP602" s="681">
        <v>103.50685607036536</v>
      </c>
      <c r="BQ602" s="720">
        <f>(BP613-BP614)/BP595</f>
        <v>0</v>
      </c>
      <c r="BR602" s="714">
        <f>N602-BP611</f>
        <v>169.95</v>
      </c>
      <c r="BS602" s="693">
        <f>BP613-BP614</f>
        <v>0</v>
      </c>
      <c r="BT602" s="693" t="e">
        <f t="shared" si="568"/>
        <v>#DIV/0!</v>
      </c>
      <c r="BU602" s="668" t="e">
        <f t="shared" si="569"/>
        <v>#DIV/0!</v>
      </c>
      <c r="BV602" s="650">
        <v>850</v>
      </c>
      <c r="BW602" s="620">
        <v>103.50685607036536</v>
      </c>
      <c r="BX602" s="720">
        <f>(BW613-BW614)/BW595</f>
        <v>0</v>
      </c>
      <c r="BY602" s="714">
        <f>S602-BW611</f>
        <v>206.18</v>
      </c>
      <c r="BZ602" s="693">
        <f>BW613-BW614</f>
        <v>0</v>
      </c>
      <c r="CA602" s="693" t="e">
        <f t="shared" si="570"/>
        <v>#DIV/0!</v>
      </c>
      <c r="CB602" s="668" t="e">
        <f t="shared" si="571"/>
        <v>#DIV/0!</v>
      </c>
    </row>
    <row r="603" spans="1:80" ht="15.75">
      <c r="A603" s="564"/>
      <c r="B603" s="585" t="s">
        <v>116</v>
      </c>
      <c r="C603" s="769">
        <v>950</v>
      </c>
      <c r="D603" s="655">
        <v>390.9</v>
      </c>
      <c r="E603" s="750">
        <v>7.63</v>
      </c>
      <c r="F603" s="750">
        <v>10.14</v>
      </c>
      <c r="G603" s="751">
        <v>9.43</v>
      </c>
      <c r="H603" s="769">
        <v>950</v>
      </c>
      <c r="I603" s="750">
        <v>400.31</v>
      </c>
      <c r="J603" s="42">
        <v>6.31</v>
      </c>
      <c r="K603" s="42">
        <v>5.51</v>
      </c>
      <c r="L603" s="754">
        <v>5.24</v>
      </c>
      <c r="M603" s="769">
        <v>950</v>
      </c>
      <c r="N603" s="639">
        <v>383.81</v>
      </c>
      <c r="O603" s="562">
        <v>8.86</v>
      </c>
      <c r="P603" s="562">
        <v>7.52</v>
      </c>
      <c r="Q603" s="588">
        <v>11.09</v>
      </c>
      <c r="R603" s="769">
        <v>950</v>
      </c>
      <c r="S603" s="639">
        <v>419.4</v>
      </c>
      <c r="T603" s="779">
        <v>4</v>
      </c>
      <c r="U603" s="639">
        <v>4.62</v>
      </c>
      <c r="V603" s="654">
        <v>4.74</v>
      </c>
      <c r="W603" s="564"/>
      <c r="X603" s="650">
        <v>950</v>
      </c>
      <c r="Y603" s="651">
        <f t="shared" si="548"/>
        <v>0.90666666666666662</v>
      </c>
      <c r="Z603" s="620">
        <v>9.6440000000000001</v>
      </c>
      <c r="AA603" s="620">
        <v>4.5170000000000003</v>
      </c>
      <c r="AB603" s="620">
        <f t="shared" si="549"/>
        <v>4.2203333333333335</v>
      </c>
      <c r="AC603" s="620">
        <f t="shared" si="550"/>
        <v>34.355666666666671</v>
      </c>
      <c r="AD603" s="653">
        <f t="shared" si="551"/>
        <v>182.93614223905166</v>
      </c>
      <c r="AE603" s="650">
        <v>950</v>
      </c>
      <c r="AF603" s="620">
        <f t="shared" si="552"/>
        <v>0.56866666666666676</v>
      </c>
      <c r="AG603" s="620">
        <v>9.6440000000000001</v>
      </c>
      <c r="AH603" s="620">
        <v>4.5170000000000003</v>
      </c>
      <c r="AI603" s="620">
        <f t="shared" si="553"/>
        <v>4.5583333333333327</v>
      </c>
      <c r="AJ603" s="620">
        <f t="shared" si="554"/>
        <v>34.01766666666667</v>
      </c>
      <c r="AK603" s="653">
        <f t="shared" si="555"/>
        <v>195.64330174929162</v>
      </c>
      <c r="AL603" s="650">
        <v>950</v>
      </c>
      <c r="AM603" s="620">
        <f t="shared" si="556"/>
        <v>0.91566666666666663</v>
      </c>
      <c r="AN603" s="620">
        <v>9.6440000000000001</v>
      </c>
      <c r="AO603" s="620">
        <v>4.5170000000000003</v>
      </c>
      <c r="AP603" s="620">
        <f t="shared" si="557"/>
        <v>4.2113333333333332</v>
      </c>
      <c r="AQ603" s="620">
        <f t="shared" si="558"/>
        <v>34.364666666666672</v>
      </c>
      <c r="AR603" s="698">
        <f t="shared" si="559"/>
        <v>182.59384564724667</v>
      </c>
      <c r="AS603" s="650">
        <v>950</v>
      </c>
      <c r="AT603" s="620">
        <f t="shared" si="573"/>
        <v>0.44533333333333341</v>
      </c>
      <c r="AU603" s="620">
        <v>9.6440000000000001</v>
      </c>
      <c r="AV603" s="620">
        <v>4.5170000000000003</v>
      </c>
      <c r="AW603" s="620">
        <f t="shared" si="561"/>
        <v>4.6816666666666666</v>
      </c>
      <c r="AX603" s="620">
        <f t="shared" si="562"/>
        <v>33.894333333333336</v>
      </c>
      <c r="AY603" s="698">
        <f t="shared" si="563"/>
        <v>200.20824884009164</v>
      </c>
      <c r="AZ603" s="75"/>
      <c r="BA603" s="650">
        <v>950</v>
      </c>
      <c r="BB603" s="620">
        <v>103.50685607036536</v>
      </c>
      <c r="BC603" s="720">
        <f>(BB613-BB614)/BB595</f>
        <v>0</v>
      </c>
      <c r="BD603" s="714">
        <f>D603-BB611</f>
        <v>175.84999999999997</v>
      </c>
      <c r="BE603" s="693">
        <f>BB613-BB614</f>
        <v>0</v>
      </c>
      <c r="BF603" s="693" t="e">
        <f t="shared" si="564"/>
        <v>#DIV/0!</v>
      </c>
      <c r="BG603" s="668" t="e">
        <f t="shared" si="565"/>
        <v>#DIV/0!</v>
      </c>
      <c r="BH603" s="650">
        <v>950</v>
      </c>
      <c r="BI603" s="620">
        <v>103.50685607036536</v>
      </c>
      <c r="BJ603" s="720">
        <f>(BI613-BI614)/BI595</f>
        <v>0</v>
      </c>
      <c r="BK603" s="714">
        <f>I603-BI611</f>
        <v>185.28</v>
      </c>
      <c r="BL603" s="693">
        <f>BI613-BI614</f>
        <v>0</v>
      </c>
      <c r="BM603" s="693" t="e">
        <f t="shared" si="566"/>
        <v>#DIV/0!</v>
      </c>
      <c r="BN603" s="668" t="e">
        <f t="shared" si="567"/>
        <v>#DIV/0!</v>
      </c>
      <c r="BO603" s="650">
        <v>950</v>
      </c>
      <c r="BP603" s="681">
        <v>103.50685607036536</v>
      </c>
      <c r="BQ603" s="720">
        <f>(BP613-BP614)/BP595</f>
        <v>0</v>
      </c>
      <c r="BR603" s="714">
        <f>N603-BP611</f>
        <v>168.92000000000002</v>
      </c>
      <c r="BS603" s="693">
        <f>BP613-BP614</f>
        <v>0</v>
      </c>
      <c r="BT603" s="693" t="e">
        <f t="shared" si="568"/>
        <v>#DIV/0!</v>
      </c>
      <c r="BU603" s="668" t="e">
        <f t="shared" si="569"/>
        <v>#DIV/0!</v>
      </c>
      <c r="BV603" s="650">
        <v>950</v>
      </c>
      <c r="BW603" s="620">
        <v>103.50685607036536</v>
      </c>
      <c r="BX603" s="720">
        <f>(BW613-BW614)/BW595</f>
        <v>0</v>
      </c>
      <c r="BY603" s="714">
        <f>S603-BW611</f>
        <v>204.76</v>
      </c>
      <c r="BZ603" s="693">
        <f>BW613-BW614</f>
        <v>0</v>
      </c>
      <c r="CA603" s="693" t="e">
        <f t="shared" si="570"/>
        <v>#DIV/0!</v>
      </c>
      <c r="CB603" s="668" t="e">
        <f t="shared" si="571"/>
        <v>#DIV/0!</v>
      </c>
    </row>
    <row r="604" spans="1:80" ht="15.75">
      <c r="A604" s="564"/>
      <c r="B604" s="585" t="s">
        <v>116</v>
      </c>
      <c r="C604" s="769">
        <v>1000</v>
      </c>
      <c r="D604" s="655">
        <v>390.07</v>
      </c>
      <c r="E604" s="750">
        <v>9.0500000000000007</v>
      </c>
      <c r="F604" s="750">
        <v>9.75</v>
      </c>
      <c r="G604" s="751">
        <v>9.74</v>
      </c>
      <c r="H604" s="769">
        <v>1000</v>
      </c>
      <c r="I604" s="750">
        <v>399.63</v>
      </c>
      <c r="J604" s="42">
        <v>6.38</v>
      </c>
      <c r="K604" s="42">
        <v>5.65</v>
      </c>
      <c r="L604" s="754">
        <v>6.04</v>
      </c>
      <c r="M604" s="769">
        <v>1000</v>
      </c>
      <c r="N604" s="562">
        <v>383.11</v>
      </c>
      <c r="O604" s="639">
        <v>9.0399999999999991</v>
      </c>
      <c r="P604" s="562">
        <v>8.15</v>
      </c>
      <c r="Q604" s="588">
        <v>9.52</v>
      </c>
      <c r="R604" s="769">
        <v>1000</v>
      </c>
      <c r="S604" s="639">
        <v>418.55</v>
      </c>
      <c r="T604" s="779">
        <v>5.12</v>
      </c>
      <c r="U604" s="639">
        <v>5.59</v>
      </c>
      <c r="V604" s="654">
        <v>5.14</v>
      </c>
      <c r="W604" s="564"/>
      <c r="X604" s="650">
        <v>1000</v>
      </c>
      <c r="Y604" s="651">
        <f t="shared" si="548"/>
        <v>0.95133333333333336</v>
      </c>
      <c r="Z604" s="620">
        <v>9.6440000000000001</v>
      </c>
      <c r="AA604" s="620">
        <v>4.5170000000000003</v>
      </c>
      <c r="AB604" s="620">
        <f t="shared" si="549"/>
        <v>4.1756666666666664</v>
      </c>
      <c r="AC604" s="620">
        <f t="shared" si="550"/>
        <v>34.400333333333336</v>
      </c>
      <c r="AD604" s="653">
        <f t="shared" si="551"/>
        <v>200.81476666066663</v>
      </c>
      <c r="AE604" s="650">
        <v>1000</v>
      </c>
      <c r="AF604" s="620">
        <f t="shared" si="552"/>
        <v>0.60233333333333339</v>
      </c>
      <c r="AG604" s="620">
        <v>9.6440000000000001</v>
      </c>
      <c r="AH604" s="620">
        <v>4.5170000000000003</v>
      </c>
      <c r="AI604" s="620">
        <f t="shared" si="553"/>
        <v>4.5246666666666666</v>
      </c>
      <c r="AJ604" s="620">
        <f t="shared" si="554"/>
        <v>34.051333333333339</v>
      </c>
      <c r="AK604" s="653">
        <f t="shared" si="555"/>
        <v>215.39116417866666</v>
      </c>
      <c r="AL604" s="650">
        <v>1000</v>
      </c>
      <c r="AM604" s="620">
        <f>AVERAGE(P604:Q604)/10</f>
        <v>0.88350000000000006</v>
      </c>
      <c r="AN604" s="620">
        <v>9.6440000000000001</v>
      </c>
      <c r="AO604" s="620">
        <v>4.5170000000000003</v>
      </c>
      <c r="AP604" s="620">
        <f t="shared" si="557"/>
        <v>4.2435</v>
      </c>
      <c r="AQ604" s="620">
        <f t="shared" si="558"/>
        <v>34.332500000000003</v>
      </c>
      <c r="AR604" s="698">
        <f t="shared" si="559"/>
        <v>203.67456932249996</v>
      </c>
      <c r="AS604" s="650">
        <v>1000</v>
      </c>
      <c r="AT604" s="620">
        <f t="shared" si="573"/>
        <v>0.52833333333333343</v>
      </c>
      <c r="AU604" s="620">
        <v>9.6440000000000001</v>
      </c>
      <c r="AV604" s="620">
        <v>4.5170000000000003</v>
      </c>
      <c r="AW604" s="620">
        <f t="shared" si="561"/>
        <v>4.5986666666666665</v>
      </c>
      <c r="AX604" s="620">
        <f t="shared" si="562"/>
        <v>33.977333333333341</v>
      </c>
      <c r="AY604" s="698">
        <f t="shared" si="563"/>
        <v>218.43810145066666</v>
      </c>
      <c r="AZ604" s="75"/>
      <c r="BA604" s="650">
        <v>1000</v>
      </c>
      <c r="BB604" s="620">
        <v>103.50685607036536</v>
      </c>
      <c r="BC604" s="720">
        <f>(BB613-BB614)/BB595</f>
        <v>0</v>
      </c>
      <c r="BD604" s="714">
        <f>D604-BB611</f>
        <v>175.01999999999998</v>
      </c>
      <c r="BE604" s="693">
        <f>BB613-BB614</f>
        <v>0</v>
      </c>
      <c r="BF604" s="693" t="e">
        <f t="shared" si="564"/>
        <v>#DIV/0!</v>
      </c>
      <c r="BG604" s="668" t="e">
        <f t="shared" si="565"/>
        <v>#DIV/0!</v>
      </c>
      <c r="BH604" s="650">
        <v>1000</v>
      </c>
      <c r="BI604" s="620">
        <v>103.50685607036536</v>
      </c>
      <c r="BJ604" s="720">
        <f>(BI613-BI614)/BI595</f>
        <v>0</v>
      </c>
      <c r="BK604" s="714">
        <f>I604-BI611</f>
        <v>184.6</v>
      </c>
      <c r="BL604" s="693">
        <f>BI613-BI614</f>
        <v>0</v>
      </c>
      <c r="BM604" s="693" t="e">
        <f t="shared" si="566"/>
        <v>#DIV/0!</v>
      </c>
      <c r="BN604" s="668" t="e">
        <f t="shared" si="567"/>
        <v>#DIV/0!</v>
      </c>
      <c r="BO604" s="650">
        <v>1000</v>
      </c>
      <c r="BP604" s="681">
        <v>103.50685607036536</v>
      </c>
      <c r="BQ604" s="720">
        <f>(BP613-BP614)/BP595</f>
        <v>0</v>
      </c>
      <c r="BR604" s="714">
        <f>N604-BP611</f>
        <v>168.22000000000003</v>
      </c>
      <c r="BS604" s="693">
        <f>BP613-BP614</f>
        <v>0</v>
      </c>
      <c r="BT604" s="693" t="e">
        <f t="shared" si="568"/>
        <v>#DIV/0!</v>
      </c>
      <c r="BU604" s="668" t="e">
        <f t="shared" si="569"/>
        <v>#DIV/0!</v>
      </c>
      <c r="BV604" s="650">
        <v>1000</v>
      </c>
      <c r="BW604" s="620">
        <v>103.50685607036536</v>
      </c>
      <c r="BX604" s="720">
        <f>(BW613-BW614)/BW595</f>
        <v>0</v>
      </c>
      <c r="BY604" s="714">
        <f>S604-BW611</f>
        <v>203.91000000000003</v>
      </c>
      <c r="BZ604" s="693">
        <f>BW613-BW614</f>
        <v>0</v>
      </c>
      <c r="CA604" s="693" t="e">
        <f t="shared" si="570"/>
        <v>#DIV/0!</v>
      </c>
      <c r="CB604" s="668" t="e">
        <f t="shared" si="571"/>
        <v>#DIV/0!</v>
      </c>
    </row>
    <row r="605" spans="1:80" ht="15.75">
      <c r="A605" s="564"/>
      <c r="B605" s="585" t="s">
        <v>116</v>
      </c>
      <c r="C605" s="769">
        <v>1350</v>
      </c>
      <c r="D605" s="655">
        <v>387.27</v>
      </c>
      <c r="E605" s="750">
        <v>8.69</v>
      </c>
      <c r="F605" s="750">
        <v>12.04</v>
      </c>
      <c r="G605" s="751">
        <v>10.47</v>
      </c>
      <c r="H605" s="769">
        <v>1350</v>
      </c>
      <c r="I605" s="42">
        <v>397.29</v>
      </c>
      <c r="J605" s="42">
        <v>7.86</v>
      </c>
      <c r="K605" s="42">
        <v>6.69</v>
      </c>
      <c r="L605" s="42">
        <v>6.84</v>
      </c>
      <c r="M605" s="769">
        <v>1350</v>
      </c>
      <c r="N605" s="639">
        <v>380.92</v>
      </c>
      <c r="O605" s="562">
        <v>10.53</v>
      </c>
      <c r="P605" s="562">
        <v>9.36</v>
      </c>
      <c r="Q605" s="654">
        <v>13</v>
      </c>
      <c r="R605" s="769">
        <v>1350</v>
      </c>
      <c r="S605" s="639">
        <v>416.03</v>
      </c>
      <c r="T605" s="779">
        <v>5.68</v>
      </c>
      <c r="U605" s="639">
        <v>5.99</v>
      </c>
      <c r="V605" s="654">
        <v>5.59</v>
      </c>
      <c r="W605" s="564"/>
      <c r="X605" s="650">
        <v>1350</v>
      </c>
      <c r="Y605" s="651">
        <f t="shared" si="548"/>
        <v>1.0399999999999998</v>
      </c>
      <c r="Z605" s="620">
        <v>9.6440000000000001</v>
      </c>
      <c r="AA605" s="620">
        <v>4.5170000000000003</v>
      </c>
      <c r="AB605" s="620">
        <f t="shared" si="549"/>
        <v>4.0869999999999997</v>
      </c>
      <c r="AC605" s="620">
        <f t="shared" si="550"/>
        <v>34.489000000000004</v>
      </c>
      <c r="AD605" s="653">
        <f t="shared" si="551"/>
        <v>359.13683286526498</v>
      </c>
      <c r="AE605" s="650">
        <v>1350</v>
      </c>
      <c r="AF605" s="620">
        <f t="shared" si="552"/>
        <v>0.71299999999999997</v>
      </c>
      <c r="AG605" s="620">
        <v>9.6440000000000001</v>
      </c>
      <c r="AH605" s="620">
        <v>4.5170000000000003</v>
      </c>
      <c r="AI605" s="620">
        <f t="shared" si="553"/>
        <v>4.4139999999999997</v>
      </c>
      <c r="AJ605" s="620">
        <f t="shared" si="554"/>
        <v>34.162000000000006</v>
      </c>
      <c r="AK605" s="653">
        <f t="shared" si="555"/>
        <v>384.19377655914002</v>
      </c>
      <c r="AL605" s="650">
        <v>1350</v>
      </c>
      <c r="AM605" s="620">
        <f t="shared" ref="AM605:AM607" si="574">AVERAGE(O605:Q605)/10</f>
        <v>1.0963333333333334</v>
      </c>
      <c r="AN605" s="620">
        <v>9.6440000000000001</v>
      </c>
      <c r="AO605" s="620">
        <v>4.5170000000000003</v>
      </c>
      <c r="AP605" s="620">
        <f t="shared" si="557"/>
        <v>4.0306666666666668</v>
      </c>
      <c r="AQ605" s="620">
        <f t="shared" si="558"/>
        <v>34.545333333333339</v>
      </c>
      <c r="AR605" s="698">
        <f t="shared" si="559"/>
        <v>354.76517371464007</v>
      </c>
      <c r="AS605" s="650">
        <v>1350</v>
      </c>
      <c r="AT605" s="620">
        <f t="shared" si="573"/>
        <v>0.57533333333333325</v>
      </c>
      <c r="AU605" s="620">
        <v>9.6440000000000001</v>
      </c>
      <c r="AV605" s="620">
        <v>4.5170000000000003</v>
      </c>
      <c r="AW605" s="620">
        <f t="shared" si="561"/>
        <v>4.5516666666666667</v>
      </c>
      <c r="AX605" s="620">
        <f t="shared" si="562"/>
        <v>34.024333333333338</v>
      </c>
      <c r="AY605" s="698">
        <f t="shared" si="563"/>
        <v>394.57974029242502</v>
      </c>
      <c r="AZ605" s="75"/>
      <c r="BA605" s="650">
        <v>1350</v>
      </c>
      <c r="BB605" s="620">
        <v>103.50685607036536</v>
      </c>
      <c r="BC605" s="720">
        <f>(BB613-BB614)/BB595</f>
        <v>0</v>
      </c>
      <c r="BD605" s="714">
        <f>D605-BB611</f>
        <v>172.21999999999997</v>
      </c>
      <c r="BE605" s="693">
        <f>BB613-BB614</f>
        <v>0</v>
      </c>
      <c r="BF605" s="693" t="e">
        <f t="shared" si="564"/>
        <v>#DIV/0!</v>
      </c>
      <c r="BG605" s="668" t="e">
        <f t="shared" si="565"/>
        <v>#DIV/0!</v>
      </c>
      <c r="BH605" s="650">
        <v>1350</v>
      </c>
      <c r="BI605" s="620">
        <v>103.50685607036536</v>
      </c>
      <c r="BJ605" s="720">
        <f>(BI613-BI614)/BI595</f>
        <v>0</v>
      </c>
      <c r="BK605" s="714">
        <f>I605-BI611</f>
        <v>182.26000000000002</v>
      </c>
      <c r="BL605" s="693">
        <f>BI613-BI614</f>
        <v>0</v>
      </c>
      <c r="BM605" s="693" t="e">
        <f t="shared" si="566"/>
        <v>#DIV/0!</v>
      </c>
      <c r="BN605" s="668" t="e">
        <f t="shared" si="567"/>
        <v>#DIV/0!</v>
      </c>
      <c r="BO605" s="650">
        <v>1350</v>
      </c>
      <c r="BP605" s="681">
        <v>103.50685607036536</v>
      </c>
      <c r="BQ605" s="720">
        <f>(BP613-BP614)/BP595</f>
        <v>0</v>
      </c>
      <c r="BR605" s="714">
        <f>N605-BP611</f>
        <v>166.03000000000003</v>
      </c>
      <c r="BS605" s="693">
        <f>BP613-BP614</f>
        <v>0</v>
      </c>
      <c r="BT605" s="693" t="e">
        <f t="shared" si="568"/>
        <v>#DIV/0!</v>
      </c>
      <c r="BU605" s="668" t="e">
        <f t="shared" si="569"/>
        <v>#DIV/0!</v>
      </c>
      <c r="BV605" s="650">
        <v>1350</v>
      </c>
      <c r="BW605" s="620">
        <v>103.50685607036536</v>
      </c>
      <c r="BX605" s="720">
        <f>(BW613-BW614)/BW595</f>
        <v>0</v>
      </c>
      <c r="BY605" s="714">
        <f>S605-BW611</f>
        <v>201.39</v>
      </c>
      <c r="BZ605" s="693">
        <f>BW613-BW614</f>
        <v>0</v>
      </c>
      <c r="CA605" s="693" t="e">
        <f t="shared" si="570"/>
        <v>#DIV/0!</v>
      </c>
      <c r="CB605" s="668" t="e">
        <f t="shared" si="571"/>
        <v>#DIV/0!</v>
      </c>
    </row>
    <row r="606" spans="1:80" ht="15.75">
      <c r="A606" s="564"/>
      <c r="B606" s="585" t="s">
        <v>116</v>
      </c>
      <c r="C606" s="769">
        <v>2500</v>
      </c>
      <c r="D606" s="655">
        <v>382.66</v>
      </c>
      <c r="E606" s="750">
        <v>13.16</v>
      </c>
      <c r="F606" s="750">
        <v>11.91</v>
      </c>
      <c r="G606" s="751">
        <v>14.72</v>
      </c>
      <c r="H606" s="769">
        <v>2500</v>
      </c>
      <c r="I606" s="42">
        <v>392.59</v>
      </c>
      <c r="J606" s="42">
        <v>11.74</v>
      </c>
      <c r="K606" s="42">
        <v>10.199999999999999</v>
      </c>
      <c r="L606" s="42">
        <v>10.210000000000001</v>
      </c>
      <c r="M606" s="769">
        <v>2500</v>
      </c>
      <c r="N606" s="639">
        <v>376.86</v>
      </c>
      <c r="O606" s="562">
        <v>17.2</v>
      </c>
      <c r="P606" s="562">
        <v>13.79</v>
      </c>
      <c r="Q606" s="588">
        <v>11.81</v>
      </c>
      <c r="R606" s="769">
        <v>2500</v>
      </c>
      <c r="S606" s="639">
        <v>411.41</v>
      </c>
      <c r="T606" s="779">
        <v>8.1999999999999993</v>
      </c>
      <c r="U606" s="639">
        <v>7.32</v>
      </c>
      <c r="V606" s="654">
        <v>8.17</v>
      </c>
      <c r="W606" s="564"/>
      <c r="X606" s="650">
        <v>2500</v>
      </c>
      <c r="Y606" s="651">
        <f t="shared" si="548"/>
        <v>1.3263333333333334</v>
      </c>
      <c r="Z606" s="620">
        <v>9.6440000000000001</v>
      </c>
      <c r="AA606" s="620">
        <v>4.5170000000000003</v>
      </c>
      <c r="AB606" s="620">
        <f t="shared" si="549"/>
        <v>3.8006666666666664</v>
      </c>
      <c r="AC606" s="620">
        <f t="shared" si="550"/>
        <v>34.775333333333336</v>
      </c>
      <c r="AD606" s="653">
        <f t="shared" si="551"/>
        <v>1154.8305713166665</v>
      </c>
      <c r="AE606" s="650">
        <v>2500</v>
      </c>
      <c r="AF606" s="620">
        <f t="shared" si="552"/>
        <v>1.0716666666666668</v>
      </c>
      <c r="AG606" s="620">
        <v>9.6440000000000001</v>
      </c>
      <c r="AH606" s="620">
        <v>4.5170000000000003</v>
      </c>
      <c r="AI606" s="620">
        <f t="shared" si="553"/>
        <v>4.0553333333333335</v>
      </c>
      <c r="AJ606" s="620">
        <f t="shared" si="554"/>
        <v>34.520666666666671</v>
      </c>
      <c r="AK606" s="653">
        <f t="shared" si="555"/>
        <v>1223.1871793166665</v>
      </c>
      <c r="AL606" s="650">
        <v>2500</v>
      </c>
      <c r="AM606" s="620">
        <f t="shared" si="574"/>
        <v>1.4266666666666665</v>
      </c>
      <c r="AN606" s="620">
        <v>9.6440000000000001</v>
      </c>
      <c r="AO606" s="620">
        <v>4.5170000000000003</v>
      </c>
      <c r="AP606" s="620">
        <f t="shared" si="557"/>
        <v>3.700333333333333</v>
      </c>
      <c r="AQ606" s="620">
        <f t="shared" si="558"/>
        <v>34.875666666666675</v>
      </c>
      <c r="AR606" s="698">
        <f t="shared" si="559"/>
        <v>1127.5882841291666</v>
      </c>
      <c r="AS606" s="650">
        <v>2500</v>
      </c>
      <c r="AT606" s="620">
        <f t="shared" si="573"/>
        <v>0.78966666666666652</v>
      </c>
      <c r="AU606" s="620">
        <v>9.6440000000000001</v>
      </c>
      <c r="AV606" s="620">
        <v>4.5170000000000003</v>
      </c>
      <c r="AW606" s="620">
        <f t="shared" si="561"/>
        <v>4.3373333333333335</v>
      </c>
      <c r="AX606" s="620">
        <f t="shared" si="562"/>
        <v>34.238666666666674</v>
      </c>
      <c r="AY606" s="698">
        <f t="shared" si="563"/>
        <v>1297.5581580666669</v>
      </c>
      <c r="AZ606" s="75"/>
      <c r="BA606" s="650">
        <v>2500</v>
      </c>
      <c r="BB606" s="620">
        <v>103.50685607036536</v>
      </c>
      <c r="BC606" s="720">
        <f>(BB613-BB614)/BB595</f>
        <v>0</v>
      </c>
      <c r="BD606" s="714">
        <f>D606-BB611</f>
        <v>167.61</v>
      </c>
      <c r="BE606" s="693">
        <f>BB613-BB614</f>
        <v>0</v>
      </c>
      <c r="BF606" s="693" t="e">
        <f t="shared" si="564"/>
        <v>#DIV/0!</v>
      </c>
      <c r="BG606" s="668" t="e">
        <f t="shared" si="565"/>
        <v>#DIV/0!</v>
      </c>
      <c r="BH606" s="650">
        <v>2500</v>
      </c>
      <c r="BI606" s="620">
        <v>103.50685607036536</v>
      </c>
      <c r="BJ606" s="720">
        <f>(BI613-BI614)/BI595</f>
        <v>0</v>
      </c>
      <c r="BK606" s="714">
        <f>I606-BI611</f>
        <v>177.55999999999997</v>
      </c>
      <c r="BL606" s="693">
        <f>BI613-BI614</f>
        <v>0</v>
      </c>
      <c r="BM606" s="693" t="e">
        <f t="shared" si="566"/>
        <v>#DIV/0!</v>
      </c>
      <c r="BN606" s="668" t="e">
        <f t="shared" si="567"/>
        <v>#DIV/0!</v>
      </c>
      <c r="BO606" s="650">
        <v>2500</v>
      </c>
      <c r="BP606" s="681">
        <v>103.50685607036536</v>
      </c>
      <c r="BQ606" s="720">
        <f>(BP613-BP614)/BP595</f>
        <v>0</v>
      </c>
      <c r="BR606" s="714">
        <f>N606-BP611</f>
        <v>161.97000000000003</v>
      </c>
      <c r="BS606" s="693">
        <f>BP613-BP614</f>
        <v>0</v>
      </c>
      <c r="BT606" s="693" t="e">
        <f t="shared" si="568"/>
        <v>#DIV/0!</v>
      </c>
      <c r="BU606" s="668" t="e">
        <f t="shared" si="569"/>
        <v>#DIV/0!</v>
      </c>
      <c r="BV606" s="650">
        <v>2500</v>
      </c>
      <c r="BW606" s="620">
        <v>103.50685607036536</v>
      </c>
      <c r="BX606" s="720">
        <f>(BW613-BW614)/BW595</f>
        <v>0</v>
      </c>
      <c r="BY606" s="714">
        <f>S606-BW611</f>
        <v>196.77000000000004</v>
      </c>
      <c r="BZ606" s="693">
        <f>BW613-BW614</f>
        <v>0</v>
      </c>
      <c r="CA606" s="693" t="e">
        <f t="shared" si="570"/>
        <v>#DIV/0!</v>
      </c>
      <c r="CB606" s="668" t="e">
        <f t="shared" si="571"/>
        <v>#DIV/0!</v>
      </c>
    </row>
    <row r="607" spans="1:80" ht="15.75">
      <c r="A607" s="564"/>
      <c r="B607" s="585" t="s">
        <v>116</v>
      </c>
      <c r="C607" s="769">
        <v>5000</v>
      </c>
      <c r="D607" s="655">
        <v>378.97</v>
      </c>
      <c r="E607" s="750">
        <v>18.010000000000002</v>
      </c>
      <c r="F607" s="750">
        <v>16.91</v>
      </c>
      <c r="G607" s="751">
        <v>20.03</v>
      </c>
      <c r="H607" s="769">
        <v>5000</v>
      </c>
      <c r="I607" s="42">
        <v>388.25</v>
      </c>
      <c r="J607" s="42">
        <v>17.48</v>
      </c>
      <c r="K607" s="42">
        <v>15.97</v>
      </c>
      <c r="L607" s="42">
        <v>16.91</v>
      </c>
      <c r="M607" s="769">
        <v>5000</v>
      </c>
      <c r="N607" s="639">
        <v>372.96</v>
      </c>
      <c r="O607" s="562">
        <v>18.93</v>
      </c>
      <c r="P607" s="562">
        <v>21.97</v>
      </c>
      <c r="Q607" s="588">
        <v>19.27</v>
      </c>
      <c r="R607" s="769">
        <v>5000</v>
      </c>
      <c r="S607" s="639">
        <v>407.21</v>
      </c>
      <c r="T607" s="779">
        <v>13.28</v>
      </c>
      <c r="U607" s="639">
        <v>12.54</v>
      </c>
      <c r="V607" s="654">
        <v>13.21</v>
      </c>
      <c r="W607" s="564"/>
      <c r="X607" s="650">
        <v>5000</v>
      </c>
      <c r="Y607" s="651">
        <f t="shared" si="548"/>
        <v>1.8316666666666666</v>
      </c>
      <c r="Z607" s="620">
        <v>9.6440000000000001</v>
      </c>
      <c r="AA607" s="620">
        <v>4.5170000000000003</v>
      </c>
      <c r="AB607" s="620">
        <f t="shared" si="549"/>
        <v>3.2953333333333337</v>
      </c>
      <c r="AC607" s="620">
        <f t="shared" si="550"/>
        <v>35.280666666666669</v>
      </c>
      <c r="AD607" s="653">
        <f t="shared" si="551"/>
        <v>4063.3414132666667</v>
      </c>
      <c r="AE607" s="650">
        <v>5000</v>
      </c>
      <c r="AF607" s="620">
        <f t="shared" si="552"/>
        <v>1.6786666666666665</v>
      </c>
      <c r="AG607" s="620">
        <v>9.6440000000000001</v>
      </c>
      <c r="AH607" s="620">
        <v>4.5170000000000003</v>
      </c>
      <c r="AI607" s="620">
        <f t="shared" si="553"/>
        <v>3.4483333333333333</v>
      </c>
      <c r="AJ607" s="620">
        <f t="shared" si="554"/>
        <v>35.12766666666667</v>
      </c>
      <c r="AK607" s="653">
        <f t="shared" si="555"/>
        <v>4233.5600409166664</v>
      </c>
      <c r="AL607" s="650">
        <v>5000</v>
      </c>
      <c r="AM607" s="620">
        <f t="shared" si="574"/>
        <v>2.0056666666666669</v>
      </c>
      <c r="AN607" s="620">
        <v>9.6440000000000001</v>
      </c>
      <c r="AO607" s="620">
        <v>4.5170000000000003</v>
      </c>
      <c r="AP607" s="620">
        <f t="shared" si="557"/>
        <v>3.1213333333333324</v>
      </c>
      <c r="AQ607" s="620">
        <f t="shared" si="558"/>
        <v>35.454666666666675</v>
      </c>
      <c r="AR607" s="698">
        <f t="shared" si="559"/>
        <v>3867.770859466666</v>
      </c>
      <c r="AS607" s="650">
        <v>5000</v>
      </c>
      <c r="AT607" s="620">
        <f t="shared" si="573"/>
        <v>1.3009999999999999</v>
      </c>
      <c r="AU607" s="620">
        <v>9.6440000000000001</v>
      </c>
      <c r="AV607" s="620">
        <v>4.5170000000000003</v>
      </c>
      <c r="AW607" s="620">
        <f t="shared" si="561"/>
        <v>3.8259999999999996</v>
      </c>
      <c r="AX607" s="620">
        <f t="shared" si="562"/>
        <v>34.750000000000007</v>
      </c>
      <c r="AY607" s="698">
        <f t="shared" si="563"/>
        <v>4646.7248250000002</v>
      </c>
      <c r="AZ607" s="75"/>
      <c r="BA607" s="650">
        <v>5000</v>
      </c>
      <c r="BB607" s="620">
        <v>103.50685607036536</v>
      </c>
      <c r="BC607" s="720">
        <f>(BB613-BB614)/BB595</f>
        <v>0</v>
      </c>
      <c r="BD607" s="714">
        <f>D607-BB611</f>
        <v>163.92000000000002</v>
      </c>
      <c r="BE607" s="693">
        <f>BB613-BB614</f>
        <v>0</v>
      </c>
      <c r="BF607" s="693" t="e">
        <f t="shared" si="564"/>
        <v>#DIV/0!</v>
      </c>
      <c r="BG607" s="668" t="e">
        <f t="shared" si="565"/>
        <v>#DIV/0!</v>
      </c>
      <c r="BH607" s="650">
        <v>5000</v>
      </c>
      <c r="BI607" s="620">
        <v>103.50685607036536</v>
      </c>
      <c r="BJ607" s="720">
        <f>(BI613-BI614)/BI595</f>
        <v>0</v>
      </c>
      <c r="BK607" s="714">
        <f>I607-BI611</f>
        <v>173.22</v>
      </c>
      <c r="BL607" s="693">
        <f>BI613-BI614</f>
        <v>0</v>
      </c>
      <c r="BM607" s="693" t="e">
        <f t="shared" si="566"/>
        <v>#DIV/0!</v>
      </c>
      <c r="BN607" s="668" t="e">
        <f t="shared" si="567"/>
        <v>#DIV/0!</v>
      </c>
      <c r="BO607" s="650">
        <v>5000</v>
      </c>
      <c r="BP607" s="681">
        <v>103.50685607036536</v>
      </c>
      <c r="BQ607" s="720">
        <f>(BP613-BP614)/BP595</f>
        <v>0</v>
      </c>
      <c r="BR607" s="714">
        <f>N607-BP611</f>
        <v>158.07</v>
      </c>
      <c r="BS607" s="693">
        <f>BP613-BP614</f>
        <v>0</v>
      </c>
      <c r="BT607" s="693" t="e">
        <f t="shared" si="568"/>
        <v>#DIV/0!</v>
      </c>
      <c r="BU607" s="668" t="e">
        <f t="shared" si="569"/>
        <v>#DIV/0!</v>
      </c>
      <c r="BV607" s="650">
        <v>5000</v>
      </c>
      <c r="BW607" s="620">
        <v>103.50685607036536</v>
      </c>
      <c r="BX607" s="720">
        <f>(BW613-BW614)/BW595</f>
        <v>0</v>
      </c>
      <c r="BY607" s="714">
        <f>S607-BW611</f>
        <v>192.57</v>
      </c>
      <c r="BZ607" s="693">
        <f>BW613-BW614</f>
        <v>0</v>
      </c>
      <c r="CA607" s="693" t="e">
        <f t="shared" si="570"/>
        <v>#DIV/0!</v>
      </c>
      <c r="CB607" s="668" t="e">
        <f t="shared" si="571"/>
        <v>#DIV/0!</v>
      </c>
    </row>
    <row r="608" spans="1:80" ht="15.75">
      <c r="A608" s="564"/>
      <c r="B608" s="585" t="s">
        <v>116</v>
      </c>
      <c r="C608" s="769">
        <v>7000</v>
      </c>
      <c r="D608" s="655">
        <v>377.35</v>
      </c>
      <c r="E608" s="750">
        <v>20.96</v>
      </c>
      <c r="F608" s="750">
        <v>18.41</v>
      </c>
      <c r="G608" s="751">
        <v>18.829999999999998</v>
      </c>
      <c r="H608" s="769">
        <v>7000</v>
      </c>
      <c r="I608" s="42">
        <v>386.53</v>
      </c>
      <c r="J608" s="42">
        <v>17.739999999999998</v>
      </c>
      <c r="K608" s="42">
        <v>18.399999999999999</v>
      </c>
      <c r="L608" s="42">
        <v>18.53</v>
      </c>
      <c r="M608" s="769">
        <v>7000</v>
      </c>
      <c r="N608" s="639">
        <v>371.17</v>
      </c>
      <c r="O608" s="562">
        <v>19.66</v>
      </c>
      <c r="P608" s="562">
        <v>24.83</v>
      </c>
      <c r="Q608" s="588">
        <v>18.96</v>
      </c>
      <c r="R608" s="769">
        <v>7000</v>
      </c>
      <c r="S608" s="639">
        <v>405.37</v>
      </c>
      <c r="T608" s="639">
        <v>13.62</v>
      </c>
      <c r="U608" s="639">
        <v>12.93</v>
      </c>
      <c r="V608" s="654">
        <v>13.48</v>
      </c>
      <c r="W608" s="564"/>
      <c r="X608" s="650">
        <v>7000</v>
      </c>
      <c r="Y608" s="651">
        <f t="shared" si="548"/>
        <v>1.9400000000000002</v>
      </c>
      <c r="Z608" s="620">
        <v>9.6440000000000001</v>
      </c>
      <c r="AA608" s="620">
        <v>4.5170000000000003</v>
      </c>
      <c r="AB608" s="620">
        <f t="shared" si="549"/>
        <v>3.1869999999999994</v>
      </c>
      <c r="AC608" s="620">
        <f t="shared" si="550"/>
        <v>35.389000000000003</v>
      </c>
      <c r="AD608" s="653">
        <f t="shared" si="551"/>
        <v>7725.9804649859989</v>
      </c>
      <c r="AE608" s="650">
        <v>7000</v>
      </c>
      <c r="AF608" s="620">
        <f t="shared" si="552"/>
        <v>1.8223333333333334</v>
      </c>
      <c r="AG608" s="620">
        <v>9.6440000000000001</v>
      </c>
      <c r="AH608" s="620">
        <v>4.5170000000000003</v>
      </c>
      <c r="AI608" s="620">
        <f t="shared" si="553"/>
        <v>3.304666666666666</v>
      </c>
      <c r="AJ608" s="620">
        <f t="shared" si="554"/>
        <v>35.271333333333338</v>
      </c>
      <c r="AK608" s="653">
        <f t="shared" si="555"/>
        <v>7984.5930895546653</v>
      </c>
      <c r="AL608" s="650">
        <v>7000</v>
      </c>
      <c r="AM608" s="620">
        <f>AVERAGE(O608:Q608)/10</f>
        <v>2.1149999999999998</v>
      </c>
      <c r="AN608" s="620">
        <v>9.6440000000000001</v>
      </c>
      <c r="AO608" s="620">
        <v>4.5170000000000003</v>
      </c>
      <c r="AP608" s="620">
        <f t="shared" si="557"/>
        <v>3.0120000000000005</v>
      </c>
      <c r="AQ608" s="620">
        <f t="shared" si="558"/>
        <v>35.564000000000007</v>
      </c>
      <c r="AR608" s="698">
        <f t="shared" si="559"/>
        <v>7337.8498455360022</v>
      </c>
      <c r="AS608" s="650">
        <v>7000</v>
      </c>
      <c r="AT608" s="620">
        <f t="shared" si="573"/>
        <v>1.3343333333333334</v>
      </c>
      <c r="AU608" s="620">
        <v>9.6440000000000001</v>
      </c>
      <c r="AV608" s="620">
        <v>4.5170000000000003</v>
      </c>
      <c r="AW608" s="620">
        <f t="shared" si="561"/>
        <v>3.7926666666666664</v>
      </c>
      <c r="AX608" s="620">
        <f t="shared" si="562"/>
        <v>34.783333333333339</v>
      </c>
      <c r="AY608" s="698">
        <f t="shared" si="563"/>
        <v>9036.8926820666657</v>
      </c>
      <c r="AZ608" s="75"/>
      <c r="BA608" s="650">
        <v>7000</v>
      </c>
      <c r="BB608" s="620">
        <v>103.50685607036536</v>
      </c>
      <c r="BC608" s="720">
        <f>(BB613-BB614)/BB595</f>
        <v>0</v>
      </c>
      <c r="BD608" s="714">
        <f>D608-BB611</f>
        <v>162.30000000000001</v>
      </c>
      <c r="BE608" s="693">
        <f>BB613-BB614</f>
        <v>0</v>
      </c>
      <c r="BF608" s="693" t="e">
        <f t="shared" si="564"/>
        <v>#DIV/0!</v>
      </c>
      <c r="BG608" s="668" t="e">
        <f t="shared" si="565"/>
        <v>#DIV/0!</v>
      </c>
      <c r="BH608" s="650">
        <v>7000</v>
      </c>
      <c r="BI608" s="620">
        <v>103.50685607036536</v>
      </c>
      <c r="BJ608" s="720">
        <f>(BI613-BI614)/BI595</f>
        <v>0</v>
      </c>
      <c r="BK608" s="714">
        <f>I608-BI611</f>
        <v>171.49999999999997</v>
      </c>
      <c r="BL608" s="693">
        <f>BI613-BI614</f>
        <v>0</v>
      </c>
      <c r="BM608" s="693" t="e">
        <f t="shared" si="566"/>
        <v>#DIV/0!</v>
      </c>
      <c r="BN608" s="668" t="e">
        <f t="shared" si="567"/>
        <v>#DIV/0!</v>
      </c>
      <c r="BO608" s="650">
        <v>7000</v>
      </c>
      <c r="BP608" s="681">
        <v>103.50685607036536</v>
      </c>
      <c r="BQ608" s="720">
        <f>(BP613-BP614)/BP595</f>
        <v>0</v>
      </c>
      <c r="BR608" s="714">
        <f>N608-BP611</f>
        <v>156.28000000000003</v>
      </c>
      <c r="BS608" s="693">
        <f>BP613-BP614</f>
        <v>0</v>
      </c>
      <c r="BT608" s="693" t="e">
        <f t="shared" si="568"/>
        <v>#DIV/0!</v>
      </c>
      <c r="BU608" s="668" t="e">
        <f t="shared" si="569"/>
        <v>#DIV/0!</v>
      </c>
      <c r="BV608" s="650">
        <v>7000</v>
      </c>
      <c r="BW608" s="620">
        <v>103.50685607036536</v>
      </c>
      <c r="BX608" s="720">
        <f>(BW613-BW614)/BW595</f>
        <v>0</v>
      </c>
      <c r="BY608" s="714">
        <f>S608-BW611</f>
        <v>190.73000000000002</v>
      </c>
      <c r="BZ608" s="693">
        <f>BW613-BW614</f>
        <v>0</v>
      </c>
      <c r="CA608" s="693" t="e">
        <f t="shared" si="570"/>
        <v>#DIV/0!</v>
      </c>
      <c r="CB608" s="668" t="e">
        <f t="shared" si="571"/>
        <v>#DIV/0!</v>
      </c>
    </row>
    <row r="609" spans="1:80" ht="15.75">
      <c r="A609" s="564"/>
      <c r="B609" s="585" t="s">
        <v>116</v>
      </c>
      <c r="C609" s="769">
        <v>9000</v>
      </c>
      <c r="D609" s="655">
        <v>376.35</v>
      </c>
      <c r="E609" s="23">
        <v>20.93</v>
      </c>
      <c r="F609" s="23">
        <v>20.23</v>
      </c>
      <c r="G609" s="749">
        <v>23.1</v>
      </c>
      <c r="H609" s="769">
        <v>9000</v>
      </c>
      <c r="I609" s="42">
        <v>385.43</v>
      </c>
      <c r="J609" s="42">
        <v>20.329999999999998</v>
      </c>
      <c r="K609" s="42">
        <v>19.989999999999998</v>
      </c>
      <c r="L609" s="42">
        <v>20.3</v>
      </c>
      <c r="M609" s="769">
        <v>9000</v>
      </c>
      <c r="N609" s="639">
        <v>369.84</v>
      </c>
      <c r="O609" s="639">
        <v>27.55</v>
      </c>
      <c r="P609" s="562">
        <v>21.69</v>
      </c>
      <c r="Q609" s="588">
        <v>21.35</v>
      </c>
      <c r="R609" s="769">
        <v>9000</v>
      </c>
      <c r="S609" s="639">
        <v>404.1</v>
      </c>
      <c r="T609" s="639">
        <v>14.47</v>
      </c>
      <c r="U609" s="639">
        <v>15.37</v>
      </c>
      <c r="V609" s="654">
        <v>15.35</v>
      </c>
      <c r="W609" s="564"/>
      <c r="X609" s="650">
        <v>9000</v>
      </c>
      <c r="Y609" s="651">
        <f>AVERAGE(E609:G609)/10</f>
        <v>2.1419999999999999</v>
      </c>
      <c r="Z609" s="620">
        <v>9.6440000000000001</v>
      </c>
      <c r="AA609" s="620">
        <v>4.5170000000000003</v>
      </c>
      <c r="AB609" s="620">
        <f t="shared" si="549"/>
        <v>2.9849999999999994</v>
      </c>
      <c r="AC609" s="620">
        <f t="shared" si="550"/>
        <v>35.591000000000008</v>
      </c>
      <c r="AD609" s="653">
        <f t="shared" si="551"/>
        <v>12030.307169129997</v>
      </c>
      <c r="AE609" s="650">
        <v>9000</v>
      </c>
      <c r="AF609" s="620">
        <f t="shared" si="552"/>
        <v>2.0206666666666662</v>
      </c>
      <c r="AG609" s="620">
        <v>9.6440000000000001</v>
      </c>
      <c r="AH609" s="620">
        <v>4.5170000000000003</v>
      </c>
      <c r="AI609" s="620">
        <f t="shared" si="553"/>
        <v>3.1063333333333336</v>
      </c>
      <c r="AJ609" s="620">
        <f t="shared" si="554"/>
        <v>35.469666666666669</v>
      </c>
      <c r="AK609" s="653">
        <f t="shared" si="555"/>
        <v>12476.631676122</v>
      </c>
      <c r="AL609" s="650">
        <v>9000</v>
      </c>
      <c r="AM609" s="620">
        <f>AVERAGE(O609:Q609)/10</f>
        <v>2.3530000000000002</v>
      </c>
      <c r="AN609" s="620">
        <v>9.6440000000000001</v>
      </c>
      <c r="AO609" s="620">
        <v>4.5170000000000003</v>
      </c>
      <c r="AP609" s="620">
        <f t="shared" si="557"/>
        <v>2.7739999999999991</v>
      </c>
      <c r="AQ609" s="620">
        <f t="shared" si="558"/>
        <v>35.802000000000007</v>
      </c>
      <c r="AR609" s="698">
        <f t="shared" si="559"/>
        <v>11246.203434023997</v>
      </c>
      <c r="AS609" s="650">
        <v>9000</v>
      </c>
      <c r="AT609" s="620">
        <f t="shared" si="573"/>
        <v>1.5063333333333333</v>
      </c>
      <c r="AU609" s="620">
        <v>9.6440000000000001</v>
      </c>
      <c r="AV609" s="620">
        <v>4.5170000000000003</v>
      </c>
      <c r="AW609" s="620">
        <f t="shared" si="561"/>
        <v>3.6206666666666667</v>
      </c>
      <c r="AX609" s="620">
        <f t="shared" si="562"/>
        <v>34.955333333333336</v>
      </c>
      <c r="AY609" s="698">
        <f t="shared" si="563"/>
        <v>14331.583618343999</v>
      </c>
      <c r="AZ609" s="75"/>
      <c r="BA609" s="650">
        <v>9000</v>
      </c>
      <c r="BB609" s="620">
        <v>103.50685607036536</v>
      </c>
      <c r="BC609" s="720">
        <f>(BB613-BB614)/BB595</f>
        <v>0</v>
      </c>
      <c r="BD609" s="714">
        <f>D609-BB611</f>
        <v>161.30000000000001</v>
      </c>
      <c r="BE609" s="693">
        <f>BB613-BB614</f>
        <v>0</v>
      </c>
      <c r="BF609" s="693" t="e">
        <f t="shared" si="564"/>
        <v>#DIV/0!</v>
      </c>
      <c r="BG609" s="668" t="e">
        <f t="shared" si="565"/>
        <v>#DIV/0!</v>
      </c>
      <c r="BH609" s="650">
        <v>9000</v>
      </c>
      <c r="BI609" s="620">
        <v>103.50685607036536</v>
      </c>
      <c r="BJ609" s="720">
        <f>(BI613-BI614)/BI595</f>
        <v>0</v>
      </c>
      <c r="BK609" s="714">
        <f>I609-BI611</f>
        <v>170.4</v>
      </c>
      <c r="BL609" s="693">
        <f>BI613-BI614</f>
        <v>0</v>
      </c>
      <c r="BM609" s="693" t="e">
        <f t="shared" si="566"/>
        <v>#DIV/0!</v>
      </c>
      <c r="BN609" s="668" t="e">
        <f t="shared" si="567"/>
        <v>#DIV/0!</v>
      </c>
      <c r="BO609" s="650">
        <v>9000</v>
      </c>
      <c r="BP609" s="681">
        <v>103.50685607036536</v>
      </c>
      <c r="BQ609" s="720">
        <f>(BP613-BP614)/BP595</f>
        <v>0</v>
      </c>
      <c r="BR609" s="714">
        <f>N609-BP611</f>
        <v>154.94999999999999</v>
      </c>
      <c r="BS609" s="693">
        <f>BP613-BP614</f>
        <v>0</v>
      </c>
      <c r="BT609" s="693" t="e">
        <f t="shared" si="568"/>
        <v>#DIV/0!</v>
      </c>
      <c r="BU609" s="668" t="e">
        <f t="shared" si="569"/>
        <v>#DIV/0!</v>
      </c>
      <c r="BV609" s="650">
        <v>9000</v>
      </c>
      <c r="BW609" s="620">
        <v>103.50685607036536</v>
      </c>
      <c r="BX609" s="720">
        <f>(BW613-BW614)/BW595</f>
        <v>0</v>
      </c>
      <c r="BY609" s="714">
        <f>S609-BW611</f>
        <v>189.46000000000004</v>
      </c>
      <c r="BZ609" s="693">
        <f>BW613-BW614</f>
        <v>0</v>
      </c>
      <c r="CA609" s="693" t="e">
        <f t="shared" si="570"/>
        <v>#DIV/0!</v>
      </c>
      <c r="CB609" s="668" t="e">
        <f t="shared" si="571"/>
        <v>#DIV/0!</v>
      </c>
    </row>
    <row r="610" spans="1:80" ht="15.75">
      <c r="A610" s="564"/>
      <c r="B610" s="599" t="s">
        <v>116</v>
      </c>
      <c r="C610" s="605">
        <v>10000</v>
      </c>
      <c r="D610" s="623">
        <v>375.73</v>
      </c>
      <c r="E610" s="752">
        <v>21.26</v>
      </c>
      <c r="F610" s="752">
        <v>24.97</v>
      </c>
      <c r="G610" s="753">
        <v>21.01</v>
      </c>
      <c r="H610" s="605">
        <v>10000</v>
      </c>
      <c r="I610" s="42">
        <v>384.39</v>
      </c>
      <c r="J610" s="42">
        <v>21.21</v>
      </c>
      <c r="K610" s="42">
        <v>20.84</v>
      </c>
      <c r="L610" s="42">
        <v>21.05</v>
      </c>
      <c r="M610" s="605">
        <v>10000</v>
      </c>
      <c r="N610" s="639">
        <v>369.13</v>
      </c>
      <c r="O610" s="639">
        <v>21.99</v>
      </c>
      <c r="P610" s="562">
        <v>22.34</v>
      </c>
      <c r="Q610" s="588">
        <v>26.73</v>
      </c>
      <c r="R610" s="605">
        <v>10000</v>
      </c>
      <c r="S610" s="658">
        <v>403.29</v>
      </c>
      <c r="T610" s="658">
        <v>16.29</v>
      </c>
      <c r="U610" s="658">
        <v>15.88</v>
      </c>
      <c r="V610" s="659">
        <v>15.08</v>
      </c>
      <c r="W610" s="564"/>
      <c r="X610" s="660">
        <v>10000</v>
      </c>
      <c r="Y610" s="608">
        <f t="shared" ref="Y610" si="575">AVERAGE(E610:G610)/10</f>
        <v>2.2413333333333338</v>
      </c>
      <c r="Z610" s="609">
        <v>9.6440000000000001</v>
      </c>
      <c r="AA610" s="609">
        <v>4.5170000000000003</v>
      </c>
      <c r="AB610" s="609">
        <f t="shared" si="549"/>
        <v>2.8856666666666655</v>
      </c>
      <c r="AC610" s="609">
        <f t="shared" si="550"/>
        <v>35.690333333333342</v>
      </c>
      <c r="AD610" s="702">
        <f t="shared" si="551"/>
        <v>14398.058650066661</v>
      </c>
      <c r="AE610" s="660">
        <v>10000</v>
      </c>
      <c r="AF610" s="609">
        <f t="shared" si="552"/>
        <v>2.1033333333333331</v>
      </c>
      <c r="AG610" s="609">
        <v>9.6440000000000001</v>
      </c>
      <c r="AH610" s="609">
        <v>4.5170000000000003</v>
      </c>
      <c r="AI610" s="609">
        <f t="shared" si="553"/>
        <v>3.0236666666666672</v>
      </c>
      <c r="AJ610" s="609">
        <f t="shared" si="554"/>
        <v>35.552333333333337</v>
      </c>
      <c r="AK610" s="702">
        <f t="shared" si="555"/>
        <v>15028.27705006667</v>
      </c>
      <c r="AL610" s="660">
        <v>10000</v>
      </c>
      <c r="AM610" s="609">
        <f>AVERAGE(O610:Q610)/10</f>
        <v>2.3686666666666669</v>
      </c>
      <c r="AN610" s="609">
        <v>9.6440000000000001</v>
      </c>
      <c r="AO610" s="609">
        <v>4.5170000000000003</v>
      </c>
      <c r="AP610" s="609">
        <f t="shared" si="557"/>
        <v>2.7583333333333329</v>
      </c>
      <c r="AQ610" s="609">
        <f t="shared" si="558"/>
        <v>35.817666666666675</v>
      </c>
      <c r="AR610" s="699">
        <f t="shared" si="559"/>
        <v>13811.829531666666</v>
      </c>
      <c r="AS610" s="660">
        <v>10000</v>
      </c>
      <c r="AT610" s="609">
        <f t="shared" si="573"/>
        <v>1.575</v>
      </c>
      <c r="AU610" s="609">
        <v>9.6440000000000001</v>
      </c>
      <c r="AV610" s="609">
        <v>4.5170000000000003</v>
      </c>
      <c r="AW610" s="609">
        <f t="shared" si="561"/>
        <v>3.5519999999999996</v>
      </c>
      <c r="AX610" s="609">
        <f t="shared" si="562"/>
        <v>35.024000000000008</v>
      </c>
      <c r="AY610" s="699">
        <f t="shared" si="563"/>
        <v>17391.8536704</v>
      </c>
      <c r="AZ610" s="75"/>
      <c r="BA610" s="660">
        <v>10000</v>
      </c>
      <c r="BB610" s="609">
        <v>103.50685607036536</v>
      </c>
      <c r="BC610" s="720">
        <f>(BB613-BB614)/BB595</f>
        <v>0</v>
      </c>
      <c r="BD610" s="714">
        <f>D610-BB611</f>
        <v>160.68</v>
      </c>
      <c r="BE610" s="682">
        <f>BB613-BB614</f>
        <v>0</v>
      </c>
      <c r="BF610" s="682" t="e">
        <f t="shared" si="564"/>
        <v>#DIV/0!</v>
      </c>
      <c r="BG610" s="683" t="e">
        <f t="shared" si="565"/>
        <v>#DIV/0!</v>
      </c>
      <c r="BH610" s="660">
        <v>10000</v>
      </c>
      <c r="BI610" s="609">
        <v>103.50685607036536</v>
      </c>
      <c r="BJ610" s="720">
        <f>(BI613-BI614)/BI595</f>
        <v>0</v>
      </c>
      <c r="BK610" s="714">
        <f>I610-BI611</f>
        <v>169.35999999999999</v>
      </c>
      <c r="BL610" s="682">
        <f>BI613-BI614</f>
        <v>0</v>
      </c>
      <c r="BM610" s="682" t="e">
        <f t="shared" si="566"/>
        <v>#DIV/0!</v>
      </c>
      <c r="BN610" s="683" t="e">
        <f t="shared" si="567"/>
        <v>#DIV/0!</v>
      </c>
      <c r="BO610" s="660">
        <v>10000</v>
      </c>
      <c r="BP610" s="684">
        <v>103.50685607036536</v>
      </c>
      <c r="BQ610" s="720">
        <f>(BP613-BP614)/BP595</f>
        <v>0</v>
      </c>
      <c r="BR610" s="714">
        <f>N610-BP611</f>
        <v>154.24</v>
      </c>
      <c r="BS610" s="682">
        <f>BP613-BP614</f>
        <v>0</v>
      </c>
      <c r="BT610" s="682" t="e">
        <f t="shared" si="568"/>
        <v>#DIV/0!</v>
      </c>
      <c r="BU610" s="683" t="e">
        <f t="shared" si="569"/>
        <v>#DIV/0!</v>
      </c>
      <c r="BV610" s="660">
        <v>10000</v>
      </c>
      <c r="BW610" s="609">
        <v>103.50685607036536</v>
      </c>
      <c r="BX610" s="720">
        <f>(BW613-BW614)/BW595</f>
        <v>0</v>
      </c>
      <c r="BY610" s="714">
        <f>S610-BW611</f>
        <v>188.65000000000003</v>
      </c>
      <c r="BZ610" s="682">
        <f>BW613-BW614</f>
        <v>0</v>
      </c>
      <c r="CA610" s="682" t="e">
        <f t="shared" si="570"/>
        <v>#DIV/0!</v>
      </c>
      <c r="CB610" s="683" t="e">
        <f t="shared" si="571"/>
        <v>#DIV/0!</v>
      </c>
    </row>
    <row r="611" spans="1:80" ht="45">
      <c r="A611" s="560"/>
      <c r="B611" s="560"/>
      <c r="C611" s="769"/>
      <c r="D611" s="769"/>
      <c r="E611" s="560"/>
      <c r="F611" s="560"/>
      <c r="G611" s="560"/>
      <c r="H611" s="560"/>
      <c r="I611" s="560"/>
      <c r="J611" s="560"/>
      <c r="K611" s="560"/>
      <c r="L611" s="560"/>
      <c r="M611" s="560"/>
      <c r="N611" s="661"/>
      <c r="O611" s="769"/>
      <c r="P611" s="769"/>
      <c r="Q611" s="769"/>
      <c r="R611" s="560"/>
      <c r="S611" s="661"/>
      <c r="T611" s="560"/>
      <c r="U611" s="560"/>
      <c r="V611" s="560"/>
      <c r="AE611" s="770"/>
      <c r="AF611" s="770"/>
      <c r="AG611" s="770"/>
      <c r="AH611" s="770"/>
      <c r="AI611" s="770"/>
      <c r="AJ611" s="770"/>
      <c r="AK611" s="770"/>
      <c r="AN611" s="770"/>
      <c r="AO611" s="770"/>
      <c r="AZ611" s="791" t="s">
        <v>144</v>
      </c>
      <c r="BA611" s="709" t="s">
        <v>1047</v>
      </c>
      <c r="BB611" s="565">
        <f>BB612+BB613</f>
        <v>215.05</v>
      </c>
      <c r="BC611" s="769"/>
      <c r="BD611" s="769"/>
      <c r="BE611" s="769"/>
      <c r="BF611" s="769"/>
      <c r="BG611" s="769"/>
      <c r="BH611" s="709" t="s">
        <v>1047</v>
      </c>
      <c r="BI611" s="719">
        <f>BI612+BI613</f>
        <v>215.03</v>
      </c>
      <c r="BJ611" s="769"/>
      <c r="BK611" s="569"/>
      <c r="BL611" s="569"/>
      <c r="BM611" s="569"/>
      <c r="BN611" s="569"/>
      <c r="BO611" s="709" t="s">
        <v>1047</v>
      </c>
      <c r="BP611" s="697">
        <f>BP612+BP613</f>
        <v>214.89</v>
      </c>
      <c r="BQ611" s="560"/>
      <c r="BR611" s="769"/>
      <c r="BS611" s="769"/>
      <c r="BT611" s="769"/>
      <c r="BU611" s="769"/>
      <c r="BV611" s="709" t="s">
        <v>1047</v>
      </c>
      <c r="BW611" s="697">
        <f>BW612+BW613</f>
        <v>214.64</v>
      </c>
      <c r="BX611" s="560"/>
      <c r="BY611" s="560"/>
      <c r="BZ611" s="560"/>
      <c r="CA611" s="560"/>
      <c r="CB611" s="560"/>
    </row>
    <row r="612" spans="1:80">
      <c r="A612" s="560"/>
      <c r="B612" s="560"/>
      <c r="C612" s="769"/>
      <c r="D612" s="560"/>
      <c r="E612" s="560"/>
      <c r="F612" s="560"/>
      <c r="G612" s="560"/>
      <c r="H612" s="560"/>
      <c r="I612" s="560"/>
      <c r="J612" s="560"/>
      <c r="K612" s="560"/>
      <c r="L612" s="560"/>
      <c r="M612" s="560"/>
      <c r="N612" s="560"/>
      <c r="O612" s="769"/>
      <c r="P612" s="769"/>
      <c r="Q612" s="769"/>
      <c r="R612" s="560"/>
      <c r="S612" s="560"/>
      <c r="T612" s="560"/>
      <c r="U612" s="560"/>
      <c r="V612" s="560"/>
      <c r="AE612" s="770"/>
      <c r="AF612" s="770"/>
      <c r="AG612" s="770"/>
      <c r="AH612" s="770"/>
      <c r="AI612" s="770"/>
      <c r="AJ612" s="770"/>
      <c r="AK612" s="770"/>
      <c r="AN612" s="770"/>
      <c r="AO612" s="770"/>
      <c r="AZ612" s="791"/>
      <c r="BA612" s="655" t="s">
        <v>1048</v>
      </c>
      <c r="BB612" s="763">
        <v>215.05</v>
      </c>
      <c r="BC612" s="769"/>
      <c r="BD612" s="769"/>
      <c r="BE612" s="769"/>
      <c r="BF612" s="769"/>
      <c r="BG612" s="769"/>
      <c r="BH612" s="655" t="s">
        <v>1048</v>
      </c>
      <c r="BI612" s="764">
        <v>215.03</v>
      </c>
      <c r="BJ612" s="769"/>
      <c r="BK612" s="569"/>
      <c r="BL612" s="569"/>
      <c r="BM612" s="569"/>
      <c r="BN612" s="569"/>
      <c r="BO612" s="655" t="s">
        <v>1048</v>
      </c>
      <c r="BP612" s="765">
        <v>214.89</v>
      </c>
      <c r="BQ612" s="560"/>
      <c r="BR612" s="769"/>
      <c r="BS612" s="769"/>
      <c r="BT612" s="620"/>
      <c r="BU612" s="620"/>
      <c r="BV612" s="655" t="s">
        <v>1048</v>
      </c>
      <c r="BW612" s="765">
        <v>214.64</v>
      </c>
      <c r="BX612" s="560"/>
      <c r="BY612" s="560"/>
      <c r="BZ612" s="560"/>
      <c r="CA612" s="560"/>
      <c r="CB612" s="560"/>
    </row>
    <row r="613" spans="1:80" ht="18.75">
      <c r="A613" s="777" t="s">
        <v>1070</v>
      </c>
      <c r="B613" s="778"/>
      <c r="C613" s="779"/>
      <c r="D613" s="779"/>
      <c r="E613" s="560"/>
      <c r="F613" s="560"/>
      <c r="G613" s="560"/>
      <c r="H613" s="560"/>
      <c r="I613" s="560"/>
      <c r="J613" s="560"/>
      <c r="K613" s="560"/>
      <c r="L613" s="560"/>
      <c r="M613" s="617"/>
      <c r="N613" s="560"/>
      <c r="O613" s="769"/>
      <c r="P613" s="769"/>
      <c r="Q613" s="769"/>
      <c r="R613" s="560"/>
      <c r="S613" s="560"/>
      <c r="T613" s="560"/>
      <c r="U613" s="560"/>
      <c r="V613" s="560"/>
      <c r="AE613" s="770"/>
      <c r="AF613" s="770"/>
      <c r="AG613" s="770"/>
      <c r="AH613" s="770"/>
      <c r="AI613" s="770"/>
      <c r="AJ613" s="770"/>
      <c r="AK613" s="770"/>
      <c r="AN613" s="770"/>
      <c r="AO613" s="770"/>
      <c r="AZ613" s="791"/>
      <c r="BA613" s="655" t="s">
        <v>1049</v>
      </c>
      <c r="BB613" s="565"/>
      <c r="BC613" s="769"/>
      <c r="BD613" s="769"/>
      <c r="BE613" s="769"/>
      <c r="BF613" s="769"/>
      <c r="BG613" s="769"/>
      <c r="BH613" s="655" t="s">
        <v>1049</v>
      </c>
      <c r="BI613" s="565"/>
      <c r="BJ613" s="769"/>
      <c r="BK613" s="569"/>
      <c r="BL613" s="569"/>
      <c r="BM613" s="569"/>
      <c r="BN613" s="569"/>
      <c r="BO613" s="655" t="s">
        <v>1049</v>
      </c>
      <c r="BP613" s="697"/>
      <c r="BQ613" s="560"/>
      <c r="BR613" s="769"/>
      <c r="BS613" s="769"/>
      <c r="BT613" s="620"/>
      <c r="BU613" s="620"/>
      <c r="BV613" s="655" t="s">
        <v>1049</v>
      </c>
      <c r="BW613" s="697"/>
      <c r="BX613" s="560"/>
      <c r="BY613" s="560"/>
      <c r="BZ613" s="560"/>
      <c r="CA613" s="560"/>
      <c r="CB613" s="560"/>
    </row>
    <row r="614" spans="1:80" ht="18.75">
      <c r="A614" s="800" t="s">
        <v>1071</v>
      </c>
      <c r="B614" s="800"/>
      <c r="C614" s="800"/>
      <c r="D614" s="800"/>
      <c r="E614" s="560"/>
      <c r="F614" s="560"/>
      <c r="G614" s="560"/>
      <c r="H614" s="560"/>
      <c r="I614" s="560"/>
      <c r="J614" s="560"/>
      <c r="K614" s="560"/>
      <c r="L614" s="560"/>
      <c r="M614" s="617"/>
      <c r="N614" s="560"/>
      <c r="O614" s="769"/>
      <c r="P614" s="769"/>
      <c r="Q614" s="769"/>
      <c r="R614" s="560"/>
      <c r="S614" s="560"/>
      <c r="T614" s="560"/>
      <c r="U614" s="560"/>
      <c r="V614" s="560"/>
      <c r="AE614" s="770"/>
      <c r="AF614" s="770"/>
      <c r="AG614" s="770"/>
      <c r="AH614" s="770"/>
      <c r="AI614" s="770"/>
      <c r="AJ614" s="770"/>
      <c r="AK614" s="770"/>
      <c r="AN614" s="770"/>
      <c r="AO614" s="770"/>
      <c r="AZ614" s="791"/>
      <c r="BA614" s="655" t="s">
        <v>1050</v>
      </c>
      <c r="BB614" s="569"/>
      <c r="BC614" s="769"/>
      <c r="BD614" s="560"/>
      <c r="BE614" s="560"/>
      <c r="BF614" s="560"/>
      <c r="BG614" s="560"/>
      <c r="BH614" s="655" t="s">
        <v>1050</v>
      </c>
      <c r="BI614" s="569"/>
      <c r="BJ614" s="769"/>
      <c r="BK614" s="560"/>
      <c r="BL614" s="560"/>
      <c r="BM614" s="560"/>
      <c r="BN614" s="560"/>
      <c r="BO614" s="655" t="s">
        <v>1050</v>
      </c>
      <c r="BP614" s="769"/>
      <c r="BQ614" s="560"/>
      <c r="BR614" s="560"/>
      <c r="BS614" s="560"/>
      <c r="BT614" s="560"/>
      <c r="BU614" s="560"/>
      <c r="BV614" s="655" t="s">
        <v>1050</v>
      </c>
      <c r="BW614" s="769"/>
      <c r="BX614" s="560"/>
      <c r="BY614" s="560"/>
      <c r="BZ614" s="560"/>
      <c r="CA614" s="560"/>
      <c r="CB614" s="560"/>
    </row>
    <row r="615" spans="1:80" ht="18.75">
      <c r="A615" s="557" t="s">
        <v>1074</v>
      </c>
      <c r="B615" s="558"/>
      <c r="C615" s="639"/>
      <c r="D615" s="639"/>
      <c r="E615" s="562"/>
      <c r="F615" s="639"/>
      <c r="G615" s="560"/>
      <c r="H615" s="560"/>
      <c r="I615" s="560"/>
      <c r="J615" s="560"/>
      <c r="K615" s="560"/>
      <c r="L615" s="560"/>
      <c r="M615" s="560"/>
      <c r="N615" s="560"/>
      <c r="O615" s="769"/>
      <c r="P615" s="769"/>
      <c r="Q615" s="769"/>
      <c r="R615" s="560"/>
      <c r="S615" s="560"/>
      <c r="T615" s="560"/>
      <c r="U615" s="560"/>
      <c r="V615" s="560"/>
      <c r="W615" s="560"/>
      <c r="X615" s="560"/>
      <c r="Y615" s="560"/>
      <c r="Z615" s="560"/>
      <c r="AA615" s="560"/>
      <c r="AB615" s="560"/>
      <c r="AC615" s="560"/>
      <c r="AD615" s="560"/>
      <c r="AE615" s="769"/>
      <c r="AF615" s="769"/>
      <c r="AG615" s="769"/>
      <c r="AH615" s="769"/>
      <c r="AI615" s="769"/>
      <c r="AJ615" s="769"/>
      <c r="AK615" s="769"/>
      <c r="AL615" s="560"/>
      <c r="AM615" s="560"/>
      <c r="AN615" s="769"/>
      <c r="AO615" s="769"/>
      <c r="AP615" s="560"/>
      <c r="AQ615" s="560"/>
      <c r="AR615" s="560"/>
      <c r="AS615" s="560"/>
      <c r="AT615" s="560"/>
      <c r="AU615" s="560"/>
      <c r="AV615" s="560"/>
      <c r="AW615" s="560"/>
      <c r="AX615" s="560"/>
      <c r="AY615" s="560"/>
      <c r="AZ615" s="770"/>
      <c r="BA615" s="560"/>
      <c r="BB615" s="560"/>
      <c r="BC615" s="769"/>
      <c r="BD615" s="560"/>
      <c r="BE615" s="560"/>
      <c r="BF615" s="560"/>
      <c r="BG615" s="560"/>
      <c r="BH615" s="560"/>
      <c r="BI615" s="560"/>
      <c r="BJ615" s="769"/>
      <c r="BK615" s="560"/>
      <c r="BL615" s="560"/>
      <c r="BM615" s="560"/>
      <c r="BN615" s="560"/>
      <c r="BO615" s="560"/>
      <c r="BP615" s="560"/>
      <c r="BQ615" s="560"/>
      <c r="BR615" s="560"/>
      <c r="BS615" s="560"/>
      <c r="BT615" s="560"/>
      <c r="BU615" s="560"/>
      <c r="BV615" s="560"/>
      <c r="BW615" s="560"/>
      <c r="BX615" s="560"/>
      <c r="BY615" s="560"/>
      <c r="BZ615" s="560"/>
      <c r="CA615" s="560"/>
      <c r="CB615" s="560"/>
    </row>
    <row r="616" spans="1:80" ht="18.75">
      <c r="A616" s="792" t="s">
        <v>1075</v>
      </c>
      <c r="B616" s="792"/>
      <c r="C616" s="792"/>
      <c r="D616" s="792"/>
      <c r="E616" s="613"/>
      <c r="F616" s="613"/>
      <c r="G616" s="613"/>
      <c r="H616" s="613"/>
      <c r="I616" s="613"/>
      <c r="J616" s="613"/>
      <c r="K616" s="613"/>
      <c r="L616" s="613"/>
      <c r="M616" s="613"/>
      <c r="N616" s="613"/>
      <c r="O616" s="614"/>
      <c r="P616" s="614"/>
      <c r="Q616" s="614"/>
      <c r="R616" s="613"/>
      <c r="S616" s="613"/>
      <c r="T616" s="613"/>
      <c r="U616" s="613"/>
      <c r="V616" s="613"/>
      <c r="W616" s="613"/>
      <c r="X616" s="613"/>
      <c r="Y616" s="613"/>
      <c r="Z616" s="613"/>
      <c r="AA616" s="613"/>
      <c r="AB616" s="613"/>
      <c r="AC616" s="613"/>
      <c r="AD616" s="613"/>
      <c r="AE616" s="614"/>
      <c r="AF616" s="614"/>
      <c r="AG616" s="614"/>
      <c r="AH616" s="614"/>
      <c r="AI616" s="614"/>
      <c r="AJ616" s="614"/>
      <c r="AK616" s="614"/>
      <c r="AL616" s="613"/>
      <c r="AM616" s="613"/>
      <c r="AN616" s="614"/>
      <c r="AO616" s="614"/>
      <c r="AP616" s="613"/>
      <c r="AQ616" s="613"/>
      <c r="AR616" s="613"/>
      <c r="AS616" s="613"/>
      <c r="AT616" s="613"/>
      <c r="AU616" s="613"/>
      <c r="AV616" s="613"/>
      <c r="AW616" s="613"/>
      <c r="AX616" s="613"/>
      <c r="AY616" s="613"/>
      <c r="AZ616" s="89"/>
      <c r="BA616" s="613"/>
      <c r="BB616" s="613"/>
      <c r="BC616" s="614"/>
      <c r="BD616" s="613"/>
      <c r="BE616" s="613"/>
      <c r="BF616" s="613"/>
      <c r="BG616" s="613"/>
      <c r="BH616" s="613"/>
      <c r="BI616" s="613"/>
      <c r="BJ616" s="614"/>
      <c r="BK616" s="613"/>
      <c r="BL616" s="613"/>
      <c r="BM616" s="613"/>
      <c r="BN616" s="613"/>
      <c r="BO616" s="613"/>
      <c r="BP616" s="613"/>
      <c r="BQ616" s="613"/>
      <c r="BR616" s="613"/>
      <c r="BS616" s="613"/>
      <c r="BT616" s="613"/>
      <c r="BU616" s="613"/>
      <c r="BV616" s="613"/>
      <c r="BW616" s="613"/>
      <c r="BX616" s="613"/>
      <c r="BY616" s="613"/>
      <c r="BZ616" s="613"/>
      <c r="CA616" s="613"/>
      <c r="CB616" s="613"/>
    </row>
    <row r="617" spans="1:80">
      <c r="A617" s="560"/>
      <c r="B617" s="560"/>
      <c r="C617" s="769"/>
      <c r="D617" s="560"/>
      <c r="E617" s="560"/>
      <c r="F617" s="560"/>
      <c r="G617" s="560"/>
      <c r="H617" s="560"/>
      <c r="I617" s="560"/>
      <c r="J617" s="560"/>
      <c r="K617" s="560"/>
      <c r="L617" s="560"/>
      <c r="M617" s="560"/>
      <c r="N617" s="560"/>
      <c r="O617" s="769"/>
      <c r="P617" s="769"/>
      <c r="Q617" s="769"/>
      <c r="R617" s="560"/>
      <c r="S617" s="560"/>
      <c r="T617" s="560"/>
      <c r="U617" s="560"/>
      <c r="V617" s="560"/>
      <c r="W617" s="560"/>
      <c r="X617" s="560"/>
      <c r="Y617" s="560"/>
      <c r="Z617" s="560"/>
      <c r="AA617" s="560"/>
      <c r="AB617" s="560"/>
      <c r="AC617" s="560"/>
      <c r="AD617" s="560"/>
      <c r="AE617" s="769"/>
      <c r="AF617" s="769"/>
      <c r="AG617" s="769"/>
      <c r="AH617" s="769"/>
      <c r="AI617" s="769"/>
      <c r="AJ617" s="769"/>
      <c r="AK617" s="769"/>
      <c r="AL617" s="560"/>
      <c r="AM617" s="560"/>
      <c r="AN617" s="769"/>
      <c r="AO617" s="769"/>
      <c r="AP617" s="560"/>
      <c r="AQ617" s="560"/>
      <c r="AR617" s="560"/>
      <c r="AS617" s="560"/>
      <c r="AT617" s="560"/>
      <c r="AU617" s="560"/>
      <c r="AV617" s="560"/>
      <c r="AW617" s="560"/>
      <c r="AX617" s="560"/>
      <c r="AY617" s="560"/>
      <c r="AZ617" s="770"/>
      <c r="BA617" s="560"/>
      <c r="BB617" s="560"/>
      <c r="BC617" s="769"/>
      <c r="BD617" s="560"/>
      <c r="BE617" s="560"/>
      <c r="BF617" s="560"/>
      <c r="BG617" s="560"/>
      <c r="BH617" s="560"/>
      <c r="BI617" s="560"/>
      <c r="BJ617" s="769"/>
      <c r="BK617" s="560"/>
      <c r="BL617" s="560"/>
      <c r="BM617" s="560"/>
      <c r="BN617" s="560"/>
      <c r="BO617" s="560"/>
      <c r="BP617" s="560"/>
      <c r="BQ617" s="560"/>
      <c r="BR617" s="560"/>
      <c r="BS617" s="560"/>
      <c r="BT617" s="560"/>
      <c r="BU617" s="560"/>
      <c r="BV617" s="560"/>
      <c r="BW617" s="560"/>
      <c r="BX617" s="560"/>
      <c r="BY617" s="560"/>
      <c r="BZ617" s="560"/>
      <c r="CA617" s="560"/>
      <c r="CB617" s="560"/>
    </row>
    <row r="618" spans="1:80">
      <c r="A618" s="565" t="s">
        <v>134</v>
      </c>
      <c r="B618" s="640" t="s">
        <v>124</v>
      </c>
      <c r="C618" s="641" t="s">
        <v>119</v>
      </c>
      <c r="D618" s="642" t="s">
        <v>111</v>
      </c>
      <c r="E618" s="793" t="s">
        <v>1063</v>
      </c>
      <c r="F618" s="569"/>
      <c r="G618" s="570"/>
      <c r="H618" s="640" t="s">
        <v>124</v>
      </c>
      <c r="I618" s="642" t="s">
        <v>119</v>
      </c>
      <c r="J618" s="642" t="s">
        <v>111</v>
      </c>
      <c r="K618" s="793" t="s">
        <v>1063</v>
      </c>
      <c r="L618" s="569"/>
      <c r="M618" s="571" t="s">
        <v>124</v>
      </c>
      <c r="N618" s="642" t="s">
        <v>119</v>
      </c>
      <c r="O618" s="641" t="s">
        <v>111</v>
      </c>
      <c r="P618" s="793" t="s">
        <v>1063</v>
      </c>
      <c r="Q618" s="769"/>
      <c r="R618" s="571" t="s">
        <v>124</v>
      </c>
      <c r="S618" s="642" t="s">
        <v>119</v>
      </c>
      <c r="T618" s="642" t="s">
        <v>111</v>
      </c>
      <c r="U618" s="793" t="s">
        <v>1063</v>
      </c>
      <c r="V618" s="569"/>
      <c r="W618" s="565" t="s">
        <v>133</v>
      </c>
      <c r="X618" s="640" t="s">
        <v>124</v>
      </c>
      <c r="Y618" s="641" t="s">
        <v>119</v>
      </c>
      <c r="Z618" s="642" t="s">
        <v>111</v>
      </c>
      <c r="AA618" s="569"/>
      <c r="AB618" s="569"/>
      <c r="AC618" s="569"/>
      <c r="AD618" s="570"/>
      <c r="AE618" s="640" t="s">
        <v>124</v>
      </c>
      <c r="AF618" s="642" t="s">
        <v>119</v>
      </c>
      <c r="AG618" s="642" t="s">
        <v>111</v>
      </c>
      <c r="AH618" s="569"/>
      <c r="AI618" s="569"/>
      <c r="AJ618" s="569"/>
      <c r="AK618" s="570"/>
      <c r="AL618" s="571" t="s">
        <v>124</v>
      </c>
      <c r="AM618" s="642" t="s">
        <v>119</v>
      </c>
      <c r="AN618" s="641" t="s">
        <v>111</v>
      </c>
      <c r="AO618" s="569"/>
      <c r="AP618" s="569"/>
      <c r="AQ618" s="569"/>
      <c r="AR618" s="700"/>
      <c r="AS618" s="571" t="s">
        <v>124</v>
      </c>
      <c r="AT618" s="642" t="s">
        <v>119</v>
      </c>
      <c r="AU618" s="642" t="s">
        <v>111</v>
      </c>
      <c r="AV618" s="569"/>
      <c r="AW618" s="569"/>
      <c r="AX618" s="569"/>
      <c r="AY618" s="700"/>
      <c r="AZ618" s="447" t="s">
        <v>141</v>
      </c>
      <c r="BA618" s="640" t="s">
        <v>124</v>
      </c>
      <c r="BB618" s="641" t="s">
        <v>119</v>
      </c>
      <c r="BC618" s="642" t="s">
        <v>111</v>
      </c>
      <c r="BD618" s="569"/>
      <c r="BE618" s="569"/>
      <c r="BF618" s="569"/>
      <c r="BG618" s="569"/>
      <c r="BH618" s="640" t="s">
        <v>124</v>
      </c>
      <c r="BI618" s="642" t="s">
        <v>119</v>
      </c>
      <c r="BJ618" s="642" t="s">
        <v>111</v>
      </c>
      <c r="BK618" s="569"/>
      <c r="BL618" s="569"/>
      <c r="BM618" s="569"/>
      <c r="BN618" s="569"/>
      <c r="BO618" s="571" t="s">
        <v>124</v>
      </c>
      <c r="BP618" s="642" t="s">
        <v>119</v>
      </c>
      <c r="BQ618" s="641" t="s">
        <v>111</v>
      </c>
      <c r="BR618" s="560"/>
      <c r="BS618" s="569"/>
      <c r="BT618" s="569"/>
      <c r="BU618" s="569"/>
      <c r="BV618" s="571" t="s">
        <v>124</v>
      </c>
      <c r="BW618" s="642" t="s">
        <v>119</v>
      </c>
      <c r="BX618" s="642" t="s">
        <v>111</v>
      </c>
      <c r="BY618" s="769"/>
      <c r="BZ618" s="769"/>
      <c r="CA618" s="769"/>
      <c r="CB618" s="570"/>
    </row>
    <row r="619" spans="1:80">
      <c r="A619" s="565"/>
      <c r="B619" s="572"/>
      <c r="C619" s="782" t="s">
        <v>790</v>
      </c>
      <c r="D619" s="574" t="s">
        <v>114</v>
      </c>
      <c r="E619" s="794"/>
      <c r="F619" s="740">
        <v>218.52</v>
      </c>
      <c r="G619" s="570"/>
      <c r="H619" s="572"/>
      <c r="I619" s="573" t="s">
        <v>1056</v>
      </c>
      <c r="J619" s="574" t="s">
        <v>114</v>
      </c>
      <c r="K619" s="794"/>
      <c r="L619" s="740">
        <v>183.67</v>
      </c>
      <c r="M619" s="572"/>
      <c r="N619" s="573" t="s">
        <v>164</v>
      </c>
      <c r="O619" s="645" t="s">
        <v>114</v>
      </c>
      <c r="P619" s="794"/>
      <c r="Q619" s="740">
        <v>167.58</v>
      </c>
      <c r="R619" s="572"/>
      <c r="S619" s="573" t="s">
        <v>1080</v>
      </c>
      <c r="T619" s="574" t="s">
        <v>112</v>
      </c>
      <c r="U619" s="794"/>
      <c r="V619" s="740">
        <v>145.97999999999999</v>
      </c>
      <c r="W619" s="647"/>
      <c r="X619" s="572"/>
      <c r="Y619" s="782" t="s">
        <v>790</v>
      </c>
      <c r="Z619" s="574" t="s">
        <v>114</v>
      </c>
      <c r="AA619" s="569"/>
      <c r="AB619" s="569"/>
      <c r="AC619" s="569"/>
      <c r="AD619" s="570"/>
      <c r="AE619" s="572"/>
      <c r="AF619" s="573" t="s">
        <v>814</v>
      </c>
      <c r="AG619" s="574" t="s">
        <v>114</v>
      </c>
      <c r="AH619" s="569"/>
      <c r="AI619" s="569"/>
      <c r="AJ619" s="569"/>
      <c r="AK619" s="570"/>
      <c r="AL619" s="572"/>
      <c r="AM619" s="573" t="s">
        <v>720</v>
      </c>
      <c r="AN619" s="645" t="s">
        <v>112</v>
      </c>
      <c r="AO619" s="569"/>
      <c r="AP619" s="569"/>
      <c r="AQ619" s="569"/>
      <c r="AR619" s="700"/>
      <c r="AS619" s="572"/>
      <c r="AT619" s="573" t="s">
        <v>720</v>
      </c>
      <c r="AU619" s="574" t="s">
        <v>114</v>
      </c>
      <c r="AV619" s="795"/>
      <c r="AW619" s="795"/>
      <c r="AX619" s="569"/>
      <c r="AY619" s="700"/>
      <c r="AZ619" s="80"/>
      <c r="BA619" s="572"/>
      <c r="BB619" s="573" t="s">
        <v>164</v>
      </c>
      <c r="BC619" s="574" t="s">
        <v>112</v>
      </c>
      <c r="BD619" s="569"/>
      <c r="BE619" s="569"/>
      <c r="BF619" s="569"/>
      <c r="BG619" s="570"/>
      <c r="BH619" s="572"/>
      <c r="BI619" s="573" t="s">
        <v>814</v>
      </c>
      <c r="BJ619" s="574" t="s">
        <v>114</v>
      </c>
      <c r="BK619" s="569"/>
      <c r="BL619" s="569"/>
      <c r="BM619" s="569"/>
      <c r="BN619" s="570"/>
      <c r="BO619" s="572"/>
      <c r="BP619" s="573" t="s">
        <v>720</v>
      </c>
      <c r="BQ619" s="645" t="s">
        <v>112</v>
      </c>
      <c r="BR619" s="569"/>
      <c r="BS619" s="569"/>
      <c r="BT619" s="569"/>
      <c r="BU619" s="700"/>
      <c r="BV619" s="572"/>
      <c r="BW619" s="573" t="s">
        <v>720</v>
      </c>
      <c r="BX619" s="574" t="s">
        <v>114</v>
      </c>
      <c r="BY619" s="795"/>
      <c r="BZ619" s="795"/>
      <c r="CA619" s="569"/>
      <c r="CB619" s="700"/>
    </row>
    <row r="620" spans="1:80" ht="63">
      <c r="A620" s="564"/>
      <c r="B620" s="579" t="s">
        <v>122</v>
      </c>
      <c r="C620" s="582" t="s">
        <v>121</v>
      </c>
      <c r="D620" s="768" t="s">
        <v>125</v>
      </c>
      <c r="E620" s="796" t="s">
        <v>1013</v>
      </c>
      <c r="F620" s="796"/>
      <c r="G620" s="797"/>
      <c r="H620" s="582" t="s">
        <v>121</v>
      </c>
      <c r="I620" s="768" t="s">
        <v>125</v>
      </c>
      <c r="J620" s="796" t="s">
        <v>1013</v>
      </c>
      <c r="K620" s="796"/>
      <c r="L620" s="797"/>
      <c r="M620" s="582" t="s">
        <v>121</v>
      </c>
      <c r="N620" s="768" t="s">
        <v>125</v>
      </c>
      <c r="O620" s="798" t="s">
        <v>1013</v>
      </c>
      <c r="P620" s="798"/>
      <c r="Q620" s="799"/>
      <c r="R620" s="582" t="s">
        <v>121</v>
      </c>
      <c r="S620" s="768" t="s">
        <v>125</v>
      </c>
      <c r="T620" s="798" t="s">
        <v>1013</v>
      </c>
      <c r="U620" s="798"/>
      <c r="V620" s="799"/>
      <c r="W620" s="564"/>
      <c r="X620" s="582" t="s">
        <v>121</v>
      </c>
      <c r="Y620" s="584" t="s">
        <v>126</v>
      </c>
      <c r="Z620" s="583" t="s">
        <v>127</v>
      </c>
      <c r="AA620" s="583" t="s">
        <v>128</v>
      </c>
      <c r="AB620" s="583" t="s">
        <v>129</v>
      </c>
      <c r="AC620" s="583" t="s">
        <v>130</v>
      </c>
      <c r="AD620" s="701" t="s">
        <v>131</v>
      </c>
      <c r="AE620" s="582" t="s">
        <v>121</v>
      </c>
      <c r="AF620" s="583" t="s">
        <v>126</v>
      </c>
      <c r="AG620" s="583" t="s">
        <v>127</v>
      </c>
      <c r="AH620" s="583" t="s">
        <v>128</v>
      </c>
      <c r="AI620" s="583" t="s">
        <v>129</v>
      </c>
      <c r="AJ620" s="583" t="s">
        <v>130</v>
      </c>
      <c r="AK620" s="701" t="s">
        <v>131</v>
      </c>
      <c r="AL620" s="582" t="s">
        <v>121</v>
      </c>
      <c r="AM620" s="583" t="s">
        <v>126</v>
      </c>
      <c r="AN620" s="583" t="s">
        <v>127</v>
      </c>
      <c r="AO620" s="583" t="s">
        <v>128</v>
      </c>
      <c r="AP620" s="583" t="s">
        <v>129</v>
      </c>
      <c r="AQ620" s="583" t="s">
        <v>130</v>
      </c>
      <c r="AR620" s="696" t="s">
        <v>131</v>
      </c>
      <c r="AS620" s="582" t="s">
        <v>121</v>
      </c>
      <c r="AT620" s="583" t="s">
        <v>126</v>
      </c>
      <c r="AU620" s="695" t="s">
        <v>127</v>
      </c>
      <c r="AV620" s="695" t="s">
        <v>128</v>
      </c>
      <c r="AW620" s="583" t="s">
        <v>129</v>
      </c>
      <c r="AX620" s="583" t="s">
        <v>130</v>
      </c>
      <c r="AY620" s="696" t="s">
        <v>131</v>
      </c>
      <c r="AZ620" s="75"/>
      <c r="BA620" s="648" t="s">
        <v>121</v>
      </c>
      <c r="BB620" s="583" t="s">
        <v>143</v>
      </c>
      <c r="BC620" s="583" t="s">
        <v>888</v>
      </c>
      <c r="BD620" s="583" t="s">
        <v>1045</v>
      </c>
      <c r="BE620" s="583" t="s">
        <v>1044</v>
      </c>
      <c r="BF620" s="666" t="s">
        <v>1051</v>
      </c>
      <c r="BG620" s="666" t="s">
        <v>1052</v>
      </c>
      <c r="BH620" s="648" t="s">
        <v>121</v>
      </c>
      <c r="BI620" s="583" t="s">
        <v>143</v>
      </c>
      <c r="BJ620" s="583" t="s">
        <v>888</v>
      </c>
      <c r="BK620" s="583" t="s">
        <v>1045</v>
      </c>
      <c r="BL620" s="583" t="s">
        <v>1044</v>
      </c>
      <c r="BM620" s="666" t="s">
        <v>1051</v>
      </c>
      <c r="BN620" s="666" t="s">
        <v>1052</v>
      </c>
      <c r="BO620" s="648" t="s">
        <v>121</v>
      </c>
      <c r="BP620" s="583" t="s">
        <v>143</v>
      </c>
      <c r="BQ620" s="583" t="s">
        <v>888</v>
      </c>
      <c r="BR620" s="583" t="s">
        <v>1045</v>
      </c>
      <c r="BS620" s="583" t="s">
        <v>1044</v>
      </c>
      <c r="BT620" s="666" t="s">
        <v>1051</v>
      </c>
      <c r="BU620" s="666" t="s">
        <v>1052</v>
      </c>
      <c r="BV620" s="648" t="s">
        <v>121</v>
      </c>
      <c r="BW620" s="583" t="s">
        <v>143</v>
      </c>
      <c r="BX620" s="583" t="s">
        <v>888</v>
      </c>
      <c r="BY620" s="583" t="s">
        <v>1045</v>
      </c>
      <c r="BZ620" s="583" t="s">
        <v>1044</v>
      </c>
      <c r="CA620" s="666" t="s">
        <v>1051</v>
      </c>
      <c r="CB620" s="666" t="s">
        <v>1052</v>
      </c>
    </row>
    <row r="621" spans="1:80" ht="15.75">
      <c r="A621" s="564"/>
      <c r="B621" s="585" t="s">
        <v>120</v>
      </c>
      <c r="C621" s="769">
        <v>0</v>
      </c>
      <c r="D621" s="783">
        <f>255.18+215.06</f>
        <v>470.24</v>
      </c>
      <c r="E621" s="23">
        <v>5.61</v>
      </c>
      <c r="F621" s="23">
        <v>3.76</v>
      </c>
      <c r="G621" s="749">
        <v>5.91</v>
      </c>
      <c r="H621" s="769">
        <v>0</v>
      </c>
      <c r="I621" s="23"/>
      <c r="J621" s="42">
        <v>1.83</v>
      </c>
      <c r="K621" s="42">
        <v>2.21</v>
      </c>
      <c r="L621" s="754">
        <v>3.09</v>
      </c>
      <c r="M621" s="769">
        <v>0</v>
      </c>
      <c r="N621" s="747"/>
      <c r="O621" s="260">
        <v>4.07</v>
      </c>
      <c r="P621" s="260">
        <v>3.58</v>
      </c>
      <c r="Q621" s="94">
        <v>2.42</v>
      </c>
      <c r="R621" s="769">
        <v>0</v>
      </c>
      <c r="S621" s="649"/>
      <c r="T621" s="260">
        <v>4.0199999999999996</v>
      </c>
      <c r="U621" s="260">
        <v>2.5299999999999998</v>
      </c>
      <c r="V621" s="94">
        <v>2.57</v>
      </c>
      <c r="W621" s="564"/>
      <c r="X621" s="650">
        <v>0</v>
      </c>
      <c r="Y621" s="651">
        <f t="shared" ref="Y621:Y634" si="576">AVERAGE(E621:G621)/10</f>
        <v>0.50933333333333342</v>
      </c>
      <c r="Z621" s="620">
        <v>9.6440000000000001</v>
      </c>
      <c r="AA621" s="620">
        <v>4.5170000000000003</v>
      </c>
      <c r="AB621" s="620">
        <f t="shared" ref="AB621:AB636" si="577">Z621-(AA621+Y621)</f>
        <v>4.6176666666666666</v>
      </c>
      <c r="AC621" s="620">
        <f t="shared" ref="AC621:AC636" si="578">3*Z621+AA621+Y621</f>
        <v>33.958333333333336</v>
      </c>
      <c r="AD621" s="653">
        <f t="shared" ref="AD621:AD636" si="579">1.398*(10^-6)*(X621^2)*AB621*AC621</f>
        <v>0</v>
      </c>
      <c r="AE621" s="650">
        <v>0</v>
      </c>
      <c r="AF621" s="620">
        <f t="shared" ref="AF621:AF636" si="580">AVERAGE(J621:L621)/10</f>
        <v>0.23766666666666664</v>
      </c>
      <c r="AG621" s="620">
        <v>9.6440000000000001</v>
      </c>
      <c r="AH621" s="620">
        <v>4.5170000000000003</v>
      </c>
      <c r="AI621" s="620">
        <f t="shared" ref="AI621:AI636" si="581">AG621-(AH621+AF621)</f>
        <v>4.8893333333333331</v>
      </c>
      <c r="AJ621" s="620">
        <f t="shared" ref="AJ621:AJ636" si="582">3*AG621+AH621+AF621</f>
        <v>33.686666666666675</v>
      </c>
      <c r="AK621" s="653">
        <f t="shared" ref="AK621:AK636" si="583">1.398*(10^-6)*(AE621^2)*AI621*AJ621</f>
        <v>0</v>
      </c>
      <c r="AL621" s="650">
        <v>0</v>
      </c>
      <c r="AM621" s="620">
        <f t="shared" ref="AM621:AM629" si="584">AVERAGE(O621:Q621)/10</f>
        <v>0.33566666666666667</v>
      </c>
      <c r="AN621" s="620">
        <v>9.6440000000000001</v>
      </c>
      <c r="AO621" s="620">
        <v>4.5170000000000003</v>
      </c>
      <c r="AP621" s="620">
        <f t="shared" ref="AP621:AP636" si="585">AN621-(AO621+AM621)</f>
        <v>4.7913333333333332</v>
      </c>
      <c r="AQ621" s="620">
        <f t="shared" ref="AQ621:AQ636" si="586">3*AN621+AO621+AM621</f>
        <v>33.784666666666674</v>
      </c>
      <c r="AR621" s="698">
        <f t="shared" ref="AR621:AR636" si="587">1.398*(10^-6)*(AL621^2)*AP621*AQ621</f>
        <v>0</v>
      </c>
      <c r="AS621" s="650">
        <v>0</v>
      </c>
      <c r="AT621" s="620">
        <f t="shared" ref="AT621" si="588">AVERAGE(T621:V621)/10</f>
        <v>0.30399999999999994</v>
      </c>
      <c r="AU621" s="620">
        <v>9.6440000000000001</v>
      </c>
      <c r="AV621" s="620">
        <v>4.5170000000000003</v>
      </c>
      <c r="AW621" s="620">
        <f t="shared" ref="AW621:AW636" si="589">AU621-(AV621+AT621)</f>
        <v>4.8229999999999995</v>
      </c>
      <c r="AX621" s="620">
        <f t="shared" ref="AX621:AX636" si="590">3*AU621+AV621+AT621</f>
        <v>33.753000000000007</v>
      </c>
      <c r="AY621" s="698">
        <f t="shared" ref="AY621:AY636" si="591">1.398*(10^-6)*(AS621^2)*AW621*AX621</f>
        <v>0</v>
      </c>
      <c r="AZ621" s="75"/>
      <c r="BA621" s="650">
        <v>0</v>
      </c>
      <c r="BB621" s="620">
        <v>103.50685607036536</v>
      </c>
      <c r="BC621" s="720">
        <f>(BB639-BB640)/BB621</f>
        <v>0.65058492313032235</v>
      </c>
      <c r="BD621" s="714">
        <f>D621-BB637</f>
        <v>114.84000000000003</v>
      </c>
      <c r="BE621" s="693">
        <f>BB639-BB640</f>
        <v>67.339999999999989</v>
      </c>
      <c r="BF621" s="693">
        <f t="shared" ref="BF621:BF636" si="592">BD621/BE621*100</f>
        <v>170.53757053757062</v>
      </c>
      <c r="BG621" s="668">
        <f t="shared" ref="BG621:BG636" si="593">BF621*BC621</f>
        <v>110.9491722190173</v>
      </c>
      <c r="BH621" s="650">
        <v>0</v>
      </c>
      <c r="BI621" s="620">
        <v>103.50685607036536</v>
      </c>
      <c r="BJ621" s="720">
        <f>(BI639-BI640)/BI621</f>
        <v>0.88786389123368936</v>
      </c>
      <c r="BK621" s="714">
        <f>I621-BI637</f>
        <v>-379.8</v>
      </c>
      <c r="BL621" s="693">
        <f>BI639-BI640</f>
        <v>91.9</v>
      </c>
      <c r="BM621" s="693">
        <f t="shared" ref="BM621:BM636" si="594">BK621/BL621*100</f>
        <v>-413.27529923830247</v>
      </c>
      <c r="BN621" s="668">
        <f t="shared" ref="BN621:BN636" si="595">BM621*BJ621</f>
        <v>-366.93221533248658</v>
      </c>
      <c r="BO621" s="650">
        <v>0</v>
      </c>
      <c r="BP621" s="681">
        <v>103.50685607036536</v>
      </c>
      <c r="BQ621" s="720">
        <f>(BP639-BP640)/BP621</f>
        <v>0.84177998741231075</v>
      </c>
      <c r="BR621" s="714">
        <f>N621-BP637</f>
        <v>-375.03999999999996</v>
      </c>
      <c r="BS621" s="693">
        <f>BP639-BP640</f>
        <v>87.13000000000001</v>
      </c>
      <c r="BT621" s="693">
        <f t="shared" ref="BT621:BT636" si="596">BR621/BS621*100</f>
        <v>-430.43727763112577</v>
      </c>
      <c r="BU621" s="668">
        <f t="shared" ref="BU621:BU636" si="597">BT621*BQ621</f>
        <v>-362.33348614611833</v>
      </c>
      <c r="BV621" s="650">
        <v>0</v>
      </c>
      <c r="BW621" s="620">
        <v>103.50685607036536</v>
      </c>
      <c r="BX621" s="720">
        <f>(BW639-BW640)/BW621</f>
        <v>1.0627315346649162</v>
      </c>
      <c r="BY621" s="714">
        <f>S621-BW637</f>
        <v>-396.84</v>
      </c>
      <c r="BZ621" s="693">
        <f>BW639-BW640</f>
        <v>109.99999999999999</v>
      </c>
      <c r="CA621" s="693">
        <f t="shared" ref="CA621:CA636" si="598">BY621/BZ621*100</f>
        <v>-360.76363636363641</v>
      </c>
      <c r="CB621" s="668">
        <f t="shared" ref="CB621:CB636" si="599">CA621*BX621</f>
        <v>-383.39489292402311</v>
      </c>
    </row>
    <row r="622" spans="1:80" ht="15.75">
      <c r="A622" s="564"/>
      <c r="B622" s="585" t="s">
        <v>116</v>
      </c>
      <c r="C622" s="769">
        <v>300</v>
      </c>
      <c r="D622" s="748">
        <v>393.09</v>
      </c>
      <c r="E622" s="23">
        <v>6.85</v>
      </c>
      <c r="F622" s="23">
        <v>8.93</v>
      </c>
      <c r="G622" s="749">
        <v>7.13</v>
      </c>
      <c r="H622" s="769">
        <v>300</v>
      </c>
      <c r="I622" s="23">
        <v>425.59</v>
      </c>
      <c r="J622" s="42">
        <v>1.64</v>
      </c>
      <c r="K622" s="42">
        <v>2.27</v>
      </c>
      <c r="L622" s="754">
        <v>3.09</v>
      </c>
      <c r="M622" s="769">
        <v>300</v>
      </c>
      <c r="N622" s="649">
        <v>405.41</v>
      </c>
      <c r="O622" s="260">
        <v>3.71</v>
      </c>
      <c r="P622" s="260">
        <v>3.13</v>
      </c>
      <c r="Q622" s="94">
        <v>4.21</v>
      </c>
      <c r="R622" s="769">
        <v>300</v>
      </c>
      <c r="S622" s="649">
        <v>411.56</v>
      </c>
      <c r="T622" s="260">
        <v>4.59</v>
      </c>
      <c r="U622" s="260">
        <v>3.25</v>
      </c>
      <c r="V622" s="94">
        <v>5.07</v>
      </c>
      <c r="W622" s="564"/>
      <c r="X622" s="650">
        <v>300</v>
      </c>
      <c r="Y622" s="651">
        <f t="shared" si="576"/>
        <v>0.76366666666666672</v>
      </c>
      <c r="Z622" s="620">
        <v>9.6440000000000001</v>
      </c>
      <c r="AA622" s="620">
        <v>4.5170000000000003</v>
      </c>
      <c r="AB622" s="620">
        <f t="shared" si="577"/>
        <v>4.3633333333333333</v>
      </c>
      <c r="AC622" s="620">
        <f t="shared" si="578"/>
        <v>34.212666666666671</v>
      </c>
      <c r="AD622" s="653">
        <f t="shared" si="579"/>
        <v>18.782569251599998</v>
      </c>
      <c r="AE622" s="650">
        <v>300</v>
      </c>
      <c r="AF622" s="620">
        <f t="shared" si="580"/>
        <v>0.23333333333333334</v>
      </c>
      <c r="AG622" s="620">
        <v>9.6440000000000001</v>
      </c>
      <c r="AH622" s="620">
        <v>4.5170000000000003</v>
      </c>
      <c r="AI622" s="620">
        <f t="shared" si="581"/>
        <v>4.8936666666666664</v>
      </c>
      <c r="AJ622" s="620">
        <f t="shared" si="582"/>
        <v>33.682333333333339</v>
      </c>
      <c r="AK622" s="653">
        <f t="shared" si="583"/>
        <v>20.738924677859998</v>
      </c>
      <c r="AL622" s="650">
        <v>300</v>
      </c>
      <c r="AM622" s="620">
        <f t="shared" si="584"/>
        <v>0.36833333333333335</v>
      </c>
      <c r="AN622" s="620">
        <v>9.6440000000000001</v>
      </c>
      <c r="AO622" s="620">
        <v>4.5170000000000003</v>
      </c>
      <c r="AP622" s="620">
        <f t="shared" si="585"/>
        <v>4.7586666666666666</v>
      </c>
      <c r="AQ622" s="620">
        <f t="shared" si="586"/>
        <v>33.817333333333337</v>
      </c>
      <c r="AR622" s="698">
        <f t="shared" si="587"/>
        <v>20.24763595296</v>
      </c>
      <c r="AS622" s="650">
        <v>300</v>
      </c>
      <c r="AT622" s="620">
        <f>AVERAGE(T622:V622)/10</f>
        <v>0.43033333333333335</v>
      </c>
      <c r="AU622" s="620">
        <v>9.6440000000000001</v>
      </c>
      <c r="AV622" s="620">
        <v>4.5170000000000003</v>
      </c>
      <c r="AW622" s="620">
        <f t="shared" si="589"/>
        <v>4.6966666666666663</v>
      </c>
      <c r="AX622" s="620">
        <f t="shared" si="590"/>
        <v>33.879333333333335</v>
      </c>
      <c r="AY622" s="698">
        <f t="shared" si="591"/>
        <v>20.020470291599995</v>
      </c>
      <c r="AZ622" s="75"/>
      <c r="BA622" s="650">
        <v>300</v>
      </c>
      <c r="BB622" s="620">
        <v>103.50685607036536</v>
      </c>
      <c r="BC622" s="720">
        <f>(BB639-BB640)/BB621</f>
        <v>0.65058492313032235</v>
      </c>
      <c r="BD622" s="714">
        <f>D622-BB637</f>
        <v>37.69</v>
      </c>
      <c r="BE622" s="693">
        <f>BB639-BB640</f>
        <v>67.339999999999989</v>
      </c>
      <c r="BF622" s="693">
        <f t="shared" si="592"/>
        <v>55.969705969705977</v>
      </c>
      <c r="BG622" s="668">
        <f t="shared" si="593"/>
        <v>36.413046855927909</v>
      </c>
      <c r="BH622" s="650">
        <v>300</v>
      </c>
      <c r="BI622" s="620">
        <v>103.50685607036536</v>
      </c>
      <c r="BJ622" s="720">
        <f>(BI639-BI640)/BI621</f>
        <v>0.88786389123368936</v>
      </c>
      <c r="BK622" s="714">
        <f>I622-BI637</f>
        <v>45.789999999999964</v>
      </c>
      <c r="BL622" s="693">
        <f>BI639-BI640</f>
        <v>91.9</v>
      </c>
      <c r="BM622" s="693">
        <f t="shared" si="594"/>
        <v>49.825897714907462</v>
      </c>
      <c r="BN622" s="668">
        <f t="shared" si="595"/>
        <v>44.238615429369531</v>
      </c>
      <c r="BO622" s="650">
        <v>300</v>
      </c>
      <c r="BP622" s="681">
        <v>103.50685607036536</v>
      </c>
      <c r="BQ622" s="720">
        <f>(BP639-BP640)/BP621</f>
        <v>0.84177998741231075</v>
      </c>
      <c r="BR622" s="714">
        <f>N622-BP637</f>
        <v>30.370000000000061</v>
      </c>
      <c r="BS622" s="693">
        <f>BP639-BP640</f>
        <v>87.13000000000001</v>
      </c>
      <c r="BT622" s="693">
        <f t="shared" si="596"/>
        <v>34.855962355101639</v>
      </c>
      <c r="BU622" s="668">
        <f t="shared" si="597"/>
        <v>29.341051552521435</v>
      </c>
      <c r="BV622" s="650">
        <v>300</v>
      </c>
      <c r="BW622" s="620">
        <v>103.50685607036536</v>
      </c>
      <c r="BX622" s="720">
        <f>(BW639-BW640)/BW621</f>
        <v>1.0627315346649162</v>
      </c>
      <c r="BY622" s="714">
        <f>S622-BW637</f>
        <v>14.720000000000027</v>
      </c>
      <c r="BZ622" s="693">
        <f>BW639-BW640</f>
        <v>109.99999999999999</v>
      </c>
      <c r="CA622" s="693">
        <f t="shared" si="598"/>
        <v>13.381818181818209</v>
      </c>
      <c r="CB622" s="668">
        <f t="shared" si="599"/>
        <v>14.221280172970545</v>
      </c>
    </row>
    <row r="623" spans="1:80" ht="15.75">
      <c r="A623" s="564"/>
      <c r="B623" s="585" t="s">
        <v>116</v>
      </c>
      <c r="C623" s="769">
        <v>350</v>
      </c>
      <c r="D623" s="655">
        <v>391.26</v>
      </c>
      <c r="E623" s="23">
        <v>8.2100000000000009</v>
      </c>
      <c r="F623" s="23">
        <v>7.65</v>
      </c>
      <c r="G623" s="749">
        <v>9.33</v>
      </c>
      <c r="H623" s="769">
        <v>350</v>
      </c>
      <c r="I623" s="23">
        <v>425.5</v>
      </c>
      <c r="J623" s="42">
        <v>1.95</v>
      </c>
      <c r="K623" s="42">
        <v>2.44</v>
      </c>
      <c r="L623" s="754">
        <v>3.4</v>
      </c>
      <c r="M623" s="769">
        <v>350</v>
      </c>
      <c r="N623" s="649">
        <v>403.85</v>
      </c>
      <c r="O623" s="260">
        <v>3.67</v>
      </c>
      <c r="P623" s="260">
        <v>4.6900000000000004</v>
      </c>
      <c r="Q623" s="749">
        <v>5.29</v>
      </c>
      <c r="R623" s="769">
        <v>350</v>
      </c>
      <c r="S623" s="649">
        <v>410.1</v>
      </c>
      <c r="T623" s="260">
        <v>4.74</v>
      </c>
      <c r="U623" s="260">
        <v>3.96</v>
      </c>
      <c r="V623" s="94">
        <v>6.24</v>
      </c>
      <c r="W623" s="564"/>
      <c r="X623" s="650">
        <v>350</v>
      </c>
      <c r="Y623" s="651">
        <f t="shared" si="576"/>
        <v>0.83966666666666667</v>
      </c>
      <c r="Z623" s="620">
        <v>9.6440000000000001</v>
      </c>
      <c r="AA623" s="620">
        <v>4.5170000000000003</v>
      </c>
      <c r="AB623" s="620">
        <f t="shared" si="577"/>
        <v>4.2873333333333328</v>
      </c>
      <c r="AC623" s="620">
        <f t="shared" si="578"/>
        <v>34.288666666666671</v>
      </c>
      <c r="AD623" s="653">
        <f t="shared" si="579"/>
        <v>25.175674118606661</v>
      </c>
      <c r="AE623" s="650">
        <v>350</v>
      </c>
      <c r="AF623" s="620">
        <f t="shared" si="580"/>
        <v>0.2596666666666666</v>
      </c>
      <c r="AG623" s="620">
        <v>9.6440000000000001</v>
      </c>
      <c r="AH623" s="620">
        <v>4.5170000000000003</v>
      </c>
      <c r="AI623" s="620">
        <f t="shared" si="581"/>
        <v>4.8673333333333328</v>
      </c>
      <c r="AJ623" s="620">
        <f t="shared" si="582"/>
        <v>33.708666666666673</v>
      </c>
      <c r="AK623" s="653">
        <f t="shared" si="583"/>
        <v>28.098033373806665</v>
      </c>
      <c r="AL623" s="650">
        <v>350</v>
      </c>
      <c r="AM623" s="620">
        <f t="shared" si="584"/>
        <v>0.45499999999999996</v>
      </c>
      <c r="AN623" s="620">
        <v>9.6440000000000001</v>
      </c>
      <c r="AO623" s="620">
        <v>4.5170000000000003</v>
      </c>
      <c r="AP623" s="620">
        <f t="shared" si="585"/>
        <v>4.6719999999999997</v>
      </c>
      <c r="AQ623" s="620">
        <f t="shared" si="586"/>
        <v>33.904000000000003</v>
      </c>
      <c r="AR623" s="698">
        <f t="shared" si="587"/>
        <v>27.126704317439998</v>
      </c>
      <c r="AS623" s="650">
        <v>350</v>
      </c>
      <c r="AT623" s="620">
        <f t="shared" ref="AT623" si="600">AVERAGE(T623:V623)/10</f>
        <v>0.49799999999999994</v>
      </c>
      <c r="AU623" s="620">
        <v>9.6440000000000001</v>
      </c>
      <c r="AV623" s="620">
        <v>4.5170000000000003</v>
      </c>
      <c r="AW623" s="620">
        <f t="shared" si="589"/>
        <v>4.6289999999999996</v>
      </c>
      <c r="AX623" s="620">
        <f t="shared" si="590"/>
        <v>33.947000000000003</v>
      </c>
      <c r="AY623" s="698">
        <f t="shared" si="591"/>
        <v>26.911124242064997</v>
      </c>
      <c r="AZ623" s="75"/>
      <c r="BA623" s="650">
        <v>350</v>
      </c>
      <c r="BB623" s="620">
        <v>103.50685607036536</v>
      </c>
      <c r="BC623" s="720">
        <f>(BB639-BB640)/BB621</f>
        <v>0.65058492313032235</v>
      </c>
      <c r="BD623" s="714">
        <f>D623-BB637</f>
        <v>35.860000000000014</v>
      </c>
      <c r="BE623" s="693">
        <f>BB639-BB640</f>
        <v>67.339999999999989</v>
      </c>
      <c r="BF623" s="693">
        <f t="shared" si="592"/>
        <v>53.252153252153278</v>
      </c>
      <c r="BG623" s="668">
        <f t="shared" si="593"/>
        <v>34.645048030076282</v>
      </c>
      <c r="BH623" s="650">
        <v>350</v>
      </c>
      <c r="BI623" s="620">
        <v>103.50685607036536</v>
      </c>
      <c r="BJ623" s="720">
        <f>(BI639-BI640)/BI621</f>
        <v>0.88786389123368936</v>
      </c>
      <c r="BK623" s="714">
        <f>I623-BI637</f>
        <v>45.699999999999989</v>
      </c>
      <c r="BL623" s="693">
        <f>BI639-BI640</f>
        <v>91.9</v>
      </c>
      <c r="BM623" s="693">
        <f t="shared" si="594"/>
        <v>49.727965179542963</v>
      </c>
      <c r="BN623" s="668">
        <f t="shared" si="595"/>
        <v>44.151664667442425</v>
      </c>
      <c r="BO623" s="650">
        <v>350</v>
      </c>
      <c r="BP623" s="681">
        <v>103.50685607036536</v>
      </c>
      <c r="BQ623" s="720">
        <f>(BP639-BP640)/BP621</f>
        <v>0.84177998741231075</v>
      </c>
      <c r="BR623" s="714">
        <f>N623-BP637</f>
        <v>28.810000000000059</v>
      </c>
      <c r="BS623" s="693">
        <f>BP639-BP640</f>
        <v>87.13000000000001</v>
      </c>
      <c r="BT623" s="693">
        <f t="shared" si="596"/>
        <v>33.065534259153054</v>
      </c>
      <c r="BU623" s="668">
        <f t="shared" si="597"/>
        <v>27.833905012451186</v>
      </c>
      <c r="BV623" s="650">
        <v>350</v>
      </c>
      <c r="BW623" s="620">
        <v>103.50685607036536</v>
      </c>
      <c r="BX623" s="720">
        <f>(BW639-BW640)/BW621</f>
        <v>1.0627315346649162</v>
      </c>
      <c r="BY623" s="714">
        <f>S623-BW637</f>
        <v>13.260000000000048</v>
      </c>
      <c r="BZ623" s="693">
        <f>BW639-BW640</f>
        <v>109.99999999999999</v>
      </c>
      <c r="CA623" s="693">
        <f t="shared" si="598"/>
        <v>12.054545454545499</v>
      </c>
      <c r="CB623" s="668">
        <f t="shared" si="599"/>
        <v>12.810745590597127</v>
      </c>
    </row>
    <row r="624" spans="1:80" ht="15.75">
      <c r="A624" s="564"/>
      <c r="B624" s="585" t="s">
        <v>116</v>
      </c>
      <c r="C624" s="769">
        <v>450</v>
      </c>
      <c r="D624" s="655">
        <v>387.95</v>
      </c>
      <c r="E624" s="23">
        <v>8.34</v>
      </c>
      <c r="F624" s="23">
        <v>9.4</v>
      </c>
      <c r="G624" s="749">
        <v>8.06</v>
      </c>
      <c r="H624" s="769">
        <v>450</v>
      </c>
      <c r="I624" s="750">
        <v>424.22</v>
      </c>
      <c r="J624" s="42">
        <v>2.09</v>
      </c>
      <c r="K624" s="42">
        <v>2.06</v>
      </c>
      <c r="L624" s="754">
        <v>3.53</v>
      </c>
      <c r="M624" s="769">
        <v>450</v>
      </c>
      <c r="N624" s="639">
        <v>400.35</v>
      </c>
      <c r="O624" s="550">
        <v>6.01</v>
      </c>
      <c r="P624" s="550">
        <v>5.23</v>
      </c>
      <c r="Q624" s="94">
        <v>4.2</v>
      </c>
      <c r="R624" s="769">
        <v>450</v>
      </c>
      <c r="S624" s="649">
        <v>407.33</v>
      </c>
      <c r="T624" s="260">
        <v>4.53</v>
      </c>
      <c r="U624" s="260">
        <v>5.81</v>
      </c>
      <c r="V624" s="94">
        <v>5.91</v>
      </c>
      <c r="W624" s="564"/>
      <c r="X624" s="650">
        <v>450</v>
      </c>
      <c r="Y624" s="651">
        <f t="shared" si="576"/>
        <v>0.8600000000000001</v>
      </c>
      <c r="Z624" s="620">
        <v>9.6440000000000001</v>
      </c>
      <c r="AA624" s="620">
        <v>4.5170000000000003</v>
      </c>
      <c r="AB624" s="620">
        <f t="shared" si="577"/>
        <v>4.2669999999999995</v>
      </c>
      <c r="AC624" s="620">
        <f t="shared" si="578"/>
        <v>34.309000000000005</v>
      </c>
      <c r="AD624" s="653">
        <f t="shared" si="579"/>
        <v>41.444118016784991</v>
      </c>
      <c r="AE624" s="650">
        <v>450</v>
      </c>
      <c r="AF624" s="620">
        <f t="shared" si="580"/>
        <v>0.25600000000000001</v>
      </c>
      <c r="AG624" s="620">
        <v>9.6440000000000001</v>
      </c>
      <c r="AH624" s="620">
        <v>4.5170000000000003</v>
      </c>
      <c r="AI624" s="620">
        <f t="shared" si="581"/>
        <v>4.8709999999999996</v>
      </c>
      <c r="AJ624" s="620">
        <f t="shared" si="582"/>
        <v>33.705000000000005</v>
      </c>
      <c r="AK624" s="653">
        <f t="shared" si="583"/>
        <v>46.477703385224991</v>
      </c>
      <c r="AL624" s="650">
        <v>450</v>
      </c>
      <c r="AM624" s="620">
        <f t="shared" si="584"/>
        <v>0.51466666666666672</v>
      </c>
      <c r="AN624" s="620">
        <v>9.6440000000000001</v>
      </c>
      <c r="AO624" s="620">
        <v>4.5170000000000003</v>
      </c>
      <c r="AP624" s="620">
        <f t="shared" si="585"/>
        <v>4.612333333333333</v>
      </c>
      <c r="AQ624" s="620">
        <f t="shared" si="586"/>
        <v>33.963666666666668</v>
      </c>
      <c r="AR624" s="698">
        <f t="shared" si="587"/>
        <v>44.347327700984991</v>
      </c>
      <c r="AS624" s="650">
        <v>450</v>
      </c>
      <c r="AT624" s="620">
        <f>AVERAGE(T624:V624)/10</f>
        <v>0.54166666666666674</v>
      </c>
      <c r="AU624" s="620">
        <v>9.6440000000000001</v>
      </c>
      <c r="AV624" s="620">
        <v>4.5170000000000003</v>
      </c>
      <c r="AW624" s="620">
        <f t="shared" si="589"/>
        <v>4.5853333333333328</v>
      </c>
      <c r="AX624" s="620">
        <f t="shared" si="590"/>
        <v>33.990666666666669</v>
      </c>
      <c r="AY624" s="698">
        <f t="shared" si="591"/>
        <v>44.122772500559989</v>
      </c>
      <c r="AZ624" s="75"/>
      <c r="BA624" s="650">
        <v>450</v>
      </c>
      <c r="BB624" s="620">
        <v>103.50685607036536</v>
      </c>
      <c r="BC624" s="720">
        <f>(BB639-BB640)/BB621</f>
        <v>0.65058492313032235</v>
      </c>
      <c r="BD624" s="714">
        <f>D624-BB637</f>
        <v>32.550000000000011</v>
      </c>
      <c r="BE624" s="693">
        <f>BB639-BB640</f>
        <v>67.339999999999989</v>
      </c>
      <c r="BF624" s="693">
        <f t="shared" si="592"/>
        <v>48.33679833679836</v>
      </c>
      <c r="BG624" s="668">
        <f t="shared" si="593"/>
        <v>31.447192230311853</v>
      </c>
      <c r="BH624" s="650">
        <v>450</v>
      </c>
      <c r="BI624" s="620">
        <v>103.50685607036536</v>
      </c>
      <c r="BJ624" s="720">
        <f>(BI639-BI640)/BI621</f>
        <v>0.88786389123368936</v>
      </c>
      <c r="BK624" s="714">
        <f>I624-BI637</f>
        <v>44.420000000000016</v>
      </c>
      <c r="BL624" s="693">
        <f>BI639-BI640</f>
        <v>91.9</v>
      </c>
      <c r="BM624" s="693">
        <f t="shared" si="594"/>
        <v>48.33514689880306</v>
      </c>
      <c r="BN624" s="668">
        <f t="shared" si="595"/>
        <v>42.915031608923279</v>
      </c>
      <c r="BO624" s="650">
        <v>450</v>
      </c>
      <c r="BP624" s="681">
        <v>103.50685607036536</v>
      </c>
      <c r="BQ624" s="720">
        <f>(BP639-BP640)/BP621</f>
        <v>0.84177998741231075</v>
      </c>
      <c r="BR624" s="714">
        <f>N624-BP637</f>
        <v>25.310000000000059</v>
      </c>
      <c r="BS624" s="693">
        <f>BP639-BP640</f>
        <v>87.13000000000001</v>
      </c>
      <c r="BT624" s="693">
        <f t="shared" si="596"/>
        <v>29.048548146447899</v>
      </c>
      <c r="BU624" s="668">
        <f t="shared" si="597"/>
        <v>24.452486493062814</v>
      </c>
      <c r="BV624" s="650">
        <v>450</v>
      </c>
      <c r="BW624" s="620">
        <v>103.50685607036536</v>
      </c>
      <c r="BX624" s="720">
        <f>(BW639-BW640)/BW621</f>
        <v>1.0627315346649162</v>
      </c>
      <c r="BY624" s="714">
        <f>S624-BW637</f>
        <v>10.490000000000009</v>
      </c>
      <c r="BZ624" s="693">
        <f>BW639-BW640</f>
        <v>109.99999999999999</v>
      </c>
      <c r="CA624" s="693">
        <f t="shared" si="598"/>
        <v>9.5363636363636459</v>
      </c>
      <c r="CB624" s="668">
        <f t="shared" si="599"/>
        <v>10.134594362395438</v>
      </c>
    </row>
    <row r="625" spans="1:80" ht="15.75">
      <c r="A625" s="564"/>
      <c r="B625" s="585" t="s">
        <v>116</v>
      </c>
      <c r="C625" s="769">
        <v>550</v>
      </c>
      <c r="D625" s="655">
        <v>385.18</v>
      </c>
      <c r="E625" s="750">
        <v>10.55</v>
      </c>
      <c r="F625" s="750">
        <v>9.06</v>
      </c>
      <c r="G625" s="751">
        <v>8.7899999999999991</v>
      </c>
      <c r="H625" s="769">
        <v>550</v>
      </c>
      <c r="I625" s="750">
        <v>421.14</v>
      </c>
      <c r="J625" s="42">
        <v>2.1800000000000002</v>
      </c>
      <c r="K625" s="42">
        <v>2.67</v>
      </c>
      <c r="L625" s="754">
        <v>4.01</v>
      </c>
      <c r="M625" s="769">
        <v>550</v>
      </c>
      <c r="N625" s="639">
        <v>397.59</v>
      </c>
      <c r="O625" s="550">
        <v>5.69</v>
      </c>
      <c r="P625" s="550">
        <v>5.61</v>
      </c>
      <c r="Q625" s="94">
        <v>1.87</v>
      </c>
      <c r="R625" s="769">
        <v>550</v>
      </c>
      <c r="S625" s="649">
        <v>405.15</v>
      </c>
      <c r="T625" s="260">
        <v>7.25</v>
      </c>
      <c r="U625" s="260">
        <v>4.67</v>
      </c>
      <c r="V625" s="260">
        <v>6.95</v>
      </c>
      <c r="W625" s="564"/>
      <c r="X625" s="650">
        <v>550</v>
      </c>
      <c r="Y625" s="651">
        <f t="shared" si="576"/>
        <v>0.94666666666666666</v>
      </c>
      <c r="Z625" s="620">
        <v>9.6440000000000001</v>
      </c>
      <c r="AA625" s="620">
        <v>4.5170000000000003</v>
      </c>
      <c r="AB625" s="620">
        <f t="shared" si="577"/>
        <v>4.1803333333333335</v>
      </c>
      <c r="AC625" s="620">
        <f t="shared" si="578"/>
        <v>34.395666666666671</v>
      </c>
      <c r="AD625" s="653">
        <f t="shared" si="579"/>
        <v>60.806106387051663</v>
      </c>
      <c r="AE625" s="650">
        <v>550</v>
      </c>
      <c r="AF625" s="620">
        <f t="shared" si="580"/>
        <v>0.29533333333333334</v>
      </c>
      <c r="AG625" s="620">
        <v>9.6440000000000001</v>
      </c>
      <c r="AH625" s="620">
        <v>4.5170000000000003</v>
      </c>
      <c r="AI625" s="620">
        <f t="shared" si="581"/>
        <v>4.8316666666666661</v>
      </c>
      <c r="AJ625" s="620">
        <f t="shared" si="582"/>
        <v>33.744333333333337</v>
      </c>
      <c r="AK625" s="653">
        <f t="shared" si="583"/>
        <v>68.949380401091645</v>
      </c>
      <c r="AL625" s="650">
        <v>550</v>
      </c>
      <c r="AM625" s="620">
        <f t="shared" si="584"/>
        <v>0.43900000000000006</v>
      </c>
      <c r="AN625" s="620">
        <v>9.6440000000000001</v>
      </c>
      <c r="AO625" s="620">
        <v>4.5170000000000003</v>
      </c>
      <c r="AP625" s="620">
        <f t="shared" si="585"/>
        <v>4.6879999999999997</v>
      </c>
      <c r="AQ625" s="620">
        <f t="shared" si="586"/>
        <v>33.888000000000005</v>
      </c>
      <c r="AR625" s="698">
        <f t="shared" si="587"/>
        <v>67.184036282879987</v>
      </c>
      <c r="AS625" s="650">
        <v>550</v>
      </c>
      <c r="AT625" s="620">
        <f t="shared" ref="AT625:AT636" si="601">AVERAGE(T625:V625)/10</f>
        <v>0.629</v>
      </c>
      <c r="AU625" s="620">
        <v>9.6440000000000001</v>
      </c>
      <c r="AV625" s="620">
        <v>4.5170000000000003</v>
      </c>
      <c r="AW625" s="620">
        <f t="shared" si="589"/>
        <v>4.4979999999999993</v>
      </c>
      <c r="AX625" s="620">
        <f t="shared" si="590"/>
        <v>34.078000000000003</v>
      </c>
      <c r="AY625" s="698">
        <f t="shared" si="591"/>
        <v>64.822548313379983</v>
      </c>
      <c r="AZ625" s="75"/>
      <c r="BA625" s="650">
        <v>550</v>
      </c>
      <c r="BB625" s="620">
        <v>103.50685607036536</v>
      </c>
      <c r="BC625" s="720">
        <f>(BB639-BB640)/BB621</f>
        <v>0.65058492313032235</v>
      </c>
      <c r="BD625" s="714">
        <f>D625-BB637</f>
        <v>29.78000000000003</v>
      </c>
      <c r="BE625" s="693">
        <f>BB639-BB640</f>
        <v>67.339999999999989</v>
      </c>
      <c r="BF625" s="693">
        <f t="shared" si="592"/>
        <v>44.223344223344277</v>
      </c>
      <c r="BG625" s="668">
        <f t="shared" si="593"/>
        <v>28.77104100211022</v>
      </c>
      <c r="BH625" s="650">
        <v>550</v>
      </c>
      <c r="BI625" s="620">
        <v>103.50685607036536</v>
      </c>
      <c r="BJ625" s="720">
        <f>(BI639-BI640)/BI621</f>
        <v>0.88786389123368936</v>
      </c>
      <c r="BK625" s="714">
        <f>I625-BI637</f>
        <v>41.339999999999975</v>
      </c>
      <c r="BL625" s="693">
        <f>BI639-BI640</f>
        <v>91.9</v>
      </c>
      <c r="BM625" s="693">
        <f t="shared" si="594"/>
        <v>44.983677910772549</v>
      </c>
      <c r="BN625" s="668">
        <f t="shared" si="595"/>
        <v>39.939383311861476</v>
      </c>
      <c r="BO625" s="650">
        <v>550</v>
      </c>
      <c r="BP625" s="681">
        <v>103.50685607036536</v>
      </c>
      <c r="BQ625" s="720">
        <f>(BP639-BP640)/BP621</f>
        <v>0.84177998741231075</v>
      </c>
      <c r="BR625" s="714">
        <f>N625-BP637</f>
        <v>22.550000000000011</v>
      </c>
      <c r="BS625" s="693">
        <f>BP639-BP640</f>
        <v>87.13000000000001</v>
      </c>
      <c r="BT625" s="693">
        <f t="shared" si="596"/>
        <v>25.880867669000356</v>
      </c>
      <c r="BU625" s="668">
        <f t="shared" si="597"/>
        <v>21.785996460630798</v>
      </c>
      <c r="BV625" s="650">
        <v>550</v>
      </c>
      <c r="BW625" s="620">
        <v>103.50685607036536</v>
      </c>
      <c r="BX625" s="720">
        <f>(BW639-BW640)/BW621</f>
        <v>1.0627315346649162</v>
      </c>
      <c r="BY625" s="714">
        <f>S625-BW637</f>
        <v>8.3100000000000023</v>
      </c>
      <c r="BZ625" s="693">
        <f>BW639-BW640</f>
        <v>109.99999999999999</v>
      </c>
      <c r="CA625" s="693">
        <f t="shared" si="598"/>
        <v>7.5545454545454582</v>
      </c>
      <c r="CB625" s="668">
        <f t="shared" si="599"/>
        <v>8.0284536846049619</v>
      </c>
    </row>
    <row r="626" spans="1:80" ht="15.75">
      <c r="A626" s="564"/>
      <c r="B626" s="585" t="s">
        <v>116</v>
      </c>
      <c r="C626" s="769">
        <v>650</v>
      </c>
      <c r="D626" s="655">
        <v>382.67</v>
      </c>
      <c r="E626" s="750">
        <v>8.83</v>
      </c>
      <c r="F626" s="750">
        <v>9.64</v>
      </c>
      <c r="G626" s="751">
        <v>10.91</v>
      </c>
      <c r="H626" s="769">
        <v>650</v>
      </c>
      <c r="I626" s="750">
        <v>418.3</v>
      </c>
      <c r="J626" s="42">
        <v>4.54</v>
      </c>
      <c r="K626" s="42">
        <v>2.4900000000000002</v>
      </c>
      <c r="L626" s="754">
        <v>2.1800000000000002</v>
      </c>
      <c r="M626" s="769">
        <v>650</v>
      </c>
      <c r="N626" s="639">
        <v>395.54</v>
      </c>
      <c r="O626" s="550">
        <v>5.66</v>
      </c>
      <c r="P626" s="550">
        <v>5.39</v>
      </c>
      <c r="Q626" s="94">
        <v>4.84</v>
      </c>
      <c r="R626" s="769">
        <v>650</v>
      </c>
      <c r="S626" s="639">
        <v>403.4</v>
      </c>
      <c r="T626" s="639">
        <v>7.17</v>
      </c>
      <c r="U626" s="639">
        <v>5.32</v>
      </c>
      <c r="V626" s="654">
        <v>5.3</v>
      </c>
      <c r="W626" s="564"/>
      <c r="X626" s="650">
        <v>650</v>
      </c>
      <c r="Y626" s="651">
        <f t="shared" si="576"/>
        <v>0.97933333333333328</v>
      </c>
      <c r="Z626" s="620">
        <v>9.6440000000000001</v>
      </c>
      <c r="AA626" s="620">
        <v>4.5170000000000003</v>
      </c>
      <c r="AB626" s="620">
        <f t="shared" si="577"/>
        <v>4.1476666666666668</v>
      </c>
      <c r="AC626" s="620">
        <f t="shared" si="578"/>
        <v>34.428333333333342</v>
      </c>
      <c r="AD626" s="653">
        <f t="shared" si="579"/>
        <v>84.343910026891677</v>
      </c>
      <c r="AE626" s="650">
        <v>650</v>
      </c>
      <c r="AF626" s="620">
        <f t="shared" si="580"/>
        <v>0.30700000000000005</v>
      </c>
      <c r="AG626" s="620">
        <v>9.6440000000000001</v>
      </c>
      <c r="AH626" s="620">
        <v>4.5170000000000003</v>
      </c>
      <c r="AI626" s="620">
        <f t="shared" si="581"/>
        <v>4.8199999999999994</v>
      </c>
      <c r="AJ626" s="620">
        <f t="shared" si="582"/>
        <v>33.756000000000007</v>
      </c>
      <c r="AK626" s="653">
        <f t="shared" si="583"/>
        <v>96.101883867599994</v>
      </c>
      <c r="AL626" s="650">
        <v>650</v>
      </c>
      <c r="AM626" s="620">
        <f t="shared" si="584"/>
        <v>0.52966666666666673</v>
      </c>
      <c r="AN626" s="620">
        <v>9.6440000000000001</v>
      </c>
      <c r="AO626" s="620">
        <v>4.5170000000000003</v>
      </c>
      <c r="AP626" s="620">
        <f t="shared" si="585"/>
        <v>4.5973333333333333</v>
      </c>
      <c r="AQ626" s="620">
        <f t="shared" si="586"/>
        <v>33.978666666666669</v>
      </c>
      <c r="AR626" s="698">
        <f t="shared" si="587"/>
        <v>92.266959937706673</v>
      </c>
      <c r="AS626" s="650">
        <v>650</v>
      </c>
      <c r="AT626" s="620">
        <f t="shared" si="601"/>
        <v>0.59299999999999997</v>
      </c>
      <c r="AU626" s="620">
        <v>9.6440000000000001</v>
      </c>
      <c r="AV626" s="620">
        <v>4.5170000000000003</v>
      </c>
      <c r="AW626" s="620">
        <f t="shared" si="589"/>
        <v>4.5339999999999998</v>
      </c>
      <c r="AX626" s="620">
        <f t="shared" si="590"/>
        <v>34.042000000000002</v>
      </c>
      <c r="AY626" s="698">
        <f t="shared" si="591"/>
        <v>91.165489430340003</v>
      </c>
      <c r="AZ626" s="75"/>
      <c r="BA626" s="650">
        <v>650</v>
      </c>
      <c r="BB626" s="620">
        <v>103.50685607036536</v>
      </c>
      <c r="BC626" s="720">
        <f>(BB639-BB640)/BB621</f>
        <v>0.65058492313032235</v>
      </c>
      <c r="BD626" s="714">
        <f>D626-BB637</f>
        <v>27.270000000000039</v>
      </c>
      <c r="BE626" s="693">
        <f>BB639-BB640</f>
        <v>67.339999999999989</v>
      </c>
      <c r="BF626" s="693">
        <f t="shared" si="592"/>
        <v>40.495990495990561</v>
      </c>
      <c r="BG626" s="668">
        <f t="shared" si="593"/>
        <v>26.346080863920285</v>
      </c>
      <c r="BH626" s="650">
        <v>650</v>
      </c>
      <c r="BI626" s="620">
        <v>103.50685607036536</v>
      </c>
      <c r="BJ626" s="720">
        <f>(BI639-BI640)/BI621</f>
        <v>0.88786389123368936</v>
      </c>
      <c r="BK626" s="714">
        <f>I626-BI637</f>
        <v>38.5</v>
      </c>
      <c r="BL626" s="693">
        <f>BI639-BI640</f>
        <v>91.9</v>
      </c>
      <c r="BM626" s="693">
        <f t="shared" si="594"/>
        <v>41.893362350380848</v>
      </c>
      <c r="BN626" s="668">
        <f t="shared" si="595"/>
        <v>37.195603713272078</v>
      </c>
      <c r="BO626" s="650">
        <v>650</v>
      </c>
      <c r="BP626" s="681">
        <v>103.50685607036536</v>
      </c>
      <c r="BQ626" s="720">
        <f>(BP639-BP640)/BP621</f>
        <v>0.84177998741231075</v>
      </c>
      <c r="BR626" s="714">
        <f>N626-BP637</f>
        <v>20.500000000000057</v>
      </c>
      <c r="BS626" s="693">
        <f>BP639-BP640</f>
        <v>87.13000000000001</v>
      </c>
      <c r="BT626" s="693">
        <f t="shared" si="596"/>
        <v>23.528061517273102</v>
      </c>
      <c r="BU626" s="668">
        <f t="shared" si="597"/>
        <v>19.805451327846225</v>
      </c>
      <c r="BV626" s="650">
        <v>650</v>
      </c>
      <c r="BW626" s="620">
        <v>103.50685607036536</v>
      </c>
      <c r="BX626" s="720">
        <f>(BW639-BW640)/BW621</f>
        <v>1.0627315346649162</v>
      </c>
      <c r="BY626" s="714">
        <f>S626-BW637</f>
        <v>6.5600000000000023</v>
      </c>
      <c r="BZ626" s="693">
        <f>BW639-BW640</f>
        <v>109.99999999999999</v>
      </c>
      <c r="CA626" s="693">
        <f t="shared" si="598"/>
        <v>5.9636363636363665</v>
      </c>
      <c r="CB626" s="668">
        <f t="shared" si="599"/>
        <v>6.3377444249107757</v>
      </c>
    </row>
    <row r="627" spans="1:80" ht="15.75">
      <c r="A627" s="564"/>
      <c r="B627" s="585" t="s">
        <v>116</v>
      </c>
      <c r="C627" s="769">
        <v>750</v>
      </c>
      <c r="D627" s="655">
        <v>380.34</v>
      </c>
      <c r="E627" s="750">
        <v>10.33</v>
      </c>
      <c r="F627" s="750">
        <v>11.48</v>
      </c>
      <c r="G627" s="751">
        <v>9.56</v>
      </c>
      <c r="H627" s="769">
        <v>750</v>
      </c>
      <c r="I627" s="750">
        <v>415.5</v>
      </c>
      <c r="J627" s="42">
        <v>4.6399999999999997</v>
      </c>
      <c r="K627" s="42">
        <v>2.93</v>
      </c>
      <c r="L627" s="754">
        <v>3.1</v>
      </c>
      <c r="M627" s="769">
        <v>750</v>
      </c>
      <c r="N627" s="639">
        <v>393.82</v>
      </c>
      <c r="O627" s="562">
        <v>6.8</v>
      </c>
      <c r="P627" s="562">
        <v>6.39</v>
      </c>
      <c r="Q627" s="588">
        <v>4.92</v>
      </c>
      <c r="R627" s="769">
        <v>750</v>
      </c>
      <c r="S627" s="639">
        <v>401.94</v>
      </c>
      <c r="T627" s="639">
        <v>8.27</v>
      </c>
      <c r="U627" s="639">
        <v>5.0199999999999996</v>
      </c>
      <c r="V627" s="654">
        <v>7.3</v>
      </c>
      <c r="W627" s="564"/>
      <c r="X627" s="650">
        <v>750</v>
      </c>
      <c r="Y627" s="651">
        <f t="shared" si="576"/>
        <v>1.045666666666667</v>
      </c>
      <c r="Z627" s="620">
        <v>9.6440000000000001</v>
      </c>
      <c r="AA627" s="620">
        <v>4.5170000000000003</v>
      </c>
      <c r="AB627" s="620">
        <f t="shared" si="577"/>
        <v>4.0813333333333333</v>
      </c>
      <c r="AC627" s="620">
        <f t="shared" si="578"/>
        <v>34.494666666666674</v>
      </c>
      <c r="AD627" s="653">
        <f t="shared" si="579"/>
        <v>110.70920113800001</v>
      </c>
      <c r="AE627" s="650">
        <v>750</v>
      </c>
      <c r="AF627" s="620">
        <f t="shared" si="580"/>
        <v>0.35566666666666669</v>
      </c>
      <c r="AG627" s="620">
        <v>9.6440000000000001</v>
      </c>
      <c r="AH627" s="620">
        <v>4.5170000000000003</v>
      </c>
      <c r="AI627" s="620">
        <f t="shared" si="581"/>
        <v>4.7713333333333328</v>
      </c>
      <c r="AJ627" s="620">
        <f t="shared" si="582"/>
        <v>33.80466666666667</v>
      </c>
      <c r="AK627" s="653">
        <f t="shared" si="583"/>
        <v>126.83704465049998</v>
      </c>
      <c r="AL627" s="650">
        <v>750</v>
      </c>
      <c r="AM627" s="620">
        <f t="shared" si="584"/>
        <v>0.60366666666666657</v>
      </c>
      <c r="AN627" s="620">
        <v>9.6440000000000001</v>
      </c>
      <c r="AO627" s="620">
        <v>4.5170000000000003</v>
      </c>
      <c r="AP627" s="620">
        <f t="shared" si="585"/>
        <v>4.5233333333333334</v>
      </c>
      <c r="AQ627" s="620">
        <f t="shared" si="586"/>
        <v>34.052666666666674</v>
      </c>
      <c r="AR627" s="698">
        <f t="shared" si="587"/>
        <v>121.12656974250002</v>
      </c>
      <c r="AS627" s="650">
        <v>750</v>
      </c>
      <c r="AT627" s="620">
        <f t="shared" si="601"/>
        <v>0.68633333333333335</v>
      </c>
      <c r="AU627" s="620">
        <v>9.6440000000000001</v>
      </c>
      <c r="AV627" s="620">
        <v>4.5170000000000003</v>
      </c>
      <c r="AW627" s="620">
        <f t="shared" si="589"/>
        <v>4.4406666666666661</v>
      </c>
      <c r="AX627" s="620">
        <f t="shared" si="590"/>
        <v>34.135333333333335</v>
      </c>
      <c r="AY627" s="698">
        <f t="shared" si="591"/>
        <v>119.20158245849998</v>
      </c>
      <c r="AZ627" s="75"/>
      <c r="BA627" s="650">
        <v>750</v>
      </c>
      <c r="BB627" s="620">
        <v>103.50685607036536</v>
      </c>
      <c r="BC627" s="720">
        <f>(BB639-BB640)/BB621</f>
        <v>0.65058492313032235</v>
      </c>
      <c r="BD627" s="714">
        <f>D627-BB637</f>
        <v>24.939999999999998</v>
      </c>
      <c r="BE627" s="693">
        <f>BB639-BB640</f>
        <v>67.339999999999989</v>
      </c>
      <c r="BF627" s="693">
        <f t="shared" si="592"/>
        <v>37.035937035937039</v>
      </c>
      <c r="BG627" s="668">
        <f t="shared" si="593"/>
        <v>24.095022249584556</v>
      </c>
      <c r="BH627" s="650">
        <v>750</v>
      </c>
      <c r="BI627" s="620">
        <v>103.50685607036536</v>
      </c>
      <c r="BJ627" s="720">
        <f>(BI639-BI640)/BI621</f>
        <v>0.88786389123368936</v>
      </c>
      <c r="BK627" s="714">
        <f>I627-BI637</f>
        <v>35.699999999999989</v>
      </c>
      <c r="BL627" s="693">
        <f>BI639-BI640</f>
        <v>91.9</v>
      </c>
      <c r="BM627" s="693">
        <f t="shared" si="594"/>
        <v>38.846572361262226</v>
      </c>
      <c r="BN627" s="668">
        <f t="shared" si="595"/>
        <v>34.490468897761367</v>
      </c>
      <c r="BO627" s="650">
        <v>750</v>
      </c>
      <c r="BP627" s="681">
        <v>103.50685607036536</v>
      </c>
      <c r="BQ627" s="720">
        <f>(BP639-BP640)/BP621</f>
        <v>0.84177998741231075</v>
      </c>
      <c r="BR627" s="714">
        <f>N627-BP637</f>
        <v>18.78000000000003</v>
      </c>
      <c r="BS627" s="693">
        <f>BP639-BP640</f>
        <v>87.13000000000001</v>
      </c>
      <c r="BT627" s="693">
        <f t="shared" si="596"/>
        <v>21.553999770457967</v>
      </c>
      <c r="BU627" s="668">
        <f t="shared" si="597"/>
        <v>18.143725655461058</v>
      </c>
      <c r="BV627" s="650">
        <v>750</v>
      </c>
      <c r="BW627" s="620">
        <v>103.50685607036536</v>
      </c>
      <c r="BX627" s="720">
        <f>(BW639-BW640)/BW621</f>
        <v>1.0627315346649162</v>
      </c>
      <c r="BY627" s="714">
        <f>S627-BW637</f>
        <v>5.1000000000000227</v>
      </c>
      <c r="BZ627" s="693">
        <f>BW639-BW640</f>
        <v>109.99999999999999</v>
      </c>
      <c r="CA627" s="693">
        <f t="shared" si="598"/>
        <v>4.636363636363658</v>
      </c>
      <c r="CB627" s="668">
        <f t="shared" si="599"/>
        <v>4.9272098425373621</v>
      </c>
    </row>
    <row r="628" spans="1:80" ht="15.75">
      <c r="A628" s="564"/>
      <c r="B628" s="585" t="s">
        <v>116</v>
      </c>
      <c r="C628" s="769">
        <v>850</v>
      </c>
      <c r="D628" s="655">
        <v>378.99</v>
      </c>
      <c r="E628" s="750">
        <v>10.83</v>
      </c>
      <c r="F628" s="750">
        <v>12.23</v>
      </c>
      <c r="G628" s="751">
        <v>9.65</v>
      </c>
      <c r="H628" s="769">
        <v>850</v>
      </c>
      <c r="I628" s="750">
        <v>413.3</v>
      </c>
      <c r="J628" s="42">
        <v>5.1100000000000003</v>
      </c>
      <c r="K628" s="42">
        <v>3</v>
      </c>
      <c r="L628" s="754">
        <v>3.69</v>
      </c>
      <c r="M628" s="769">
        <v>850</v>
      </c>
      <c r="N628" s="639">
        <v>392.55</v>
      </c>
      <c r="O628" s="562">
        <v>7.14</v>
      </c>
      <c r="P628" s="562">
        <v>5.8</v>
      </c>
      <c r="Q628" s="588">
        <v>6.78</v>
      </c>
      <c r="R628" s="769">
        <v>850</v>
      </c>
      <c r="S628" s="639">
        <v>400.79</v>
      </c>
      <c r="T628" s="639">
        <v>8.6199999999999992</v>
      </c>
      <c r="U628" s="639">
        <v>5.7</v>
      </c>
      <c r="V628" s="654">
        <v>8.44</v>
      </c>
      <c r="W628" s="564"/>
      <c r="X628" s="650">
        <v>850</v>
      </c>
      <c r="Y628" s="651">
        <f t="shared" si="576"/>
        <v>1.0903333333333334</v>
      </c>
      <c r="Z628" s="620">
        <v>9.6440000000000001</v>
      </c>
      <c r="AA628" s="620">
        <v>4.5170000000000003</v>
      </c>
      <c r="AB628" s="620">
        <f t="shared" si="577"/>
        <v>4.0366666666666662</v>
      </c>
      <c r="AC628" s="620">
        <f t="shared" si="578"/>
        <v>34.539333333333339</v>
      </c>
      <c r="AD628" s="653">
        <f t="shared" si="579"/>
        <v>140.82568161876665</v>
      </c>
      <c r="AE628" s="650">
        <v>850</v>
      </c>
      <c r="AF628" s="620">
        <f t="shared" si="580"/>
        <v>0.39333333333333331</v>
      </c>
      <c r="AG628" s="620">
        <v>9.6440000000000001</v>
      </c>
      <c r="AH628" s="620">
        <v>4.5170000000000003</v>
      </c>
      <c r="AI628" s="620">
        <f t="shared" si="581"/>
        <v>4.7336666666666662</v>
      </c>
      <c r="AJ628" s="620">
        <f t="shared" si="582"/>
        <v>33.842333333333336</v>
      </c>
      <c r="AK628" s="653">
        <f t="shared" si="583"/>
        <v>161.80911938233166</v>
      </c>
      <c r="AL628" s="650">
        <v>850</v>
      </c>
      <c r="AM628" s="620">
        <f t="shared" si="584"/>
        <v>0.65733333333333333</v>
      </c>
      <c r="AN628" s="620">
        <v>9.6440000000000001</v>
      </c>
      <c r="AO628" s="620">
        <v>4.5170000000000003</v>
      </c>
      <c r="AP628" s="620">
        <f t="shared" si="585"/>
        <v>4.4696666666666669</v>
      </c>
      <c r="AQ628" s="620">
        <f t="shared" si="586"/>
        <v>34.106333333333339</v>
      </c>
      <c r="AR628" s="698">
        <f t="shared" si="587"/>
        <v>153.97676505121169</v>
      </c>
      <c r="AS628" s="650">
        <v>850</v>
      </c>
      <c r="AT628" s="620">
        <f t="shared" si="601"/>
        <v>0.7586666666666666</v>
      </c>
      <c r="AU628" s="620">
        <v>9.6440000000000001</v>
      </c>
      <c r="AV628" s="620">
        <v>4.5170000000000003</v>
      </c>
      <c r="AW628" s="620">
        <f t="shared" si="589"/>
        <v>4.3683333333333332</v>
      </c>
      <c r="AX628" s="620">
        <f t="shared" si="590"/>
        <v>34.207666666666668</v>
      </c>
      <c r="AY628" s="698">
        <f t="shared" si="591"/>
        <v>150.93301413809166</v>
      </c>
      <c r="AZ628" s="75"/>
      <c r="BA628" s="650">
        <v>850</v>
      </c>
      <c r="BB628" s="620">
        <v>103.50685607036536</v>
      </c>
      <c r="BC628" s="720">
        <f>(BB639-BB640)/BB621</f>
        <v>0.65058492313032235</v>
      </c>
      <c r="BD628" s="714">
        <f>D628-BB637</f>
        <v>23.590000000000032</v>
      </c>
      <c r="BE628" s="693">
        <f>BB639-BB640</f>
        <v>67.339999999999989</v>
      </c>
      <c r="BF628" s="693">
        <f t="shared" si="592"/>
        <v>35.031185031185089</v>
      </c>
      <c r="BG628" s="668">
        <f t="shared" si="593"/>
        <v>22.790760820677651</v>
      </c>
      <c r="BH628" s="650">
        <v>850</v>
      </c>
      <c r="BI628" s="620">
        <v>103.50685607036536</v>
      </c>
      <c r="BJ628" s="720">
        <f>(BI639-BI640)/BI621</f>
        <v>0.88786389123368936</v>
      </c>
      <c r="BK628" s="714">
        <f>I628-BI637</f>
        <v>33.5</v>
      </c>
      <c r="BL628" s="693">
        <f>BI639-BI640</f>
        <v>91.9</v>
      </c>
      <c r="BM628" s="693">
        <f t="shared" si="594"/>
        <v>36.452665941240475</v>
      </c>
      <c r="BN628" s="668">
        <f t="shared" si="595"/>
        <v>32.365005828431549</v>
      </c>
      <c r="BO628" s="650">
        <v>850</v>
      </c>
      <c r="BP628" s="681">
        <v>103.50685607036536</v>
      </c>
      <c r="BQ628" s="720">
        <f>(BP639-BP640)/BP621</f>
        <v>0.84177998741231075</v>
      </c>
      <c r="BR628" s="714">
        <f>N628-BP637</f>
        <v>17.510000000000048</v>
      </c>
      <c r="BS628" s="693">
        <f>BP639-BP640</f>
        <v>87.13000000000001</v>
      </c>
      <c r="BT628" s="693">
        <f t="shared" si="596"/>
        <v>20.096407666704977</v>
      </c>
      <c r="BU628" s="668">
        <f t="shared" si="597"/>
        <v>16.916753792711582</v>
      </c>
      <c r="BV628" s="650">
        <v>850</v>
      </c>
      <c r="BW628" s="620">
        <v>103.50685607036536</v>
      </c>
      <c r="BX628" s="720">
        <f>(BW639-BW640)/BW621</f>
        <v>1.0627315346649162</v>
      </c>
      <c r="BY628" s="714">
        <f>S628-BW637</f>
        <v>3.9500000000000455</v>
      </c>
      <c r="BZ628" s="693">
        <f>BW639-BW640</f>
        <v>109.99999999999999</v>
      </c>
      <c r="CA628" s="693">
        <f t="shared" si="598"/>
        <v>3.5909090909091326</v>
      </c>
      <c r="CB628" s="668">
        <f t="shared" si="599"/>
        <v>3.8161723290240617</v>
      </c>
    </row>
    <row r="629" spans="1:80" ht="15.75">
      <c r="A629" s="564"/>
      <c r="B629" s="585" t="s">
        <v>116</v>
      </c>
      <c r="C629" s="769">
        <v>950</v>
      </c>
      <c r="D629" s="655">
        <v>376.62</v>
      </c>
      <c r="E629" s="750">
        <v>10.95</v>
      </c>
      <c r="F629" s="750">
        <v>12.32</v>
      </c>
      <c r="G629" s="751">
        <v>9.89</v>
      </c>
      <c r="H629" s="769">
        <v>950</v>
      </c>
      <c r="I629" s="750">
        <v>411.14</v>
      </c>
      <c r="J629" s="42">
        <v>5.32</v>
      </c>
      <c r="K629" s="42">
        <v>3.85</v>
      </c>
      <c r="L629" s="754">
        <v>4.32</v>
      </c>
      <c r="M629" s="769">
        <v>950</v>
      </c>
      <c r="N629" s="639">
        <v>391.26</v>
      </c>
      <c r="O629" s="562">
        <v>7.25</v>
      </c>
      <c r="P629" s="562">
        <v>6.53</v>
      </c>
      <c r="Q629" s="588">
        <v>7.56</v>
      </c>
      <c r="R629" s="769">
        <v>950</v>
      </c>
      <c r="S629" s="639">
        <v>399.63</v>
      </c>
      <c r="T629" s="639">
        <v>8.7799999999999994</v>
      </c>
      <c r="U629" s="639">
        <v>6.24</v>
      </c>
      <c r="V629" s="654">
        <v>9.24</v>
      </c>
      <c r="W629" s="564"/>
      <c r="X629" s="650">
        <v>950</v>
      </c>
      <c r="Y629" s="651">
        <f t="shared" si="576"/>
        <v>1.1053333333333333</v>
      </c>
      <c r="Z629" s="620">
        <v>9.6440000000000001</v>
      </c>
      <c r="AA629" s="620">
        <v>4.5170000000000003</v>
      </c>
      <c r="AB629" s="620">
        <f t="shared" si="577"/>
        <v>4.0216666666666665</v>
      </c>
      <c r="AC629" s="620">
        <f t="shared" si="578"/>
        <v>34.554333333333339</v>
      </c>
      <c r="AD629" s="653">
        <f t="shared" si="579"/>
        <v>175.33272068789165</v>
      </c>
      <c r="AE629" s="650">
        <v>950</v>
      </c>
      <c r="AF629" s="620">
        <f t="shared" si="580"/>
        <v>0.44966666666666671</v>
      </c>
      <c r="AG629" s="620">
        <v>9.6440000000000001</v>
      </c>
      <c r="AH629" s="620">
        <v>4.5170000000000003</v>
      </c>
      <c r="AI629" s="620">
        <f t="shared" si="581"/>
        <v>4.6773333333333333</v>
      </c>
      <c r="AJ629" s="620">
        <f t="shared" si="582"/>
        <v>33.898666666666671</v>
      </c>
      <c r="AK629" s="653">
        <f t="shared" si="583"/>
        <v>200.04850942122667</v>
      </c>
      <c r="AL629" s="650">
        <v>950</v>
      </c>
      <c r="AM629" s="620">
        <f t="shared" si="584"/>
        <v>0.71133333333333337</v>
      </c>
      <c r="AN629" s="620">
        <v>9.6440000000000001</v>
      </c>
      <c r="AO629" s="620">
        <v>4.5170000000000003</v>
      </c>
      <c r="AP629" s="620">
        <f t="shared" si="585"/>
        <v>4.4156666666666666</v>
      </c>
      <c r="AQ629" s="620">
        <f t="shared" si="586"/>
        <v>34.160333333333341</v>
      </c>
      <c r="AR629" s="698">
        <f t="shared" si="587"/>
        <v>190.31488787365166</v>
      </c>
      <c r="AS629" s="650">
        <v>950</v>
      </c>
      <c r="AT629" s="620">
        <f t="shared" si="601"/>
        <v>0.80866666666666664</v>
      </c>
      <c r="AU629" s="620">
        <v>9.6440000000000001</v>
      </c>
      <c r="AV629" s="620">
        <v>4.5170000000000003</v>
      </c>
      <c r="AW629" s="620">
        <f t="shared" si="589"/>
        <v>4.3183333333333334</v>
      </c>
      <c r="AX629" s="620">
        <f t="shared" si="590"/>
        <v>34.257666666666672</v>
      </c>
      <c r="AY629" s="698">
        <f t="shared" si="591"/>
        <v>186.65014166049167</v>
      </c>
      <c r="AZ629" s="75"/>
      <c r="BA629" s="650">
        <v>950</v>
      </c>
      <c r="BB629" s="620">
        <v>103.50685607036536</v>
      </c>
      <c r="BC629" s="720">
        <f>(BB639-BB640)/BB621</f>
        <v>0.65058492313032235</v>
      </c>
      <c r="BD629" s="714">
        <f>D629-BB637</f>
        <v>21.220000000000027</v>
      </c>
      <c r="BE629" s="693">
        <f>BB639-BB640</f>
        <v>67.339999999999989</v>
      </c>
      <c r="BF629" s="693">
        <f t="shared" si="592"/>
        <v>31.511731511731554</v>
      </c>
      <c r="BG629" s="668">
        <f t="shared" si="593"/>
        <v>20.50105742326323</v>
      </c>
      <c r="BH629" s="650">
        <v>950</v>
      </c>
      <c r="BI629" s="620">
        <v>103.50685607036536</v>
      </c>
      <c r="BJ629" s="720">
        <f>(BI639-BI640)/BI621</f>
        <v>0.88786389123368936</v>
      </c>
      <c r="BK629" s="714">
        <f>I629-BI637</f>
        <v>31.339999999999975</v>
      </c>
      <c r="BL629" s="693">
        <f>BI639-BI640</f>
        <v>91.9</v>
      </c>
      <c r="BM629" s="693">
        <f t="shared" si="594"/>
        <v>34.102285092491805</v>
      </c>
      <c r="BN629" s="668">
        <f t="shared" si="595"/>
        <v>30.278187542180408</v>
      </c>
      <c r="BO629" s="650">
        <v>950</v>
      </c>
      <c r="BP629" s="681">
        <v>103.50685607036536</v>
      </c>
      <c r="BQ629" s="720">
        <f>(BP639-BP640)/BP621</f>
        <v>0.84177998741231075</v>
      </c>
      <c r="BR629" s="714">
        <f>N629-BP637</f>
        <v>16.220000000000027</v>
      </c>
      <c r="BS629" s="693">
        <f>BP639-BP640</f>
        <v>87.13000000000001</v>
      </c>
      <c r="BT629" s="693">
        <f t="shared" si="596"/>
        <v>18.615861356593623</v>
      </c>
      <c r="BU629" s="668">
        <f t="shared" si="597"/>
        <v>15.670459538422701</v>
      </c>
      <c r="BV629" s="650">
        <v>950</v>
      </c>
      <c r="BW629" s="620">
        <v>103.50685607036536</v>
      </c>
      <c r="BX629" s="720">
        <f>(BW639-BW640)/BW621</f>
        <v>1.0627315346649162</v>
      </c>
      <c r="BY629" s="714">
        <f>S629-BW637</f>
        <v>2.7900000000000205</v>
      </c>
      <c r="BZ629" s="693">
        <f>BW639-BW640</f>
        <v>109.99999999999999</v>
      </c>
      <c r="CA629" s="693">
        <f t="shared" si="598"/>
        <v>2.5363636363636552</v>
      </c>
      <c r="CB629" s="668">
        <f t="shared" si="599"/>
        <v>2.6954736197410347</v>
      </c>
    </row>
    <row r="630" spans="1:80" ht="15.75">
      <c r="A630" s="564"/>
      <c r="B630" s="585" t="s">
        <v>116</v>
      </c>
      <c r="C630" s="769">
        <v>1000</v>
      </c>
      <c r="D630" s="655">
        <v>375.85</v>
      </c>
      <c r="E630" s="750">
        <v>11.65</v>
      </c>
      <c r="F630" s="750">
        <v>11.99</v>
      </c>
      <c r="G630" s="751">
        <v>9.89</v>
      </c>
      <c r="H630" s="769">
        <v>1000</v>
      </c>
      <c r="I630" s="750">
        <v>410.23</v>
      </c>
      <c r="J630" s="42">
        <v>3.88</v>
      </c>
      <c r="K630" s="42">
        <v>4.5599999999999996</v>
      </c>
      <c r="L630" s="754">
        <v>5.67</v>
      </c>
      <c r="M630" s="769">
        <v>1000</v>
      </c>
      <c r="N630" s="562">
        <v>390.71</v>
      </c>
      <c r="O630" s="639">
        <v>10.82</v>
      </c>
      <c r="P630" s="562">
        <v>5.12</v>
      </c>
      <c r="Q630" s="588">
        <v>7.97</v>
      </c>
      <c r="R630" s="769">
        <v>1000</v>
      </c>
      <c r="S630" s="639">
        <v>399.06</v>
      </c>
      <c r="T630" s="639">
        <v>9.35</v>
      </c>
      <c r="U630" s="639">
        <v>6.69</v>
      </c>
      <c r="V630" s="654">
        <v>9.82</v>
      </c>
      <c r="W630" s="564"/>
      <c r="X630" s="650">
        <v>1000</v>
      </c>
      <c r="Y630" s="651">
        <f t="shared" si="576"/>
        <v>1.1176666666666668</v>
      </c>
      <c r="Z630" s="620">
        <v>9.6440000000000001</v>
      </c>
      <c r="AA630" s="620">
        <v>4.5170000000000003</v>
      </c>
      <c r="AB630" s="620">
        <f t="shared" si="577"/>
        <v>4.0093333333333332</v>
      </c>
      <c r="AC630" s="620">
        <f t="shared" si="578"/>
        <v>34.56666666666667</v>
      </c>
      <c r="AD630" s="653">
        <f t="shared" si="579"/>
        <v>193.74782586666663</v>
      </c>
      <c r="AE630" s="650">
        <v>1000</v>
      </c>
      <c r="AF630" s="620">
        <f t="shared" si="580"/>
        <v>0.47033333333333333</v>
      </c>
      <c r="AG630" s="620">
        <v>9.6440000000000001</v>
      </c>
      <c r="AH630" s="620">
        <v>4.5170000000000003</v>
      </c>
      <c r="AI630" s="620">
        <f t="shared" si="581"/>
        <v>4.6566666666666663</v>
      </c>
      <c r="AJ630" s="620">
        <f t="shared" si="582"/>
        <v>33.919333333333341</v>
      </c>
      <c r="AK630" s="653">
        <f t="shared" si="583"/>
        <v>220.81553838666665</v>
      </c>
      <c r="AL630" s="650">
        <v>1000</v>
      </c>
      <c r="AM630" s="620">
        <f>AVERAGE(P630:Q630)/10</f>
        <v>0.65449999999999997</v>
      </c>
      <c r="AN630" s="620">
        <v>9.6440000000000001</v>
      </c>
      <c r="AO630" s="620">
        <v>4.5170000000000003</v>
      </c>
      <c r="AP630" s="620">
        <f t="shared" si="585"/>
        <v>4.4725000000000001</v>
      </c>
      <c r="AQ630" s="620">
        <f t="shared" si="586"/>
        <v>34.103500000000004</v>
      </c>
      <c r="AR630" s="698">
        <f t="shared" si="587"/>
        <v>213.2340094425</v>
      </c>
      <c r="AS630" s="650">
        <v>1000</v>
      </c>
      <c r="AT630" s="620">
        <f t="shared" si="601"/>
        <v>0.86199999999999988</v>
      </c>
      <c r="AU630" s="620">
        <v>9.6440000000000001</v>
      </c>
      <c r="AV630" s="620">
        <v>4.5170000000000003</v>
      </c>
      <c r="AW630" s="620">
        <f t="shared" si="589"/>
        <v>4.2649999999999997</v>
      </c>
      <c r="AX630" s="620">
        <f t="shared" si="590"/>
        <v>34.311000000000007</v>
      </c>
      <c r="AY630" s="698">
        <f t="shared" si="591"/>
        <v>204.57830816999999</v>
      </c>
      <c r="AZ630" s="75"/>
      <c r="BA630" s="650">
        <v>1000</v>
      </c>
      <c r="BB630" s="620">
        <v>103.50685607036536</v>
      </c>
      <c r="BC630" s="720">
        <f>(BB639-BB640)/BB621</f>
        <v>0.65058492313032235</v>
      </c>
      <c r="BD630" s="714">
        <f>D630-BB637</f>
        <v>20.450000000000045</v>
      </c>
      <c r="BE630" s="693">
        <f>BB639-BB640</f>
        <v>67.339999999999989</v>
      </c>
      <c r="BF630" s="693">
        <f t="shared" si="592"/>
        <v>30.368280368280441</v>
      </c>
      <c r="BG630" s="668">
        <f t="shared" si="593"/>
        <v>19.75714534899781</v>
      </c>
      <c r="BH630" s="650">
        <v>1000</v>
      </c>
      <c r="BI630" s="620">
        <v>103.50685607036536</v>
      </c>
      <c r="BJ630" s="720">
        <f>(BI639-BI640)/BI621</f>
        <v>0.88786389123368936</v>
      </c>
      <c r="BK630" s="714">
        <f>I630-BI637</f>
        <v>30.430000000000007</v>
      </c>
      <c r="BL630" s="693">
        <f>BI639-BI640</f>
        <v>91.9</v>
      </c>
      <c r="BM630" s="693">
        <f t="shared" si="594"/>
        <v>33.112078346028298</v>
      </c>
      <c r="BN630" s="668">
        <f t="shared" si="595"/>
        <v>29.39901872713947</v>
      </c>
      <c r="BO630" s="650">
        <v>1000</v>
      </c>
      <c r="BP630" s="681">
        <v>103.50685607036536</v>
      </c>
      <c r="BQ630" s="720">
        <f>(BP639-BP640)/BP621</f>
        <v>0.84177998741231075</v>
      </c>
      <c r="BR630" s="714">
        <f>N630-BP637</f>
        <v>15.670000000000016</v>
      </c>
      <c r="BS630" s="693">
        <f>BP639-BP640</f>
        <v>87.13000000000001</v>
      </c>
      <c r="BT630" s="693">
        <f t="shared" si="596"/>
        <v>17.984620681739948</v>
      </c>
      <c r="BU630" s="668">
        <f t="shared" si="597"/>
        <v>15.139093771090236</v>
      </c>
      <c r="BV630" s="650">
        <v>1000</v>
      </c>
      <c r="BW630" s="620">
        <v>103.50685607036536</v>
      </c>
      <c r="BX630" s="720">
        <f>(BW639-BW640)/BW621</f>
        <v>1.0627315346649162</v>
      </c>
      <c r="BY630" s="714">
        <f>S630-BW637</f>
        <v>2.2200000000000273</v>
      </c>
      <c r="BZ630" s="693">
        <f>BW639-BW640</f>
        <v>109.99999999999999</v>
      </c>
      <c r="CA630" s="693">
        <f t="shared" si="598"/>
        <v>2.0181818181818434</v>
      </c>
      <c r="CB630" s="668">
        <f t="shared" si="599"/>
        <v>2.1447854608692212</v>
      </c>
    </row>
    <row r="631" spans="1:80" ht="15.75">
      <c r="A631" s="564"/>
      <c r="B631" s="585" t="s">
        <v>116</v>
      </c>
      <c r="C631" s="769">
        <v>1350</v>
      </c>
      <c r="D631" s="655"/>
      <c r="E631" s="750"/>
      <c r="F631" s="750"/>
      <c r="G631" s="751"/>
      <c r="H631" s="769">
        <v>1350</v>
      </c>
      <c r="I631" s="750"/>
      <c r="J631" s="755"/>
      <c r="K631" s="756"/>
      <c r="L631" s="757"/>
      <c r="M631" s="769">
        <v>1350</v>
      </c>
      <c r="N631" s="639"/>
      <c r="O631" s="562"/>
      <c r="P631" s="562"/>
      <c r="Q631" s="654"/>
      <c r="R631" s="769">
        <v>1350</v>
      </c>
      <c r="S631" s="639"/>
      <c r="T631" s="639"/>
      <c r="U631" s="639"/>
      <c r="V631" s="654"/>
      <c r="W631" s="564"/>
      <c r="X631" s="650">
        <v>1350</v>
      </c>
      <c r="Y631" s="651" t="e">
        <f t="shared" si="576"/>
        <v>#DIV/0!</v>
      </c>
      <c r="Z631" s="620">
        <v>9.6440000000000001</v>
      </c>
      <c r="AA631" s="620">
        <v>4.5170000000000003</v>
      </c>
      <c r="AB631" s="620" t="e">
        <f t="shared" si="577"/>
        <v>#DIV/0!</v>
      </c>
      <c r="AC631" s="620" t="e">
        <f t="shared" si="578"/>
        <v>#DIV/0!</v>
      </c>
      <c r="AD631" s="653" t="e">
        <f t="shared" si="579"/>
        <v>#DIV/0!</v>
      </c>
      <c r="AE631" s="650">
        <v>1350</v>
      </c>
      <c r="AF631" s="620" t="e">
        <f t="shared" si="580"/>
        <v>#DIV/0!</v>
      </c>
      <c r="AG631" s="620">
        <v>9.6440000000000001</v>
      </c>
      <c r="AH631" s="620">
        <v>4.5170000000000003</v>
      </c>
      <c r="AI631" s="620" t="e">
        <f t="shared" si="581"/>
        <v>#DIV/0!</v>
      </c>
      <c r="AJ631" s="620" t="e">
        <f t="shared" si="582"/>
        <v>#DIV/0!</v>
      </c>
      <c r="AK631" s="653" t="e">
        <f t="shared" si="583"/>
        <v>#DIV/0!</v>
      </c>
      <c r="AL631" s="650">
        <v>1350</v>
      </c>
      <c r="AM631" s="620" t="e">
        <f t="shared" ref="AM631:AM633" si="602">AVERAGE(O631:Q631)/10</f>
        <v>#DIV/0!</v>
      </c>
      <c r="AN631" s="620">
        <v>9.6440000000000001</v>
      </c>
      <c r="AO631" s="620">
        <v>4.5170000000000003</v>
      </c>
      <c r="AP631" s="620" t="e">
        <f t="shared" si="585"/>
        <v>#DIV/0!</v>
      </c>
      <c r="AQ631" s="620" t="e">
        <f t="shared" si="586"/>
        <v>#DIV/0!</v>
      </c>
      <c r="AR631" s="698" t="e">
        <f t="shared" si="587"/>
        <v>#DIV/0!</v>
      </c>
      <c r="AS631" s="650">
        <v>1350</v>
      </c>
      <c r="AT631" s="620" t="e">
        <f t="shared" si="601"/>
        <v>#DIV/0!</v>
      </c>
      <c r="AU631" s="620">
        <v>9.6440000000000001</v>
      </c>
      <c r="AV631" s="620">
        <v>4.5170000000000003</v>
      </c>
      <c r="AW631" s="620" t="e">
        <f t="shared" si="589"/>
        <v>#DIV/0!</v>
      </c>
      <c r="AX631" s="620" t="e">
        <f t="shared" si="590"/>
        <v>#DIV/0!</v>
      </c>
      <c r="AY631" s="698" t="e">
        <f t="shared" si="591"/>
        <v>#DIV/0!</v>
      </c>
      <c r="AZ631" s="75"/>
      <c r="BA631" s="650">
        <v>1350</v>
      </c>
      <c r="BB631" s="620">
        <v>103.50685607036536</v>
      </c>
      <c r="BC631" s="720">
        <f>(BB639-BB640)/BB621</f>
        <v>0.65058492313032235</v>
      </c>
      <c r="BD631" s="714">
        <f>D631-BB637</f>
        <v>-355.4</v>
      </c>
      <c r="BE631" s="693">
        <f>BB639-BB640</f>
        <v>67.339999999999989</v>
      </c>
      <c r="BF631" s="693">
        <f t="shared" si="592"/>
        <v>-527.76952776952783</v>
      </c>
      <c r="BG631" s="668">
        <f t="shared" si="593"/>
        <v>-343.35889765446478</v>
      </c>
      <c r="BH631" s="650">
        <v>1350</v>
      </c>
      <c r="BI631" s="620">
        <v>103.50685607036536</v>
      </c>
      <c r="BJ631" s="720">
        <f>(BI639-BI640)/BI621</f>
        <v>0.88786389123368936</v>
      </c>
      <c r="BK631" s="714">
        <f>I631-BI637</f>
        <v>-379.8</v>
      </c>
      <c r="BL631" s="693">
        <f>BI639-BI640</f>
        <v>91.9</v>
      </c>
      <c r="BM631" s="693">
        <f t="shared" si="594"/>
        <v>-413.27529923830247</v>
      </c>
      <c r="BN631" s="668">
        <f t="shared" si="595"/>
        <v>-366.93221533248658</v>
      </c>
      <c r="BO631" s="650">
        <v>1350</v>
      </c>
      <c r="BP631" s="681">
        <v>103.50685607036536</v>
      </c>
      <c r="BQ631" s="720">
        <f>(BP639-BP640)/BP621</f>
        <v>0.84177998741231075</v>
      </c>
      <c r="BR631" s="714">
        <f>N631-BP637</f>
        <v>-375.03999999999996</v>
      </c>
      <c r="BS631" s="693">
        <f>BP639-BP640</f>
        <v>87.13000000000001</v>
      </c>
      <c r="BT631" s="693">
        <f t="shared" si="596"/>
        <v>-430.43727763112577</v>
      </c>
      <c r="BU631" s="668">
        <f t="shared" si="597"/>
        <v>-362.33348614611833</v>
      </c>
      <c r="BV631" s="650">
        <v>1350</v>
      </c>
      <c r="BW631" s="620">
        <v>103.50685607036536</v>
      </c>
      <c r="BX631" s="720">
        <f>(BW639-BW640)/BW621</f>
        <v>1.0627315346649162</v>
      </c>
      <c r="BY631" s="714">
        <f>S631-BW637</f>
        <v>-396.84</v>
      </c>
      <c r="BZ631" s="693">
        <f>BW639-BW640</f>
        <v>109.99999999999999</v>
      </c>
      <c r="CA631" s="693">
        <f t="shared" si="598"/>
        <v>-360.76363636363641</v>
      </c>
      <c r="CB631" s="668">
        <f t="shared" si="599"/>
        <v>-383.39489292402311</v>
      </c>
    </row>
    <row r="632" spans="1:80" ht="15.75">
      <c r="A632" s="564"/>
      <c r="B632" s="585" t="s">
        <v>116</v>
      </c>
      <c r="C632" s="769">
        <v>2500</v>
      </c>
      <c r="D632" s="655"/>
      <c r="E632" s="750"/>
      <c r="F632" s="750"/>
      <c r="G632" s="751"/>
      <c r="H632" s="769">
        <v>2500</v>
      </c>
      <c r="I632" s="655"/>
      <c r="J632" s="655"/>
      <c r="K632" s="756"/>
      <c r="L632" s="619"/>
      <c r="M632" s="769">
        <v>2500</v>
      </c>
      <c r="N632" s="639"/>
      <c r="O632" s="562"/>
      <c r="P632" s="562"/>
      <c r="Q632" s="588"/>
      <c r="R632" s="769">
        <v>2500</v>
      </c>
      <c r="S632" s="639"/>
      <c r="T632" s="639"/>
      <c r="U632" s="639"/>
      <c r="V632" s="654"/>
      <c r="W632" s="564"/>
      <c r="X632" s="650">
        <v>2500</v>
      </c>
      <c r="Y632" s="651" t="e">
        <f t="shared" si="576"/>
        <v>#DIV/0!</v>
      </c>
      <c r="Z632" s="620">
        <v>9.6440000000000001</v>
      </c>
      <c r="AA632" s="620">
        <v>4.5170000000000003</v>
      </c>
      <c r="AB632" s="620" t="e">
        <f t="shared" si="577"/>
        <v>#DIV/0!</v>
      </c>
      <c r="AC632" s="620" t="e">
        <f t="shared" si="578"/>
        <v>#DIV/0!</v>
      </c>
      <c r="AD632" s="653" t="e">
        <f t="shared" si="579"/>
        <v>#DIV/0!</v>
      </c>
      <c r="AE632" s="650">
        <v>2500</v>
      </c>
      <c r="AF632" s="620" t="e">
        <f t="shared" si="580"/>
        <v>#DIV/0!</v>
      </c>
      <c r="AG632" s="620">
        <v>9.6440000000000001</v>
      </c>
      <c r="AH632" s="620">
        <v>4.5170000000000003</v>
      </c>
      <c r="AI632" s="620" t="e">
        <f t="shared" si="581"/>
        <v>#DIV/0!</v>
      </c>
      <c r="AJ632" s="620" t="e">
        <f t="shared" si="582"/>
        <v>#DIV/0!</v>
      </c>
      <c r="AK632" s="653" t="e">
        <f t="shared" si="583"/>
        <v>#DIV/0!</v>
      </c>
      <c r="AL632" s="650">
        <v>2500</v>
      </c>
      <c r="AM632" s="620" t="e">
        <f t="shared" si="602"/>
        <v>#DIV/0!</v>
      </c>
      <c r="AN632" s="620">
        <v>9.6440000000000001</v>
      </c>
      <c r="AO632" s="620">
        <v>4.5170000000000003</v>
      </c>
      <c r="AP632" s="620" t="e">
        <f t="shared" si="585"/>
        <v>#DIV/0!</v>
      </c>
      <c r="AQ632" s="620" t="e">
        <f t="shared" si="586"/>
        <v>#DIV/0!</v>
      </c>
      <c r="AR632" s="698" t="e">
        <f t="shared" si="587"/>
        <v>#DIV/0!</v>
      </c>
      <c r="AS632" s="650">
        <v>2500</v>
      </c>
      <c r="AT632" s="620" t="e">
        <f t="shared" si="601"/>
        <v>#DIV/0!</v>
      </c>
      <c r="AU632" s="620">
        <v>9.6440000000000001</v>
      </c>
      <c r="AV632" s="620">
        <v>4.5170000000000003</v>
      </c>
      <c r="AW632" s="620" t="e">
        <f t="shared" si="589"/>
        <v>#DIV/0!</v>
      </c>
      <c r="AX632" s="620" t="e">
        <f t="shared" si="590"/>
        <v>#DIV/0!</v>
      </c>
      <c r="AY632" s="698" t="e">
        <f t="shared" si="591"/>
        <v>#DIV/0!</v>
      </c>
      <c r="AZ632" s="75"/>
      <c r="BA632" s="650">
        <v>2500</v>
      </c>
      <c r="BB632" s="620">
        <v>103.50685607036536</v>
      </c>
      <c r="BC632" s="720">
        <f>(BB639-BB640)/BB621</f>
        <v>0.65058492313032235</v>
      </c>
      <c r="BD632" s="714">
        <f>D632-BB637</f>
        <v>-355.4</v>
      </c>
      <c r="BE632" s="693">
        <f>BB639-BB640</f>
        <v>67.339999999999989</v>
      </c>
      <c r="BF632" s="693">
        <f t="shared" si="592"/>
        <v>-527.76952776952783</v>
      </c>
      <c r="BG632" s="668">
        <f t="shared" si="593"/>
        <v>-343.35889765446478</v>
      </c>
      <c r="BH632" s="650">
        <v>2500</v>
      </c>
      <c r="BI632" s="620">
        <v>103.50685607036536</v>
      </c>
      <c r="BJ632" s="720">
        <f>(BI639-BI640)/BI621</f>
        <v>0.88786389123368936</v>
      </c>
      <c r="BK632" s="714">
        <f>I632-BI637</f>
        <v>-379.8</v>
      </c>
      <c r="BL632" s="693">
        <f>BI639-BI640</f>
        <v>91.9</v>
      </c>
      <c r="BM632" s="693">
        <f t="shared" si="594"/>
        <v>-413.27529923830247</v>
      </c>
      <c r="BN632" s="668">
        <f t="shared" si="595"/>
        <v>-366.93221533248658</v>
      </c>
      <c r="BO632" s="650">
        <v>2500</v>
      </c>
      <c r="BP632" s="681">
        <v>103.50685607036536</v>
      </c>
      <c r="BQ632" s="720">
        <f>(BP639-BP640)/BP621</f>
        <v>0.84177998741231075</v>
      </c>
      <c r="BR632" s="714">
        <f>N632-BP637</f>
        <v>-375.03999999999996</v>
      </c>
      <c r="BS632" s="693">
        <f>BP639-BP640</f>
        <v>87.13000000000001</v>
      </c>
      <c r="BT632" s="693">
        <f t="shared" si="596"/>
        <v>-430.43727763112577</v>
      </c>
      <c r="BU632" s="668">
        <f t="shared" si="597"/>
        <v>-362.33348614611833</v>
      </c>
      <c r="BV632" s="650">
        <v>2500</v>
      </c>
      <c r="BW632" s="620">
        <v>103.50685607036536</v>
      </c>
      <c r="BX632" s="720">
        <f>(BW639-BW640)/BW621</f>
        <v>1.0627315346649162</v>
      </c>
      <c r="BY632" s="714">
        <f>S632-BW637</f>
        <v>-396.84</v>
      </c>
      <c r="BZ632" s="693">
        <f>BW639-BW640</f>
        <v>109.99999999999999</v>
      </c>
      <c r="CA632" s="693">
        <f t="shared" si="598"/>
        <v>-360.76363636363641</v>
      </c>
      <c r="CB632" s="668">
        <f t="shared" si="599"/>
        <v>-383.39489292402311</v>
      </c>
    </row>
    <row r="633" spans="1:80" ht="15.75">
      <c r="A633" s="564"/>
      <c r="B633" s="585" t="s">
        <v>116</v>
      </c>
      <c r="C633" s="769">
        <v>5000</v>
      </c>
      <c r="D633" s="655"/>
      <c r="E633" s="750"/>
      <c r="F633" s="750"/>
      <c r="G633" s="751"/>
      <c r="H633" s="769">
        <v>5000</v>
      </c>
      <c r="I633" s="655"/>
      <c r="J633" s="655"/>
      <c r="K633" s="655"/>
      <c r="L633" s="756"/>
      <c r="M633" s="769">
        <v>5000</v>
      </c>
      <c r="N633" s="639"/>
      <c r="O633" s="562"/>
      <c r="P633" s="562"/>
      <c r="Q633" s="588"/>
      <c r="R633" s="769">
        <v>5000</v>
      </c>
      <c r="S633" s="639"/>
      <c r="T633" s="779"/>
      <c r="U633" s="639"/>
      <c r="V633" s="654"/>
      <c r="W633" s="564"/>
      <c r="X633" s="650">
        <v>5000</v>
      </c>
      <c r="Y633" s="651" t="e">
        <f t="shared" si="576"/>
        <v>#DIV/0!</v>
      </c>
      <c r="Z633" s="620">
        <v>9.6440000000000001</v>
      </c>
      <c r="AA633" s="620">
        <v>4.5170000000000003</v>
      </c>
      <c r="AB633" s="620" t="e">
        <f t="shared" si="577"/>
        <v>#DIV/0!</v>
      </c>
      <c r="AC633" s="620" t="e">
        <f t="shared" si="578"/>
        <v>#DIV/0!</v>
      </c>
      <c r="AD633" s="653" t="e">
        <f t="shared" si="579"/>
        <v>#DIV/0!</v>
      </c>
      <c r="AE633" s="650">
        <v>5000</v>
      </c>
      <c r="AF633" s="620" t="e">
        <f t="shared" si="580"/>
        <v>#DIV/0!</v>
      </c>
      <c r="AG633" s="620">
        <v>9.6440000000000001</v>
      </c>
      <c r="AH633" s="620">
        <v>4.5170000000000003</v>
      </c>
      <c r="AI633" s="620" t="e">
        <f t="shared" si="581"/>
        <v>#DIV/0!</v>
      </c>
      <c r="AJ633" s="620" t="e">
        <f t="shared" si="582"/>
        <v>#DIV/0!</v>
      </c>
      <c r="AK633" s="653" t="e">
        <f t="shared" si="583"/>
        <v>#DIV/0!</v>
      </c>
      <c r="AL633" s="650">
        <v>5000</v>
      </c>
      <c r="AM633" s="620" t="e">
        <f t="shared" si="602"/>
        <v>#DIV/0!</v>
      </c>
      <c r="AN633" s="620">
        <v>9.6440000000000001</v>
      </c>
      <c r="AO633" s="620">
        <v>4.5170000000000003</v>
      </c>
      <c r="AP633" s="620" t="e">
        <f t="shared" si="585"/>
        <v>#DIV/0!</v>
      </c>
      <c r="AQ633" s="620" t="e">
        <f t="shared" si="586"/>
        <v>#DIV/0!</v>
      </c>
      <c r="AR633" s="698" t="e">
        <f t="shared" si="587"/>
        <v>#DIV/0!</v>
      </c>
      <c r="AS633" s="650">
        <v>5000</v>
      </c>
      <c r="AT633" s="620" t="e">
        <f t="shared" si="601"/>
        <v>#DIV/0!</v>
      </c>
      <c r="AU633" s="620">
        <v>9.6440000000000001</v>
      </c>
      <c r="AV633" s="620">
        <v>4.5170000000000003</v>
      </c>
      <c r="AW633" s="620" t="e">
        <f t="shared" si="589"/>
        <v>#DIV/0!</v>
      </c>
      <c r="AX633" s="620" t="e">
        <f t="shared" si="590"/>
        <v>#DIV/0!</v>
      </c>
      <c r="AY633" s="698" t="e">
        <f t="shared" si="591"/>
        <v>#DIV/0!</v>
      </c>
      <c r="AZ633" s="75"/>
      <c r="BA633" s="650">
        <v>5000</v>
      </c>
      <c r="BB633" s="620">
        <v>103.50685607036536</v>
      </c>
      <c r="BC633" s="720">
        <f>(BB639-BB640)/BB621</f>
        <v>0.65058492313032235</v>
      </c>
      <c r="BD633" s="714">
        <f>D633-BB637</f>
        <v>-355.4</v>
      </c>
      <c r="BE633" s="693">
        <f>BB639-BB640</f>
        <v>67.339999999999989</v>
      </c>
      <c r="BF633" s="693">
        <f t="shared" si="592"/>
        <v>-527.76952776952783</v>
      </c>
      <c r="BG633" s="668">
        <f t="shared" si="593"/>
        <v>-343.35889765446478</v>
      </c>
      <c r="BH633" s="650">
        <v>5000</v>
      </c>
      <c r="BI633" s="620">
        <v>103.50685607036536</v>
      </c>
      <c r="BJ633" s="720">
        <f>(BI639-BI640)/BI621</f>
        <v>0.88786389123368936</v>
      </c>
      <c r="BK633" s="714">
        <f>I633-BI637</f>
        <v>-379.8</v>
      </c>
      <c r="BL633" s="693">
        <f>BI639-BI640</f>
        <v>91.9</v>
      </c>
      <c r="BM633" s="693">
        <f t="shared" si="594"/>
        <v>-413.27529923830247</v>
      </c>
      <c r="BN633" s="668">
        <f t="shared" si="595"/>
        <v>-366.93221533248658</v>
      </c>
      <c r="BO633" s="650">
        <v>5000</v>
      </c>
      <c r="BP633" s="681">
        <v>103.50685607036536</v>
      </c>
      <c r="BQ633" s="720">
        <f>(BP639-BP640)/BP621</f>
        <v>0.84177998741231075</v>
      </c>
      <c r="BR633" s="714">
        <f>N633-BP637</f>
        <v>-375.03999999999996</v>
      </c>
      <c r="BS633" s="693">
        <f>BP639-BP640</f>
        <v>87.13000000000001</v>
      </c>
      <c r="BT633" s="693">
        <f t="shared" si="596"/>
        <v>-430.43727763112577</v>
      </c>
      <c r="BU633" s="668">
        <f t="shared" si="597"/>
        <v>-362.33348614611833</v>
      </c>
      <c r="BV633" s="650">
        <v>5000</v>
      </c>
      <c r="BW633" s="620">
        <v>103.50685607036536</v>
      </c>
      <c r="BX633" s="720">
        <f>(BW639-BW640)/BW621</f>
        <v>1.0627315346649162</v>
      </c>
      <c r="BY633" s="714">
        <f>S633-BW637</f>
        <v>-396.84</v>
      </c>
      <c r="BZ633" s="693">
        <f>BW639-BW640</f>
        <v>109.99999999999999</v>
      </c>
      <c r="CA633" s="693">
        <f t="shared" si="598"/>
        <v>-360.76363636363641</v>
      </c>
      <c r="CB633" s="668">
        <f t="shared" si="599"/>
        <v>-383.39489292402311</v>
      </c>
    </row>
    <row r="634" spans="1:80" ht="15.75">
      <c r="A634" s="564"/>
      <c r="B634" s="585" t="s">
        <v>116</v>
      </c>
      <c r="C634" s="769">
        <v>7000</v>
      </c>
      <c r="D634" s="655"/>
      <c r="E634" s="750"/>
      <c r="F634" s="750"/>
      <c r="G634" s="751"/>
      <c r="H634" s="769">
        <v>7000</v>
      </c>
      <c r="I634" s="655"/>
      <c r="J634" s="655"/>
      <c r="K634" s="756"/>
      <c r="L634" s="619"/>
      <c r="M634" s="769">
        <v>7000</v>
      </c>
      <c r="N634" s="639"/>
      <c r="O634" s="562"/>
      <c r="P634" s="562"/>
      <c r="Q634" s="588"/>
      <c r="R634" s="769">
        <v>7000</v>
      </c>
      <c r="S634" s="639"/>
      <c r="T634" s="639"/>
      <c r="U634" s="639"/>
      <c r="V634" s="654"/>
      <c r="W634" s="564"/>
      <c r="X634" s="650">
        <v>7000</v>
      </c>
      <c r="Y634" s="651" t="e">
        <f t="shared" si="576"/>
        <v>#DIV/0!</v>
      </c>
      <c r="Z634" s="620">
        <v>9.6440000000000001</v>
      </c>
      <c r="AA634" s="620">
        <v>4.5170000000000003</v>
      </c>
      <c r="AB634" s="620" t="e">
        <f t="shared" si="577"/>
        <v>#DIV/0!</v>
      </c>
      <c r="AC634" s="620" t="e">
        <f t="shared" si="578"/>
        <v>#DIV/0!</v>
      </c>
      <c r="AD634" s="653" t="e">
        <f t="shared" si="579"/>
        <v>#DIV/0!</v>
      </c>
      <c r="AE634" s="650">
        <v>7000</v>
      </c>
      <c r="AF634" s="620" t="e">
        <f t="shared" si="580"/>
        <v>#DIV/0!</v>
      </c>
      <c r="AG634" s="620">
        <v>9.6440000000000001</v>
      </c>
      <c r="AH634" s="620">
        <v>4.5170000000000003</v>
      </c>
      <c r="AI634" s="620" t="e">
        <f t="shared" si="581"/>
        <v>#DIV/0!</v>
      </c>
      <c r="AJ634" s="620" t="e">
        <f t="shared" si="582"/>
        <v>#DIV/0!</v>
      </c>
      <c r="AK634" s="653" t="e">
        <f t="shared" si="583"/>
        <v>#DIV/0!</v>
      </c>
      <c r="AL634" s="650">
        <v>7000</v>
      </c>
      <c r="AM634" s="620" t="e">
        <f>AVERAGE(O634:Q634)/10</f>
        <v>#DIV/0!</v>
      </c>
      <c r="AN634" s="620">
        <v>9.6440000000000001</v>
      </c>
      <c r="AO634" s="620">
        <v>4.5170000000000003</v>
      </c>
      <c r="AP634" s="620" t="e">
        <f t="shared" si="585"/>
        <v>#DIV/0!</v>
      </c>
      <c r="AQ634" s="620" t="e">
        <f t="shared" si="586"/>
        <v>#DIV/0!</v>
      </c>
      <c r="AR634" s="698" t="e">
        <f t="shared" si="587"/>
        <v>#DIV/0!</v>
      </c>
      <c r="AS634" s="650">
        <v>7000</v>
      </c>
      <c r="AT634" s="620" t="e">
        <f t="shared" si="601"/>
        <v>#DIV/0!</v>
      </c>
      <c r="AU634" s="620">
        <v>9.6440000000000001</v>
      </c>
      <c r="AV634" s="620">
        <v>4.5170000000000003</v>
      </c>
      <c r="AW634" s="620" t="e">
        <f t="shared" si="589"/>
        <v>#DIV/0!</v>
      </c>
      <c r="AX634" s="620" t="e">
        <f t="shared" si="590"/>
        <v>#DIV/0!</v>
      </c>
      <c r="AY634" s="698" t="e">
        <f t="shared" si="591"/>
        <v>#DIV/0!</v>
      </c>
      <c r="AZ634" s="75"/>
      <c r="BA634" s="650">
        <v>7000</v>
      </c>
      <c r="BB634" s="620">
        <v>103.50685607036536</v>
      </c>
      <c r="BC634" s="720">
        <f>(BB639-BB640)/BB621</f>
        <v>0.65058492313032235</v>
      </c>
      <c r="BD634" s="714">
        <f>D634-BB637</f>
        <v>-355.4</v>
      </c>
      <c r="BE634" s="693">
        <f>BB639-BB640</f>
        <v>67.339999999999989</v>
      </c>
      <c r="BF634" s="693">
        <f t="shared" si="592"/>
        <v>-527.76952776952783</v>
      </c>
      <c r="BG634" s="668">
        <f t="shared" si="593"/>
        <v>-343.35889765446478</v>
      </c>
      <c r="BH634" s="650">
        <v>7000</v>
      </c>
      <c r="BI634" s="620">
        <v>103.50685607036536</v>
      </c>
      <c r="BJ634" s="720">
        <f>(BI639-BI640)/BI621</f>
        <v>0.88786389123368936</v>
      </c>
      <c r="BK634" s="714">
        <f>I634-BI637</f>
        <v>-379.8</v>
      </c>
      <c r="BL634" s="693">
        <f>BI639-BI640</f>
        <v>91.9</v>
      </c>
      <c r="BM634" s="693">
        <f t="shared" si="594"/>
        <v>-413.27529923830247</v>
      </c>
      <c r="BN634" s="668">
        <f t="shared" si="595"/>
        <v>-366.93221533248658</v>
      </c>
      <c r="BO634" s="650">
        <v>7000</v>
      </c>
      <c r="BP634" s="681">
        <v>103.50685607036536</v>
      </c>
      <c r="BQ634" s="720">
        <f>(BP639-BP640)/BP621</f>
        <v>0.84177998741231075</v>
      </c>
      <c r="BR634" s="714">
        <f>N634-BP637</f>
        <v>-375.03999999999996</v>
      </c>
      <c r="BS634" s="693">
        <f>BP639-BP640</f>
        <v>87.13000000000001</v>
      </c>
      <c r="BT634" s="693">
        <f t="shared" si="596"/>
        <v>-430.43727763112577</v>
      </c>
      <c r="BU634" s="668">
        <f t="shared" si="597"/>
        <v>-362.33348614611833</v>
      </c>
      <c r="BV634" s="650">
        <v>7000</v>
      </c>
      <c r="BW634" s="620">
        <v>103.50685607036536</v>
      </c>
      <c r="BX634" s="720">
        <f>(BW639-BW640)/BW621</f>
        <v>1.0627315346649162</v>
      </c>
      <c r="BY634" s="714">
        <f>S634-BW637</f>
        <v>-396.84</v>
      </c>
      <c r="BZ634" s="693">
        <f>BW639-BW640</f>
        <v>109.99999999999999</v>
      </c>
      <c r="CA634" s="693">
        <f t="shared" si="598"/>
        <v>-360.76363636363641</v>
      </c>
      <c r="CB634" s="668">
        <f t="shared" si="599"/>
        <v>-383.39489292402311</v>
      </c>
    </row>
    <row r="635" spans="1:80" ht="15.75">
      <c r="A635" s="564"/>
      <c r="B635" s="585" t="s">
        <v>116</v>
      </c>
      <c r="C635" s="769">
        <v>9000</v>
      </c>
      <c r="D635" s="655"/>
      <c r="E635" s="23"/>
      <c r="F635" s="23"/>
      <c r="G635" s="749"/>
      <c r="H635" s="769">
        <v>9000</v>
      </c>
      <c r="I635" s="655"/>
      <c r="J635" s="655"/>
      <c r="K635" s="756"/>
      <c r="L635" s="619"/>
      <c r="M635" s="769">
        <v>9000</v>
      </c>
      <c r="N635" s="639"/>
      <c r="O635" s="639"/>
      <c r="P635" s="562"/>
      <c r="Q635" s="588"/>
      <c r="R635" s="769">
        <v>9000</v>
      </c>
      <c r="S635" s="639"/>
      <c r="T635" s="639"/>
      <c r="U635" s="639"/>
      <c r="V635" s="654"/>
      <c r="W635" s="564"/>
      <c r="X635" s="650">
        <v>9000</v>
      </c>
      <c r="Y635" s="651" t="e">
        <f>AVERAGE(E635:G635)/10</f>
        <v>#DIV/0!</v>
      </c>
      <c r="Z635" s="620">
        <v>9.6440000000000001</v>
      </c>
      <c r="AA635" s="620">
        <v>4.5170000000000003</v>
      </c>
      <c r="AB635" s="620" t="e">
        <f t="shared" si="577"/>
        <v>#DIV/0!</v>
      </c>
      <c r="AC635" s="620" t="e">
        <f t="shared" si="578"/>
        <v>#DIV/0!</v>
      </c>
      <c r="AD635" s="653" t="e">
        <f t="shared" si="579"/>
        <v>#DIV/0!</v>
      </c>
      <c r="AE635" s="650">
        <v>9000</v>
      </c>
      <c r="AF635" s="620" t="e">
        <f t="shared" si="580"/>
        <v>#DIV/0!</v>
      </c>
      <c r="AG635" s="620">
        <v>9.6440000000000001</v>
      </c>
      <c r="AH635" s="620">
        <v>4.5170000000000003</v>
      </c>
      <c r="AI635" s="620" t="e">
        <f t="shared" si="581"/>
        <v>#DIV/0!</v>
      </c>
      <c r="AJ635" s="620" t="e">
        <f t="shared" si="582"/>
        <v>#DIV/0!</v>
      </c>
      <c r="AK635" s="653" t="e">
        <f t="shared" si="583"/>
        <v>#DIV/0!</v>
      </c>
      <c r="AL635" s="650">
        <v>9000</v>
      </c>
      <c r="AM635" s="620" t="e">
        <f>AVERAGE(O635:Q635)/10</f>
        <v>#DIV/0!</v>
      </c>
      <c r="AN635" s="620">
        <v>9.6440000000000001</v>
      </c>
      <c r="AO635" s="620">
        <v>4.5170000000000003</v>
      </c>
      <c r="AP635" s="620" t="e">
        <f t="shared" si="585"/>
        <v>#DIV/0!</v>
      </c>
      <c r="AQ635" s="620" t="e">
        <f t="shared" si="586"/>
        <v>#DIV/0!</v>
      </c>
      <c r="AR635" s="698" t="e">
        <f t="shared" si="587"/>
        <v>#DIV/0!</v>
      </c>
      <c r="AS635" s="650">
        <v>9000</v>
      </c>
      <c r="AT635" s="620" t="e">
        <f t="shared" si="601"/>
        <v>#DIV/0!</v>
      </c>
      <c r="AU635" s="620">
        <v>9.6440000000000001</v>
      </c>
      <c r="AV635" s="620">
        <v>4.5170000000000003</v>
      </c>
      <c r="AW635" s="620" t="e">
        <f t="shared" si="589"/>
        <v>#DIV/0!</v>
      </c>
      <c r="AX635" s="620" t="e">
        <f t="shared" si="590"/>
        <v>#DIV/0!</v>
      </c>
      <c r="AY635" s="698" t="e">
        <f t="shared" si="591"/>
        <v>#DIV/0!</v>
      </c>
      <c r="AZ635" s="75"/>
      <c r="BA635" s="650">
        <v>9000</v>
      </c>
      <c r="BB635" s="620">
        <v>103.50685607036536</v>
      </c>
      <c r="BC635" s="720">
        <f>(BB639-BB640)/BB621</f>
        <v>0.65058492313032235</v>
      </c>
      <c r="BD635" s="714">
        <f>D635-BB637</f>
        <v>-355.4</v>
      </c>
      <c r="BE635" s="693">
        <f>BB639-BB640</f>
        <v>67.339999999999989</v>
      </c>
      <c r="BF635" s="693">
        <f t="shared" si="592"/>
        <v>-527.76952776952783</v>
      </c>
      <c r="BG635" s="668">
        <f t="shared" si="593"/>
        <v>-343.35889765446478</v>
      </c>
      <c r="BH635" s="650">
        <v>9000</v>
      </c>
      <c r="BI635" s="620">
        <v>103.50685607036536</v>
      </c>
      <c r="BJ635" s="720">
        <f>(BI639-BI640)/BI621</f>
        <v>0.88786389123368936</v>
      </c>
      <c r="BK635" s="714">
        <f>I635-BI637</f>
        <v>-379.8</v>
      </c>
      <c r="BL635" s="693">
        <f>BI639-BI640</f>
        <v>91.9</v>
      </c>
      <c r="BM635" s="693">
        <f t="shared" si="594"/>
        <v>-413.27529923830247</v>
      </c>
      <c r="BN635" s="668">
        <f t="shared" si="595"/>
        <v>-366.93221533248658</v>
      </c>
      <c r="BO635" s="650">
        <v>9000</v>
      </c>
      <c r="BP635" s="681">
        <v>103.50685607036536</v>
      </c>
      <c r="BQ635" s="720">
        <f>(BP639-BP640)/BP621</f>
        <v>0.84177998741231075</v>
      </c>
      <c r="BR635" s="714">
        <f>N635-BP637</f>
        <v>-375.03999999999996</v>
      </c>
      <c r="BS635" s="693">
        <f>BP639-BP640</f>
        <v>87.13000000000001</v>
      </c>
      <c r="BT635" s="693">
        <f t="shared" si="596"/>
        <v>-430.43727763112577</v>
      </c>
      <c r="BU635" s="668">
        <f t="shared" si="597"/>
        <v>-362.33348614611833</v>
      </c>
      <c r="BV635" s="650">
        <v>9000</v>
      </c>
      <c r="BW635" s="620">
        <v>103.50685607036536</v>
      </c>
      <c r="BX635" s="720">
        <f>(BW639-BW640)/BW621</f>
        <v>1.0627315346649162</v>
      </c>
      <c r="BY635" s="714">
        <f>S635-BW637</f>
        <v>-396.84</v>
      </c>
      <c r="BZ635" s="693">
        <f>BW639-BW640</f>
        <v>109.99999999999999</v>
      </c>
      <c r="CA635" s="693">
        <f t="shared" si="598"/>
        <v>-360.76363636363641</v>
      </c>
      <c r="CB635" s="668">
        <f t="shared" si="599"/>
        <v>-383.39489292402311</v>
      </c>
    </row>
    <row r="636" spans="1:80" ht="15.75">
      <c r="A636" s="564"/>
      <c r="B636" s="599" t="s">
        <v>116</v>
      </c>
      <c r="C636" s="605">
        <v>10000</v>
      </c>
      <c r="D636" s="623"/>
      <c r="E636" s="752"/>
      <c r="F636" s="752"/>
      <c r="G636" s="753"/>
      <c r="H636" s="605">
        <v>10000</v>
      </c>
      <c r="I636" s="623"/>
      <c r="J636" s="623"/>
      <c r="K636" s="758"/>
      <c r="L636" s="624"/>
      <c r="M636" s="605">
        <v>10000</v>
      </c>
      <c r="N636" s="639"/>
      <c r="O636" s="639"/>
      <c r="P636" s="562"/>
      <c r="Q636" s="588"/>
      <c r="R636" s="605">
        <v>10000</v>
      </c>
      <c r="S636" s="658"/>
      <c r="T636" s="658"/>
      <c r="U636" s="658"/>
      <c r="V636" s="659"/>
      <c r="W636" s="564"/>
      <c r="X636" s="660">
        <v>10000</v>
      </c>
      <c r="Y636" s="608" t="e">
        <f t="shared" ref="Y636" si="603">AVERAGE(E636:G636)/10</f>
        <v>#DIV/0!</v>
      </c>
      <c r="Z636" s="609">
        <v>9.6440000000000001</v>
      </c>
      <c r="AA636" s="609">
        <v>4.5170000000000003</v>
      </c>
      <c r="AB636" s="609" t="e">
        <f t="shared" si="577"/>
        <v>#DIV/0!</v>
      </c>
      <c r="AC636" s="609" t="e">
        <f t="shared" si="578"/>
        <v>#DIV/0!</v>
      </c>
      <c r="AD636" s="702" t="e">
        <f t="shared" si="579"/>
        <v>#DIV/0!</v>
      </c>
      <c r="AE636" s="660">
        <v>10000</v>
      </c>
      <c r="AF636" s="609" t="e">
        <f t="shared" si="580"/>
        <v>#DIV/0!</v>
      </c>
      <c r="AG636" s="609">
        <v>9.6440000000000001</v>
      </c>
      <c r="AH636" s="609">
        <v>4.5170000000000003</v>
      </c>
      <c r="AI636" s="609" t="e">
        <f t="shared" si="581"/>
        <v>#DIV/0!</v>
      </c>
      <c r="AJ636" s="609" t="e">
        <f t="shared" si="582"/>
        <v>#DIV/0!</v>
      </c>
      <c r="AK636" s="702" t="e">
        <f t="shared" si="583"/>
        <v>#DIV/0!</v>
      </c>
      <c r="AL636" s="660">
        <v>10000</v>
      </c>
      <c r="AM636" s="609" t="e">
        <f>AVERAGE(O636:Q636)/10</f>
        <v>#DIV/0!</v>
      </c>
      <c r="AN636" s="609">
        <v>9.6440000000000001</v>
      </c>
      <c r="AO636" s="609">
        <v>4.5170000000000003</v>
      </c>
      <c r="AP636" s="609" t="e">
        <f t="shared" si="585"/>
        <v>#DIV/0!</v>
      </c>
      <c r="AQ636" s="609" t="e">
        <f t="shared" si="586"/>
        <v>#DIV/0!</v>
      </c>
      <c r="AR636" s="699" t="e">
        <f t="shared" si="587"/>
        <v>#DIV/0!</v>
      </c>
      <c r="AS636" s="660">
        <v>10000</v>
      </c>
      <c r="AT636" s="609" t="e">
        <f t="shared" si="601"/>
        <v>#DIV/0!</v>
      </c>
      <c r="AU636" s="609">
        <v>9.6440000000000001</v>
      </c>
      <c r="AV636" s="609">
        <v>4.5170000000000003</v>
      </c>
      <c r="AW636" s="609" t="e">
        <f t="shared" si="589"/>
        <v>#DIV/0!</v>
      </c>
      <c r="AX636" s="609" t="e">
        <f t="shared" si="590"/>
        <v>#DIV/0!</v>
      </c>
      <c r="AY636" s="699" t="e">
        <f t="shared" si="591"/>
        <v>#DIV/0!</v>
      </c>
      <c r="AZ636" s="75"/>
      <c r="BA636" s="660">
        <v>10000</v>
      </c>
      <c r="BB636" s="609">
        <v>103.50685607036536</v>
      </c>
      <c r="BC636" s="720">
        <f>(BB639-BB640)/BB621</f>
        <v>0.65058492313032235</v>
      </c>
      <c r="BD636" s="714">
        <f>D636-BB637</f>
        <v>-355.4</v>
      </c>
      <c r="BE636" s="682">
        <f>BB639-BB640</f>
        <v>67.339999999999989</v>
      </c>
      <c r="BF636" s="682">
        <f t="shared" si="592"/>
        <v>-527.76952776952783</v>
      </c>
      <c r="BG636" s="683">
        <f t="shared" si="593"/>
        <v>-343.35889765446478</v>
      </c>
      <c r="BH636" s="660">
        <v>10000</v>
      </c>
      <c r="BI636" s="609">
        <v>103.50685607036536</v>
      </c>
      <c r="BJ636" s="720">
        <f>(BI639-BI640)/BI621</f>
        <v>0.88786389123368936</v>
      </c>
      <c r="BK636" s="714">
        <f>I636-BI637</f>
        <v>-379.8</v>
      </c>
      <c r="BL636" s="682">
        <f>BI639-BI640</f>
        <v>91.9</v>
      </c>
      <c r="BM636" s="682">
        <f t="shared" si="594"/>
        <v>-413.27529923830247</v>
      </c>
      <c r="BN636" s="683">
        <f t="shared" si="595"/>
        <v>-366.93221533248658</v>
      </c>
      <c r="BO636" s="660">
        <v>10000</v>
      </c>
      <c r="BP636" s="684">
        <v>103.50685607036536</v>
      </c>
      <c r="BQ636" s="720">
        <f>(BP639-BP640)/BP621</f>
        <v>0.84177998741231075</v>
      </c>
      <c r="BR636" s="714">
        <f>N636-BP637</f>
        <v>-375.03999999999996</v>
      </c>
      <c r="BS636" s="682">
        <f>BP639-BP640</f>
        <v>87.13000000000001</v>
      </c>
      <c r="BT636" s="682">
        <f t="shared" si="596"/>
        <v>-430.43727763112577</v>
      </c>
      <c r="BU636" s="683">
        <f t="shared" si="597"/>
        <v>-362.33348614611833</v>
      </c>
      <c r="BV636" s="660">
        <v>10000</v>
      </c>
      <c r="BW636" s="609">
        <v>103.50685607036536</v>
      </c>
      <c r="BX636" s="720">
        <f>(BW639-BW640)/BW621</f>
        <v>1.0627315346649162</v>
      </c>
      <c r="BY636" s="714">
        <f>S636-BW637</f>
        <v>-396.84</v>
      </c>
      <c r="BZ636" s="682">
        <f>BW639-BW640</f>
        <v>109.99999999999999</v>
      </c>
      <c r="CA636" s="682">
        <f t="shared" si="598"/>
        <v>-360.76363636363641</v>
      </c>
      <c r="CB636" s="683">
        <f t="shared" si="599"/>
        <v>-383.39489292402311</v>
      </c>
    </row>
    <row r="637" spans="1:80" ht="45">
      <c r="A637" s="560"/>
      <c r="B637" s="560"/>
      <c r="C637" s="769"/>
      <c r="D637" s="769"/>
      <c r="E637" s="560"/>
      <c r="F637" s="560"/>
      <c r="G637" s="560"/>
      <c r="H637" s="560"/>
      <c r="I637" s="560"/>
      <c r="J637" s="560"/>
      <c r="K637" s="560"/>
      <c r="L637" s="560"/>
      <c r="M637" s="560"/>
      <c r="N637" s="661"/>
      <c r="O637" s="769"/>
      <c r="P637" s="769"/>
      <c r="Q637" s="769"/>
      <c r="R637" s="560"/>
      <c r="S637" s="661"/>
      <c r="T637" s="560"/>
      <c r="U637" s="560"/>
      <c r="V637" s="560"/>
      <c r="AE637" s="770"/>
      <c r="AF637" s="770"/>
      <c r="AG637" s="770"/>
      <c r="AH637" s="770"/>
      <c r="AI637" s="770"/>
      <c r="AJ637" s="770"/>
      <c r="AK637" s="770"/>
      <c r="AN637" s="770"/>
      <c r="AO637" s="770"/>
      <c r="AZ637" s="791" t="s">
        <v>144</v>
      </c>
      <c r="BA637" s="709" t="s">
        <v>1047</v>
      </c>
      <c r="BB637" s="565">
        <f>BB638+BB639</f>
        <v>355.4</v>
      </c>
      <c r="BC637" s="769"/>
      <c r="BD637" s="769"/>
      <c r="BE637" s="769"/>
      <c r="BF637" s="769"/>
      <c r="BG637" s="769"/>
      <c r="BH637" s="709" t="s">
        <v>1047</v>
      </c>
      <c r="BI637" s="719">
        <f>BI638+BI639</f>
        <v>379.8</v>
      </c>
      <c r="BJ637" s="769"/>
      <c r="BK637" s="569"/>
      <c r="BL637" s="569"/>
      <c r="BM637" s="569"/>
      <c r="BN637" s="569"/>
      <c r="BO637" s="709" t="s">
        <v>1047</v>
      </c>
      <c r="BP637" s="697">
        <f>BP638+BP639</f>
        <v>375.03999999999996</v>
      </c>
      <c r="BQ637" s="560"/>
      <c r="BR637" s="769"/>
      <c r="BS637" s="769"/>
      <c r="BT637" s="769"/>
      <c r="BU637" s="769"/>
      <c r="BV637" s="709" t="s">
        <v>1047</v>
      </c>
      <c r="BW637" s="697">
        <f>BW638+BW639</f>
        <v>396.84</v>
      </c>
      <c r="BX637" s="560"/>
      <c r="BY637" s="560"/>
      <c r="BZ637" s="560"/>
      <c r="CA637" s="560"/>
      <c r="CB637" s="560"/>
    </row>
    <row r="638" spans="1:80">
      <c r="A638" s="560"/>
      <c r="B638" s="560"/>
      <c r="C638" s="769"/>
      <c r="D638" s="560"/>
      <c r="E638" s="560"/>
      <c r="F638" s="560"/>
      <c r="G638" s="560"/>
      <c r="H638" s="560"/>
      <c r="I638" s="560"/>
      <c r="J638" s="560"/>
      <c r="K638" s="560"/>
      <c r="L638" s="560"/>
      <c r="M638" s="560"/>
      <c r="N638" s="560"/>
      <c r="O638" s="769"/>
      <c r="P638" s="769"/>
      <c r="Q638" s="769"/>
      <c r="R638" s="560"/>
      <c r="S638" s="560"/>
      <c r="T638" s="560"/>
      <c r="U638" s="560"/>
      <c r="V638" s="560"/>
      <c r="AE638" s="770"/>
      <c r="AF638" s="770"/>
      <c r="AG638" s="770"/>
      <c r="AH638" s="770"/>
      <c r="AI638" s="770"/>
      <c r="AJ638" s="770"/>
      <c r="AK638" s="770"/>
      <c r="AN638" s="770"/>
      <c r="AO638" s="770"/>
      <c r="AZ638" s="791"/>
      <c r="BA638" s="655" t="s">
        <v>1048</v>
      </c>
      <c r="BB638" s="763">
        <v>215.05</v>
      </c>
      <c r="BC638" s="769"/>
      <c r="BD638" s="769"/>
      <c r="BE638" s="769"/>
      <c r="BF638" s="769"/>
      <c r="BG638" s="769"/>
      <c r="BH638" s="655" t="s">
        <v>1048</v>
      </c>
      <c r="BI638" s="764">
        <v>215.03</v>
      </c>
      <c r="BJ638" s="769"/>
      <c r="BK638" s="569"/>
      <c r="BL638" s="569"/>
      <c r="BM638" s="569"/>
      <c r="BN638" s="569"/>
      <c r="BO638" s="655" t="s">
        <v>1048</v>
      </c>
      <c r="BP638" s="765">
        <v>214.89</v>
      </c>
      <c r="BQ638" s="560"/>
      <c r="BR638" s="769"/>
      <c r="BS638" s="769"/>
      <c r="BT638" s="620"/>
      <c r="BU638" s="620"/>
      <c r="BV638" s="655" t="s">
        <v>1048</v>
      </c>
      <c r="BW638" s="765">
        <v>214.64</v>
      </c>
      <c r="BX638" s="560"/>
      <c r="BY638" s="560"/>
      <c r="BZ638" s="560"/>
      <c r="CA638" s="560"/>
      <c r="CB638" s="560"/>
    </row>
    <row r="639" spans="1:80" ht="18.75">
      <c r="A639" s="777" t="s">
        <v>1070</v>
      </c>
      <c r="B639" s="778"/>
      <c r="C639" s="779"/>
      <c r="D639" s="779"/>
      <c r="E639" s="560"/>
      <c r="F639" s="560"/>
      <c r="G639" s="560"/>
      <c r="H639" s="560"/>
      <c r="I639" s="560"/>
      <c r="J639" s="560"/>
      <c r="K639" s="560"/>
      <c r="L639" s="560"/>
      <c r="M639" s="617"/>
      <c r="N639" s="560"/>
      <c r="O639" s="769"/>
      <c r="P639" s="769"/>
      <c r="Q639" s="769"/>
      <c r="R639" s="560"/>
      <c r="S639" s="560"/>
      <c r="T639" s="560"/>
      <c r="U639" s="560"/>
      <c r="V639" s="560"/>
      <c r="AE639" s="770"/>
      <c r="AF639" s="770"/>
      <c r="AG639" s="770"/>
      <c r="AH639" s="770"/>
      <c r="AI639" s="770"/>
      <c r="AJ639" s="770"/>
      <c r="AK639" s="770"/>
      <c r="AN639" s="770"/>
      <c r="AO639" s="770"/>
      <c r="AZ639" s="791"/>
      <c r="BA639" s="655" t="s">
        <v>1049</v>
      </c>
      <c r="BB639" s="565">
        <v>140.35</v>
      </c>
      <c r="BC639" s="769"/>
      <c r="BD639" s="769"/>
      <c r="BE639" s="769"/>
      <c r="BF639" s="769"/>
      <c r="BG639" s="769"/>
      <c r="BH639" s="655" t="s">
        <v>1049</v>
      </c>
      <c r="BI639" s="565">
        <v>164.77</v>
      </c>
      <c r="BJ639" s="769"/>
      <c r="BK639" s="569"/>
      <c r="BL639" s="569"/>
      <c r="BM639" s="569"/>
      <c r="BN639" s="569"/>
      <c r="BO639" s="655" t="s">
        <v>1049</v>
      </c>
      <c r="BP639" s="697">
        <v>160.15</v>
      </c>
      <c r="BQ639" s="560"/>
      <c r="BR639" s="769"/>
      <c r="BS639" s="769"/>
      <c r="BT639" s="620"/>
      <c r="BU639" s="620"/>
      <c r="BV639" s="655" t="s">
        <v>1049</v>
      </c>
      <c r="BW639" s="697">
        <v>182.2</v>
      </c>
      <c r="BX639" s="560"/>
      <c r="BY639" s="560"/>
      <c r="BZ639" s="560"/>
      <c r="CA639" s="560"/>
      <c r="CB639" s="560"/>
    </row>
    <row r="640" spans="1:80" ht="18.75">
      <c r="A640" s="800" t="s">
        <v>1071</v>
      </c>
      <c r="B640" s="800"/>
      <c r="C640" s="800"/>
      <c r="D640" s="800"/>
      <c r="E640" s="560"/>
      <c r="F640" s="560"/>
      <c r="G640" s="560"/>
      <c r="H640" s="560"/>
      <c r="I640" s="560"/>
      <c r="J640" s="560"/>
      <c r="K640" s="560"/>
      <c r="L640" s="560"/>
      <c r="M640" s="617"/>
      <c r="N640" s="560"/>
      <c r="O640" s="769"/>
      <c r="P640" s="769"/>
      <c r="Q640" s="769"/>
      <c r="R640" s="560"/>
      <c r="S640" s="560"/>
      <c r="T640" s="560"/>
      <c r="U640" s="560"/>
      <c r="V640" s="560"/>
      <c r="AE640" s="770"/>
      <c r="AF640" s="770"/>
      <c r="AG640" s="770"/>
      <c r="AH640" s="770"/>
      <c r="AI640" s="770"/>
      <c r="AJ640" s="770"/>
      <c r="AK640" s="770"/>
      <c r="AN640" s="770"/>
      <c r="AO640" s="770"/>
      <c r="AZ640" s="791"/>
      <c r="BA640" s="655" t="s">
        <v>1050</v>
      </c>
      <c r="BB640" s="569">
        <v>73.010000000000005</v>
      </c>
      <c r="BC640" s="769"/>
      <c r="BD640" s="560"/>
      <c r="BE640" s="560"/>
      <c r="BF640" s="560"/>
      <c r="BG640" s="560"/>
      <c r="BH640" s="655" t="s">
        <v>1050</v>
      </c>
      <c r="BI640" s="569">
        <v>72.87</v>
      </c>
      <c r="BJ640" s="769"/>
      <c r="BK640" s="560"/>
      <c r="BL640" s="560"/>
      <c r="BM640" s="560"/>
      <c r="BN640" s="560"/>
      <c r="BO640" s="655" t="s">
        <v>1050</v>
      </c>
      <c r="BP640" s="769">
        <v>73.02</v>
      </c>
      <c r="BQ640" s="560"/>
      <c r="BR640" s="560"/>
      <c r="BS640" s="560"/>
      <c r="BT640" s="560"/>
      <c r="BU640" s="560"/>
      <c r="BV640" s="655" t="s">
        <v>1050</v>
      </c>
      <c r="BW640" s="769">
        <v>72.2</v>
      </c>
      <c r="BX640" s="560"/>
      <c r="BY640" s="560"/>
      <c r="BZ640" s="560"/>
      <c r="CA640" s="560"/>
      <c r="CB640" s="560"/>
    </row>
  </sheetData>
  <mergeCells count="234">
    <mergeCell ref="BY619:BZ619"/>
    <mergeCell ref="E620:G620"/>
    <mergeCell ref="J620:L620"/>
    <mergeCell ref="O620:Q620"/>
    <mergeCell ref="T620:V620"/>
    <mergeCell ref="AZ637:AZ640"/>
    <mergeCell ref="A640:D640"/>
    <mergeCell ref="E594:G594"/>
    <mergeCell ref="J594:L594"/>
    <mergeCell ref="O594:Q594"/>
    <mergeCell ref="T594:V594"/>
    <mergeCell ref="AZ611:AZ614"/>
    <mergeCell ref="A614:D614"/>
    <mergeCell ref="A616:D616"/>
    <mergeCell ref="E618:E619"/>
    <mergeCell ref="K618:K619"/>
    <mergeCell ref="P618:P619"/>
    <mergeCell ref="U618:U619"/>
    <mergeCell ref="AV619:AW619"/>
    <mergeCell ref="AZ585:AZ588"/>
    <mergeCell ref="A588:D588"/>
    <mergeCell ref="A590:D590"/>
    <mergeCell ref="E592:E593"/>
    <mergeCell ref="K592:K593"/>
    <mergeCell ref="P592:P593"/>
    <mergeCell ref="U592:U593"/>
    <mergeCell ref="AV593:AW593"/>
    <mergeCell ref="BY593:BZ593"/>
    <mergeCell ref="A564:D564"/>
    <mergeCell ref="E566:E567"/>
    <mergeCell ref="K566:K567"/>
    <mergeCell ref="P566:P567"/>
    <mergeCell ref="U566:U567"/>
    <mergeCell ref="AV567:AW567"/>
    <mergeCell ref="BY567:BZ567"/>
    <mergeCell ref="E568:G568"/>
    <mergeCell ref="J568:L568"/>
    <mergeCell ref="O568:Q568"/>
    <mergeCell ref="T568:V568"/>
    <mergeCell ref="O8:Q8"/>
    <mergeCell ref="T8:V8"/>
    <mergeCell ref="J32:L32"/>
    <mergeCell ref="J59:L59"/>
    <mergeCell ref="J86:L86"/>
    <mergeCell ref="J115:L115"/>
    <mergeCell ref="J144:L144"/>
    <mergeCell ref="J171:L171"/>
    <mergeCell ref="O144:Q144"/>
    <mergeCell ref="T144:V144"/>
    <mergeCell ref="O412:Q412"/>
    <mergeCell ref="T412:V412"/>
    <mergeCell ref="AZ429:AZ432"/>
    <mergeCell ref="E306:G306"/>
    <mergeCell ref="J306:L306"/>
    <mergeCell ref="O306:Q306"/>
    <mergeCell ref="T306:V306"/>
    <mergeCell ref="AZ323:AZ326"/>
    <mergeCell ref="A408:D408"/>
    <mergeCell ref="U411:V411"/>
    <mergeCell ref="AV411:AW411"/>
    <mergeCell ref="BY411:BZ411"/>
    <mergeCell ref="A330:D330"/>
    <mergeCell ref="U333:V333"/>
    <mergeCell ref="AV333:AW333"/>
    <mergeCell ref="BY333:BZ333"/>
    <mergeCell ref="E334:G334"/>
    <mergeCell ref="J334:L334"/>
    <mergeCell ref="O334:Q334"/>
    <mergeCell ref="T334:V334"/>
    <mergeCell ref="BY385:BZ385"/>
    <mergeCell ref="BY359:BZ359"/>
    <mergeCell ref="E360:G360"/>
    <mergeCell ref="J360:L360"/>
    <mergeCell ref="O360:Q360"/>
    <mergeCell ref="T360:V360"/>
    <mergeCell ref="AZ351:AZ354"/>
    <mergeCell ref="A356:D356"/>
    <mergeCell ref="U359:V359"/>
    <mergeCell ref="AV359:AW359"/>
    <mergeCell ref="E386:G386"/>
    <mergeCell ref="J386:L386"/>
    <mergeCell ref="O386:Q386"/>
    <mergeCell ref="T386:V386"/>
    <mergeCell ref="A274:D274"/>
    <mergeCell ref="U277:V277"/>
    <mergeCell ref="AV277:AW277"/>
    <mergeCell ref="BY277:BZ277"/>
    <mergeCell ref="BY305:BZ305"/>
    <mergeCell ref="AZ295:AZ298"/>
    <mergeCell ref="A302:D302"/>
    <mergeCell ref="U305:V305"/>
    <mergeCell ref="AV305:AW305"/>
    <mergeCell ref="E278:G278"/>
    <mergeCell ref="J278:L278"/>
    <mergeCell ref="O278:Q278"/>
    <mergeCell ref="T278:V278"/>
    <mergeCell ref="BY223:BZ223"/>
    <mergeCell ref="BY249:BZ249"/>
    <mergeCell ref="E250:G250"/>
    <mergeCell ref="J250:L250"/>
    <mergeCell ref="O250:Q250"/>
    <mergeCell ref="T250:V250"/>
    <mergeCell ref="AZ241:AZ244"/>
    <mergeCell ref="AZ267:AZ270"/>
    <mergeCell ref="A246:D246"/>
    <mergeCell ref="U249:V249"/>
    <mergeCell ref="AV249:AW249"/>
    <mergeCell ref="E197:G197"/>
    <mergeCell ref="O197:Q197"/>
    <mergeCell ref="T197:V197"/>
    <mergeCell ref="E224:G224"/>
    <mergeCell ref="J224:L224"/>
    <mergeCell ref="O224:Q224"/>
    <mergeCell ref="T224:V224"/>
    <mergeCell ref="AZ214:AZ217"/>
    <mergeCell ref="A220:D220"/>
    <mergeCell ref="U223:V223"/>
    <mergeCell ref="AV223:AW223"/>
    <mergeCell ref="A193:D193"/>
    <mergeCell ref="U196:V196"/>
    <mergeCell ref="AV196:AW196"/>
    <mergeCell ref="BY196:BZ196"/>
    <mergeCell ref="AZ188:AZ191"/>
    <mergeCell ref="E171:G171"/>
    <mergeCell ref="O171:Q171"/>
    <mergeCell ref="T171:V171"/>
    <mergeCell ref="A167:D167"/>
    <mergeCell ref="U170:V170"/>
    <mergeCell ref="AV170:AW170"/>
    <mergeCell ref="E115:G115"/>
    <mergeCell ref="O115:Q115"/>
    <mergeCell ref="T115:V115"/>
    <mergeCell ref="A140:D140"/>
    <mergeCell ref="U143:V143"/>
    <mergeCell ref="AZ161:AZ164"/>
    <mergeCell ref="BY170:BZ170"/>
    <mergeCell ref="AZ132:AZ135"/>
    <mergeCell ref="AV143:AW143"/>
    <mergeCell ref="BY143:BZ143"/>
    <mergeCell ref="E144:G144"/>
    <mergeCell ref="A4:D4"/>
    <mergeCell ref="AV7:AW7"/>
    <mergeCell ref="A82:D82"/>
    <mergeCell ref="A55:D55"/>
    <mergeCell ref="U58:V58"/>
    <mergeCell ref="AV58:AW58"/>
    <mergeCell ref="BY7:BZ7"/>
    <mergeCell ref="E8:G8"/>
    <mergeCell ref="BY58:BZ58"/>
    <mergeCell ref="E59:G59"/>
    <mergeCell ref="O59:Q59"/>
    <mergeCell ref="T59:V59"/>
    <mergeCell ref="U31:V31"/>
    <mergeCell ref="AV31:AW31"/>
    <mergeCell ref="BY31:BZ31"/>
    <mergeCell ref="E32:G32"/>
    <mergeCell ref="O32:Q32"/>
    <mergeCell ref="T32:V32"/>
    <mergeCell ref="AZ25:AZ28"/>
    <mergeCell ref="AZ48:AZ51"/>
    <mergeCell ref="AZ76:AZ79"/>
    <mergeCell ref="A28:D28"/>
    <mergeCell ref="U6:V7"/>
    <mergeCell ref="J8:L8"/>
    <mergeCell ref="A111:D111"/>
    <mergeCell ref="U114:V114"/>
    <mergeCell ref="AV114:AW114"/>
    <mergeCell ref="BY114:BZ114"/>
    <mergeCell ref="AZ103:AZ106"/>
    <mergeCell ref="U85:V85"/>
    <mergeCell ref="AV85:AW85"/>
    <mergeCell ref="BY85:BZ85"/>
    <mergeCell ref="E86:G86"/>
    <mergeCell ref="O86:Q86"/>
    <mergeCell ref="T86:V86"/>
    <mergeCell ref="A486:D486"/>
    <mergeCell ref="U489:V489"/>
    <mergeCell ref="AV489:AW489"/>
    <mergeCell ref="BY489:BZ489"/>
    <mergeCell ref="AZ403:AZ406"/>
    <mergeCell ref="AZ377:AZ380"/>
    <mergeCell ref="A382:D382"/>
    <mergeCell ref="U385:V385"/>
    <mergeCell ref="AV385:AW385"/>
    <mergeCell ref="A460:D460"/>
    <mergeCell ref="U463:V463"/>
    <mergeCell ref="AV463:AW463"/>
    <mergeCell ref="BY463:BZ463"/>
    <mergeCell ref="A434:D434"/>
    <mergeCell ref="U437:V437"/>
    <mergeCell ref="AV437:AW437"/>
    <mergeCell ref="BY437:BZ437"/>
    <mergeCell ref="E438:G438"/>
    <mergeCell ref="J438:L438"/>
    <mergeCell ref="O438:Q438"/>
    <mergeCell ref="T438:V438"/>
    <mergeCell ref="AZ455:AZ458"/>
    <mergeCell ref="E412:G412"/>
    <mergeCell ref="J412:L412"/>
    <mergeCell ref="E490:G490"/>
    <mergeCell ref="J490:L490"/>
    <mergeCell ref="O490:Q490"/>
    <mergeCell ref="T490:V490"/>
    <mergeCell ref="AZ507:AZ510"/>
    <mergeCell ref="E464:G464"/>
    <mergeCell ref="J464:L464"/>
    <mergeCell ref="O464:Q464"/>
    <mergeCell ref="T464:V464"/>
    <mergeCell ref="AZ481:AZ484"/>
    <mergeCell ref="A512:D512"/>
    <mergeCell ref="AV515:AW515"/>
    <mergeCell ref="BY515:BZ515"/>
    <mergeCell ref="E516:G516"/>
    <mergeCell ref="J516:L516"/>
    <mergeCell ref="O516:Q516"/>
    <mergeCell ref="T516:V516"/>
    <mergeCell ref="AZ533:AZ536"/>
    <mergeCell ref="E514:E515"/>
    <mergeCell ref="K514:K515"/>
    <mergeCell ref="P514:P515"/>
    <mergeCell ref="U514:U515"/>
    <mergeCell ref="AZ559:AZ562"/>
    <mergeCell ref="A538:D538"/>
    <mergeCell ref="E540:E541"/>
    <mergeCell ref="K540:K541"/>
    <mergeCell ref="P540:P541"/>
    <mergeCell ref="U540:U541"/>
    <mergeCell ref="AV541:AW541"/>
    <mergeCell ref="BY541:BZ541"/>
    <mergeCell ref="E542:G542"/>
    <mergeCell ref="J542:L542"/>
    <mergeCell ref="O542:Q542"/>
    <mergeCell ref="T542:V542"/>
    <mergeCell ref="A562:D56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02FA-3DE5-4AC1-87C3-FA9473683A7A}">
  <dimension ref="A1:BD223"/>
  <sheetViews>
    <sheetView topLeftCell="A96" zoomScaleNormal="100" workbookViewId="0">
      <pane xSplit="3" ySplit="1" topLeftCell="D97" activePane="bottomRight" state="frozen"/>
      <selection activeCell="A96" sqref="A96"/>
      <selection pane="topRight" activeCell="D96" sqref="D96"/>
      <selection pane="bottomLeft" activeCell="A97" sqref="A97"/>
      <selection pane="bottomRight" activeCell="U118" sqref="U118"/>
    </sheetView>
  </sheetViews>
  <sheetFormatPr defaultColWidth="8.85546875" defaultRowHeight="15"/>
  <cols>
    <col min="1" max="1" width="9.85546875" customWidth="1"/>
    <col min="2" max="2" width="10.28515625" bestFit="1" customWidth="1"/>
    <col min="3" max="3" width="14" style="217" bestFit="1" customWidth="1"/>
    <col min="4" max="4" width="13.28515625" style="217" customWidth="1"/>
    <col min="5" max="5" width="14.85546875" style="217" customWidth="1"/>
    <col min="6" max="6" width="13.42578125" style="217" customWidth="1"/>
    <col min="7" max="8" width="12.85546875" style="217" customWidth="1"/>
    <col min="9" max="9" width="12.42578125" style="217" customWidth="1"/>
    <col min="10" max="11" width="12.7109375" style="217" customWidth="1"/>
    <col min="12" max="12" width="12.42578125" style="217" customWidth="1"/>
    <col min="13" max="13" width="13.42578125" style="217" customWidth="1"/>
    <col min="14" max="14" width="14.85546875" style="470" customWidth="1"/>
    <col min="15" max="15" width="12.85546875" customWidth="1"/>
    <col min="16" max="16" width="11.42578125" style="217" customWidth="1"/>
    <col min="17" max="17" width="10.28515625" style="217" bestFit="1" customWidth="1"/>
    <col min="18" max="18" width="11.7109375" style="217" customWidth="1"/>
    <col min="19" max="19" width="12.28515625" bestFit="1" customWidth="1"/>
    <col min="20" max="21" width="11.7109375" bestFit="1" customWidth="1"/>
    <col min="22" max="22" width="21.5703125" customWidth="1"/>
    <col min="23" max="23" width="8.85546875" style="15"/>
    <col min="24" max="24" width="11" style="243" customWidth="1"/>
    <col min="26" max="26" width="10.85546875" customWidth="1"/>
    <col min="28" max="28" width="10.140625" customWidth="1"/>
    <col min="29" max="29" width="9.85546875" customWidth="1"/>
    <col min="34" max="34" width="11.140625" customWidth="1"/>
    <col min="39" max="39" width="12" customWidth="1"/>
    <col min="40" max="40" width="12.85546875" customWidth="1"/>
    <col min="41" max="41" width="17.5703125" customWidth="1"/>
    <col min="42" max="42" width="10.7109375" style="5" customWidth="1"/>
    <col min="43" max="43" width="16.42578125" customWidth="1"/>
  </cols>
  <sheetData>
    <row r="1" spans="1:56" ht="30" customHeight="1">
      <c r="A1" s="815" t="s">
        <v>756</v>
      </c>
      <c r="B1" s="815"/>
      <c r="Y1" s="815" t="s">
        <v>756</v>
      </c>
      <c r="Z1" s="815"/>
      <c r="AA1" s="445"/>
      <c r="AB1" s="476"/>
      <c r="AC1" s="476"/>
      <c r="AD1" s="476"/>
      <c r="AE1" s="476"/>
      <c r="AF1" s="476"/>
      <c r="AG1" s="476"/>
      <c r="AH1" s="476"/>
      <c r="AI1" s="476" t="s">
        <v>883</v>
      </c>
      <c r="AJ1" s="476"/>
      <c r="AK1" s="476"/>
      <c r="AL1" s="476"/>
      <c r="AM1" s="476"/>
      <c r="AN1" s="476"/>
      <c r="AO1" s="477"/>
      <c r="AQ1" s="816" t="s">
        <v>889</v>
      </c>
      <c r="AR1" s="816"/>
      <c r="AS1" s="816"/>
      <c r="AT1" s="816"/>
      <c r="AU1" s="816"/>
    </row>
    <row r="2" spans="1:56">
      <c r="A2" t="s">
        <v>761</v>
      </c>
      <c r="B2" t="s">
        <v>100</v>
      </c>
      <c r="C2" s="217" t="s">
        <v>563</v>
      </c>
      <c r="D2" s="248">
        <v>43845</v>
      </c>
      <c r="E2" s="248">
        <v>43846</v>
      </c>
      <c r="F2" s="248">
        <v>43848</v>
      </c>
      <c r="G2" s="248">
        <v>43851</v>
      </c>
      <c r="H2" s="248">
        <v>44224</v>
      </c>
      <c r="I2" s="248">
        <v>44230</v>
      </c>
      <c r="J2" s="248">
        <v>44241</v>
      </c>
      <c r="K2" s="248">
        <v>44247</v>
      </c>
      <c r="L2" s="248">
        <v>44253</v>
      </c>
      <c r="M2" s="248">
        <v>44259</v>
      </c>
      <c r="N2" s="248">
        <v>44274</v>
      </c>
      <c r="O2" s="250" t="s">
        <v>842</v>
      </c>
      <c r="P2" s="248">
        <v>44285</v>
      </c>
      <c r="Q2" s="248"/>
      <c r="R2" s="248">
        <v>44299</v>
      </c>
      <c r="S2" s="250"/>
      <c r="T2" s="248">
        <v>44299</v>
      </c>
      <c r="U2" s="250"/>
      <c r="Y2" t="s">
        <v>761</v>
      </c>
      <c r="Z2" t="s">
        <v>100</v>
      </c>
      <c r="AA2" s="445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Q2" t="s">
        <v>104</v>
      </c>
      <c r="AR2" s="422" t="s">
        <v>730</v>
      </c>
      <c r="AS2" s="484" t="s">
        <v>729</v>
      </c>
      <c r="AT2" s="422" t="s">
        <v>732</v>
      </c>
      <c r="AU2" s="422" t="s">
        <v>733</v>
      </c>
      <c r="AV2" s="422" t="s">
        <v>734</v>
      </c>
      <c r="AW2" s="422" t="s">
        <v>735</v>
      </c>
      <c r="AX2" s="422" t="s">
        <v>736</v>
      </c>
      <c r="AY2" s="422" t="s">
        <v>737</v>
      </c>
      <c r="AZ2" s="422" t="s">
        <v>740</v>
      </c>
      <c r="BA2" s="422" t="s">
        <v>739</v>
      </c>
      <c r="BB2" s="422" t="s">
        <v>738</v>
      </c>
      <c r="BC2" s="422" t="s">
        <v>741</v>
      </c>
      <c r="BD2" s="485" t="s">
        <v>742</v>
      </c>
    </row>
    <row r="3" spans="1:56">
      <c r="B3" t="s">
        <v>104</v>
      </c>
      <c r="C3" s="217" t="s">
        <v>730</v>
      </c>
      <c r="D3" s="208" t="s">
        <v>729</v>
      </c>
      <c r="E3" s="217" t="s">
        <v>732</v>
      </c>
      <c r="F3" s="217" t="s">
        <v>733</v>
      </c>
      <c r="G3" s="217" t="s">
        <v>734</v>
      </c>
      <c r="H3" s="217" t="s">
        <v>735</v>
      </c>
      <c r="I3" s="217" t="s">
        <v>736</v>
      </c>
      <c r="J3" s="217" t="s">
        <v>737</v>
      </c>
      <c r="K3" s="217" t="s">
        <v>740</v>
      </c>
      <c r="L3" s="217" t="s">
        <v>739</v>
      </c>
      <c r="M3" s="217" t="s">
        <v>738</v>
      </c>
      <c r="N3" s="470" t="s">
        <v>741</v>
      </c>
      <c r="O3" s="279" t="s">
        <v>741</v>
      </c>
      <c r="P3" s="279" t="s">
        <v>742</v>
      </c>
      <c r="Q3" s="279" t="s">
        <v>742</v>
      </c>
      <c r="R3" s="283" t="s">
        <v>758</v>
      </c>
      <c r="S3" s="283" t="s">
        <v>758</v>
      </c>
      <c r="T3" s="283" t="s">
        <v>759</v>
      </c>
      <c r="U3" s="283" t="s">
        <v>759</v>
      </c>
      <c r="W3" s="446" t="s">
        <v>887</v>
      </c>
      <c r="Z3" t="s">
        <v>104</v>
      </c>
      <c r="AA3" s="422" t="s">
        <v>730</v>
      </c>
      <c r="AB3" s="484" t="s">
        <v>729</v>
      </c>
      <c r="AC3" s="422" t="s">
        <v>732</v>
      </c>
      <c r="AD3" s="422" t="s">
        <v>733</v>
      </c>
      <c r="AE3" s="422" t="s">
        <v>734</v>
      </c>
      <c r="AF3" s="422" t="s">
        <v>735</v>
      </c>
      <c r="AG3" s="422" t="s">
        <v>736</v>
      </c>
      <c r="AH3" s="422" t="s">
        <v>737</v>
      </c>
      <c r="AI3" s="422" t="s">
        <v>740</v>
      </c>
      <c r="AJ3" s="422" t="s">
        <v>739</v>
      </c>
      <c r="AK3" s="422" t="s">
        <v>738</v>
      </c>
      <c r="AL3" s="422" t="s">
        <v>741</v>
      </c>
      <c r="AM3" s="485" t="s">
        <v>742</v>
      </c>
      <c r="AN3" s="283" t="s">
        <v>758</v>
      </c>
      <c r="AO3" s="283" t="s">
        <v>759</v>
      </c>
      <c r="AQ3" t="s">
        <v>59</v>
      </c>
      <c r="AR3" t="s">
        <v>744</v>
      </c>
      <c r="AS3">
        <v>0.62308396102094565</v>
      </c>
      <c r="AT3">
        <v>0.4567244731800344</v>
      </c>
      <c r="AU3">
        <v>0.38729886014406373</v>
      </c>
      <c r="AV3">
        <v>0.36852337988905276</v>
      </c>
      <c r="AW3">
        <v>0.33315561475752037</v>
      </c>
      <c r="AX3">
        <v>0.33097241937903082</v>
      </c>
      <c r="AY3">
        <v>0.26678647525143528</v>
      </c>
      <c r="AZ3">
        <v>0.23141871011990287</v>
      </c>
      <c r="BA3">
        <v>0.22486912398443398</v>
      </c>
      <c r="BB3">
        <v>0.22312256768164229</v>
      </c>
      <c r="BC3" s="486"/>
      <c r="BD3" s="486"/>
    </row>
    <row r="4" spans="1:56" ht="30">
      <c r="A4" s="207" t="s">
        <v>757</v>
      </c>
      <c r="B4" s="206" t="s">
        <v>119</v>
      </c>
      <c r="C4" s="217" t="s">
        <v>728</v>
      </c>
      <c r="D4" s="217" t="s">
        <v>731</v>
      </c>
      <c r="E4" s="217" t="s">
        <v>731</v>
      </c>
      <c r="F4" s="217" t="s">
        <v>731</v>
      </c>
      <c r="G4" s="217" t="s">
        <v>731</v>
      </c>
      <c r="H4" s="217" t="s">
        <v>731</v>
      </c>
      <c r="I4" s="217" t="s">
        <v>731</v>
      </c>
      <c r="J4" s="217" t="s">
        <v>731</v>
      </c>
      <c r="K4" s="217" t="s">
        <v>731</v>
      </c>
      <c r="L4" s="217" t="s">
        <v>731</v>
      </c>
      <c r="M4" s="217" t="s">
        <v>731</v>
      </c>
      <c r="N4" s="470" t="s">
        <v>731</v>
      </c>
      <c r="O4" s="279" t="s">
        <v>731</v>
      </c>
      <c r="P4" s="279" t="s">
        <v>731</v>
      </c>
      <c r="Q4" s="279" t="s">
        <v>731</v>
      </c>
      <c r="R4" s="283" t="s">
        <v>731</v>
      </c>
      <c r="S4" s="283" t="s">
        <v>731</v>
      </c>
      <c r="T4" s="283" t="s">
        <v>731</v>
      </c>
      <c r="U4" s="283" t="s">
        <v>731</v>
      </c>
      <c r="W4" s="446" t="s">
        <v>884</v>
      </c>
      <c r="X4" s="521" t="s">
        <v>888</v>
      </c>
      <c r="Y4" s="207" t="s">
        <v>757</v>
      </c>
      <c r="Z4" s="206" t="s">
        <v>119</v>
      </c>
      <c r="AA4" s="445" t="s">
        <v>728</v>
      </c>
      <c r="AB4" s="445" t="s">
        <v>883</v>
      </c>
      <c r="AC4" s="445" t="s">
        <v>731</v>
      </c>
      <c r="AD4" s="445" t="s">
        <v>731</v>
      </c>
      <c r="AE4" s="445" t="s">
        <v>731</v>
      </c>
      <c r="AF4" s="445" t="s">
        <v>731</v>
      </c>
      <c r="AG4" s="445" t="s">
        <v>731</v>
      </c>
      <c r="AH4" s="445" t="s">
        <v>731</v>
      </c>
      <c r="AI4" s="445" t="s">
        <v>731</v>
      </c>
      <c r="AJ4" s="445" t="s">
        <v>731</v>
      </c>
      <c r="AK4" s="445" t="s">
        <v>731</v>
      </c>
      <c r="AL4" s="445" t="s">
        <v>731</v>
      </c>
      <c r="AM4" s="445" t="s">
        <v>731</v>
      </c>
      <c r="AN4" s="283" t="s">
        <v>731</v>
      </c>
      <c r="AO4" s="283" t="s">
        <v>731</v>
      </c>
      <c r="AQ4" t="s">
        <v>59</v>
      </c>
      <c r="AR4" t="s">
        <v>745</v>
      </c>
      <c r="AS4">
        <v>0.53750108739467028</v>
      </c>
      <c r="AT4">
        <v>0.35056466015359772</v>
      </c>
      <c r="AU4">
        <v>0.28935122050286888</v>
      </c>
      <c r="AV4">
        <v>0.26769108031876471</v>
      </c>
      <c r="AW4">
        <v>0.24320570445847337</v>
      </c>
      <c r="AX4">
        <v>0.2316693254473742</v>
      </c>
      <c r="AY4">
        <v>0.18222770111409323</v>
      </c>
      <c r="AZ4">
        <v>0.14856030930619213</v>
      </c>
      <c r="BA4">
        <v>0.12525211497764546</v>
      </c>
      <c r="BB4">
        <v>0.13019627741097342</v>
      </c>
      <c r="BC4">
        <v>8.1225525690390377E-2</v>
      </c>
      <c r="BD4">
        <v>6.5215856858661256E-2</v>
      </c>
    </row>
    <row r="5" spans="1:56">
      <c r="A5" s="213">
        <v>1</v>
      </c>
      <c r="B5" s="213" t="s">
        <v>743</v>
      </c>
      <c r="C5" s="240" t="s">
        <v>744</v>
      </c>
      <c r="D5" s="230">
        <v>55.44</v>
      </c>
      <c r="E5" s="230">
        <v>48.34</v>
      </c>
      <c r="F5" s="230">
        <v>47.28</v>
      </c>
      <c r="G5" s="230">
        <v>46.94</v>
      </c>
      <c r="H5" s="230">
        <v>46.41</v>
      </c>
      <c r="I5" s="230">
        <v>46.35</v>
      </c>
      <c r="J5" s="230">
        <v>45.64</v>
      </c>
      <c r="K5" s="242">
        <v>45.67</v>
      </c>
      <c r="L5" s="232">
        <v>45.24</v>
      </c>
      <c r="M5" s="230">
        <v>44.91</v>
      </c>
      <c r="N5" s="234"/>
      <c r="O5" s="238">
        <v>43.38</v>
      </c>
      <c r="P5" s="471"/>
      <c r="Q5" s="472"/>
      <c r="R5" s="471"/>
      <c r="S5" s="473"/>
      <c r="T5" s="474"/>
      <c r="U5" s="473"/>
      <c r="V5" s="397" t="s">
        <v>885</v>
      </c>
      <c r="W5" s="15">
        <f>PI()*2*2.6*2.6</f>
        <v>42.474332676534004</v>
      </c>
      <c r="Y5" s="213">
        <v>1</v>
      </c>
      <c r="Z5" s="213" t="s">
        <v>743</v>
      </c>
      <c r="AA5" s="240" t="s">
        <v>744</v>
      </c>
      <c r="AB5" s="230"/>
      <c r="AC5" s="230"/>
      <c r="AD5" s="230"/>
      <c r="AE5" s="230"/>
      <c r="AF5" s="230"/>
      <c r="AG5" s="230"/>
      <c r="AH5" s="230"/>
      <c r="AI5" s="242"/>
      <c r="AJ5" s="232"/>
      <c r="AK5" s="230"/>
      <c r="AL5" s="234"/>
      <c r="AM5" s="471"/>
      <c r="AN5" s="471"/>
      <c r="AO5" s="474"/>
      <c r="AQ5" t="s">
        <v>59</v>
      </c>
      <c r="AR5" t="s">
        <v>747</v>
      </c>
      <c r="AS5">
        <v>0.56057384541686794</v>
      </c>
      <c r="AT5">
        <v>0.35998211240755618</v>
      </c>
      <c r="AU5">
        <v>0.28958665680921797</v>
      </c>
      <c r="AV5">
        <v>0.27028087968860326</v>
      </c>
      <c r="AW5">
        <v>0.23967415986323884</v>
      </c>
      <c r="AX5">
        <v>0.24626637644100968</v>
      </c>
      <c r="AY5">
        <v>0.194705825350588</v>
      </c>
      <c r="AZ5">
        <v>0.14314527426016618</v>
      </c>
      <c r="BA5">
        <v>0.12407493344590075</v>
      </c>
      <c r="BB5">
        <v>0.12713560542843708</v>
      </c>
      <c r="BC5">
        <v>9.535170407132787E-2</v>
      </c>
      <c r="BD5">
        <v>7.3927000193572651E-2</v>
      </c>
    </row>
    <row r="6" spans="1:56">
      <c r="A6" s="213">
        <v>2</v>
      </c>
      <c r="B6" s="213" t="s">
        <v>743</v>
      </c>
      <c r="C6" s="240" t="s">
        <v>745</v>
      </c>
      <c r="D6" s="230">
        <v>67.81</v>
      </c>
      <c r="E6" s="230">
        <v>61.95</v>
      </c>
      <c r="F6" s="230">
        <v>60.4</v>
      </c>
      <c r="G6" s="230">
        <v>60.03</v>
      </c>
      <c r="H6" s="230">
        <v>59.51</v>
      </c>
      <c r="I6" s="230">
        <v>59.63</v>
      </c>
      <c r="J6" s="230">
        <v>58.1</v>
      </c>
      <c r="K6" s="230">
        <v>57.72</v>
      </c>
      <c r="L6" s="230">
        <v>57.3</v>
      </c>
      <c r="M6" s="230">
        <v>57</v>
      </c>
      <c r="N6" s="234"/>
      <c r="O6" s="238">
        <v>55.62</v>
      </c>
      <c r="P6" s="471"/>
      <c r="Q6" s="472"/>
      <c r="R6" s="471"/>
      <c r="S6" s="473"/>
      <c r="T6" s="474"/>
      <c r="U6" s="473"/>
      <c r="V6" s="397" t="s">
        <v>886</v>
      </c>
      <c r="W6" s="15">
        <f>PI()*1*2.7*2.7</f>
        <v>22.902210444669592</v>
      </c>
      <c r="Y6" s="213">
        <v>2</v>
      </c>
      <c r="Z6" s="213" t="s">
        <v>743</v>
      </c>
      <c r="AA6" s="240" t="s">
        <v>745</v>
      </c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4"/>
      <c r="AM6" s="471"/>
      <c r="AN6" s="471"/>
      <c r="AO6" s="474"/>
      <c r="AQ6" t="s">
        <v>748</v>
      </c>
      <c r="AR6" t="s">
        <v>744</v>
      </c>
      <c r="AS6">
        <v>0.50999444041518216</v>
      </c>
      <c r="AT6">
        <v>0.36590354543486481</v>
      </c>
      <c r="AU6">
        <v>0.35760740299660426</v>
      </c>
      <c r="AV6">
        <v>0.35455092946671907</v>
      </c>
      <c r="AW6">
        <v>0.3445082307256665</v>
      </c>
      <c r="AX6">
        <v>0.33795864459019731</v>
      </c>
      <c r="AY6">
        <v>0.31961980341088481</v>
      </c>
      <c r="AZ6">
        <v>0.19430438868557903</v>
      </c>
      <c r="BA6">
        <v>0.18207849456603695</v>
      </c>
      <c r="BB6">
        <v>0.15893662355404664</v>
      </c>
      <c r="BC6">
        <v>0.14321761682892123</v>
      </c>
      <c r="BD6">
        <v>0.13754130884484772</v>
      </c>
    </row>
    <row r="7" spans="1:56">
      <c r="A7">
        <v>3</v>
      </c>
      <c r="B7" s="205" t="s">
        <v>746</v>
      </c>
      <c r="C7" s="57" t="s">
        <v>744</v>
      </c>
      <c r="D7" s="231">
        <v>70.44</v>
      </c>
      <c r="E7" s="231">
        <v>68.41</v>
      </c>
      <c r="F7" s="231">
        <v>68.16</v>
      </c>
      <c r="G7" s="231">
        <v>68.02</v>
      </c>
      <c r="H7" s="231">
        <v>67.75</v>
      </c>
      <c r="I7" s="231">
        <v>67.64</v>
      </c>
      <c r="J7" s="231">
        <v>66.72</v>
      </c>
      <c r="K7" s="231">
        <v>65.599999999999994</v>
      </c>
      <c r="L7" s="231">
        <v>65.180000000000007</v>
      </c>
      <c r="M7" s="231">
        <v>65.260000000000005</v>
      </c>
      <c r="N7" s="235"/>
      <c r="O7" s="231">
        <v>62.83</v>
      </c>
      <c r="P7" s="471"/>
      <c r="Q7" s="472"/>
      <c r="R7" s="471"/>
      <c r="S7" s="473"/>
      <c r="T7" s="474"/>
      <c r="U7" s="473"/>
      <c r="Y7">
        <v>3</v>
      </c>
      <c r="Z7" s="205" t="s">
        <v>746</v>
      </c>
      <c r="AA7" s="57" t="s">
        <v>744</v>
      </c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5"/>
      <c r="AM7" s="471"/>
      <c r="AN7" s="471"/>
      <c r="AO7" s="474"/>
      <c r="AQ7" t="s">
        <v>748</v>
      </c>
      <c r="AR7" t="s">
        <v>745</v>
      </c>
      <c r="AS7">
        <v>0.49441624333281092</v>
      </c>
      <c r="AT7">
        <v>0.39694561250434246</v>
      </c>
      <c r="AU7">
        <v>0.39105970484561853</v>
      </c>
      <c r="AV7">
        <v>0.38611554241229057</v>
      </c>
      <c r="AW7">
        <v>0.37363741817579577</v>
      </c>
      <c r="AX7">
        <v>0.36445540222818645</v>
      </c>
      <c r="AY7">
        <v>0.34444331618852486</v>
      </c>
      <c r="AZ7">
        <v>0.25191684779338464</v>
      </c>
      <c r="BA7">
        <v>0.24202852292672841</v>
      </c>
      <c r="BB7">
        <v>0.23920328725054082</v>
      </c>
      <c r="BC7">
        <v>0.2238999273378588</v>
      </c>
      <c r="BD7">
        <v>0.21707227445373883</v>
      </c>
    </row>
    <row r="8" spans="1:56">
      <c r="A8">
        <v>4</v>
      </c>
      <c r="B8" s="205" t="s">
        <v>746</v>
      </c>
      <c r="C8" s="57" t="s">
        <v>745</v>
      </c>
      <c r="D8" s="231">
        <v>104.61</v>
      </c>
      <c r="E8" s="231">
        <v>102.35</v>
      </c>
      <c r="F8" s="231">
        <v>102</v>
      </c>
      <c r="G8" s="231">
        <v>101.64</v>
      </c>
      <c r="H8" s="231">
        <v>101.13</v>
      </c>
      <c r="I8" s="231">
        <v>100.57</v>
      </c>
      <c r="J8" s="231">
        <v>98.69</v>
      </c>
      <c r="K8" s="231">
        <v>96.67</v>
      </c>
      <c r="L8" s="231">
        <v>96.34</v>
      </c>
      <c r="M8" s="231">
        <v>96.35</v>
      </c>
      <c r="N8" s="235"/>
      <c r="O8" s="231">
        <v>93.17</v>
      </c>
      <c r="P8" s="471"/>
      <c r="Q8" s="472"/>
      <c r="R8" s="471"/>
      <c r="S8" s="473"/>
      <c r="T8" s="474"/>
      <c r="U8" s="473"/>
      <c r="Y8">
        <v>4</v>
      </c>
      <c r="Z8" s="205" t="s">
        <v>746</v>
      </c>
      <c r="AA8" s="57" t="s">
        <v>745</v>
      </c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5"/>
      <c r="AM8" s="471"/>
      <c r="AN8" s="471"/>
      <c r="AO8" s="474"/>
      <c r="AQ8" t="s">
        <v>748</v>
      </c>
      <c r="AR8" t="s">
        <v>747</v>
      </c>
      <c r="AS8">
        <v>0.47981919233917547</v>
      </c>
      <c r="AT8">
        <v>0.38423205196149895</v>
      </c>
      <c r="AU8">
        <v>0.3743437270948427</v>
      </c>
      <c r="AV8">
        <v>0.36869325574246753</v>
      </c>
      <c r="AW8">
        <v>0.3571568767313687</v>
      </c>
      <c r="AX8">
        <v>0.34773942447741024</v>
      </c>
      <c r="AY8">
        <v>0.33031713780758748</v>
      </c>
      <c r="AZ8">
        <v>0.26015711851559808</v>
      </c>
      <c r="BA8">
        <v>0.24485375860291603</v>
      </c>
      <c r="BB8">
        <v>0.24202852292672841</v>
      </c>
      <c r="BC8">
        <v>0.21118636679501493</v>
      </c>
      <c r="BD8">
        <v>0.20671307697438479</v>
      </c>
    </row>
    <row r="9" spans="1:56">
      <c r="A9">
        <v>5</v>
      </c>
      <c r="B9" s="205" t="s">
        <v>746</v>
      </c>
      <c r="C9" s="57" t="s">
        <v>747</v>
      </c>
      <c r="D9" s="231">
        <v>88.54</v>
      </c>
      <c r="E9" s="231">
        <v>83.39</v>
      </c>
      <c r="F9" s="231">
        <v>82.19</v>
      </c>
      <c r="G9" s="231">
        <v>81.81</v>
      </c>
      <c r="H9" s="231">
        <v>81.06</v>
      </c>
      <c r="I9" s="231">
        <v>80.58</v>
      </c>
      <c r="J9" s="231">
        <v>78.790000000000006</v>
      </c>
      <c r="K9" s="231">
        <v>77.23</v>
      </c>
      <c r="L9" s="231">
        <v>77.08</v>
      </c>
      <c r="M9" s="231">
        <v>76.930000000000007</v>
      </c>
      <c r="N9" s="235"/>
      <c r="O9" s="231">
        <v>72.47</v>
      </c>
      <c r="P9" s="471"/>
      <c r="Q9" s="472"/>
      <c r="R9" s="471"/>
      <c r="S9" s="473"/>
      <c r="T9" s="474"/>
      <c r="U9" s="473"/>
      <c r="Y9">
        <v>5</v>
      </c>
      <c r="Z9" s="205" t="s">
        <v>746</v>
      </c>
      <c r="AA9" s="57" t="s">
        <v>747</v>
      </c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5"/>
      <c r="AM9" s="471"/>
      <c r="AN9" s="471"/>
      <c r="AO9" s="474"/>
      <c r="AQ9" t="s">
        <v>750</v>
      </c>
      <c r="AR9" t="s">
        <v>744</v>
      </c>
      <c r="AS9">
        <v>0.62264732194524752</v>
      </c>
      <c r="AT9">
        <v>0.45628783410433627</v>
      </c>
      <c r="AU9">
        <v>0.44449857906049234</v>
      </c>
      <c r="AV9">
        <v>0.43794899292502376</v>
      </c>
      <c r="AW9">
        <v>0.42135670804850206</v>
      </c>
      <c r="AX9">
        <v>0.40738425762616853</v>
      </c>
      <c r="AY9">
        <v>0.38031263493289674</v>
      </c>
      <c r="AZ9">
        <v>0.15326031556997352</v>
      </c>
      <c r="BA9">
        <v>0.15849998447834857</v>
      </c>
      <c r="BB9">
        <v>0.10784985169738888</v>
      </c>
      <c r="BC9">
        <v>0.1157093550599516</v>
      </c>
      <c r="BD9">
        <v>0.1052300172432012</v>
      </c>
    </row>
    <row r="10" spans="1:56" ht="45">
      <c r="A10" s="213">
        <v>6</v>
      </c>
      <c r="B10" s="214" t="s">
        <v>59</v>
      </c>
      <c r="C10" s="240" t="s">
        <v>744</v>
      </c>
      <c r="D10" s="230">
        <v>60.5</v>
      </c>
      <c r="E10" s="230">
        <v>56.69</v>
      </c>
      <c r="F10" s="230">
        <v>55.1</v>
      </c>
      <c r="G10" s="230">
        <v>54.67</v>
      </c>
      <c r="H10" s="230">
        <v>53.86</v>
      </c>
      <c r="I10" s="230">
        <v>53.81</v>
      </c>
      <c r="J10" s="230">
        <v>52.34</v>
      </c>
      <c r="K10" s="230">
        <v>51.53</v>
      </c>
      <c r="L10" s="230">
        <v>51.38</v>
      </c>
      <c r="M10" s="230">
        <v>51.34</v>
      </c>
      <c r="N10" s="230">
        <v>41.16</v>
      </c>
      <c r="O10" s="216"/>
      <c r="P10" s="479">
        <v>40.93</v>
      </c>
      <c r="Q10" s="481"/>
      <c r="R10" s="479">
        <v>46.23</v>
      </c>
      <c r="S10" s="482"/>
      <c r="T10" s="483">
        <v>23.29</v>
      </c>
      <c r="U10" s="216"/>
      <c r="V10" s="520" t="s">
        <v>982</v>
      </c>
      <c r="X10" s="243">
        <f>(R10-T10)/W6</f>
        <v>1.0016500396510504</v>
      </c>
      <c r="Y10" s="213">
        <v>6</v>
      </c>
      <c r="Z10" s="214" t="s">
        <v>59</v>
      </c>
      <c r="AA10" s="240" t="s">
        <v>744</v>
      </c>
      <c r="AB10" s="230">
        <f>(D10-R10)/(R10-T10)*X10</f>
        <v>0.62308396102094565</v>
      </c>
      <c r="AC10" s="230">
        <f>(E10-R10)/(R10-T10)*X10</f>
        <v>0.4567244731800344</v>
      </c>
      <c r="AD10" s="230">
        <f>(F10-R10)/(R10-T10)*X10</f>
        <v>0.38729886014406373</v>
      </c>
      <c r="AE10" s="230">
        <f>(G10-R10)/(R10-T10)*X10</f>
        <v>0.36852337988905276</v>
      </c>
      <c r="AF10" s="230">
        <f>(H10-R10)/(R10-T10)*X10</f>
        <v>0.33315561475752037</v>
      </c>
      <c r="AG10" s="230">
        <f>(I10-R10)/(R10-T10)*X10</f>
        <v>0.33097241937903082</v>
      </c>
      <c r="AH10" s="230">
        <f>(J10-R10)/(R10-T10)*X10</f>
        <v>0.26678647525143528</v>
      </c>
      <c r="AI10" s="230">
        <f>(K10-R10)/(R10-T10)*X10</f>
        <v>0.23141871011990287</v>
      </c>
      <c r="AJ10" s="230">
        <f>(L10-R10)/(R10-T10)*X10</f>
        <v>0.22486912398443398</v>
      </c>
      <c r="AK10" s="230">
        <f>(M10-R10)/(R10-T10)*X10</f>
        <v>0.22312256768164229</v>
      </c>
      <c r="AL10" s="480">
        <f>(N10-R10)/(R10-T10)*X10</f>
        <v>-0.22137601137885032</v>
      </c>
      <c r="AM10" s="479">
        <f>(P10-R10)/(R10-T10)*X10</f>
        <v>-0.23141871011990256</v>
      </c>
      <c r="AN10" s="479">
        <v>46.23</v>
      </c>
      <c r="AO10" s="215">
        <v>23.29</v>
      </c>
      <c r="AQ10" t="s">
        <v>750</v>
      </c>
      <c r="AR10" t="s">
        <v>745</v>
      </c>
      <c r="AS10">
        <v>0.48358617324075875</v>
      </c>
      <c r="AT10">
        <v>0.38846990547578009</v>
      </c>
      <c r="AU10">
        <v>0.37669809015833217</v>
      </c>
      <c r="AV10">
        <v>0.36845781943611849</v>
      </c>
      <c r="AW10">
        <v>0.3477394244774103</v>
      </c>
      <c r="AX10">
        <v>0.332671500871077</v>
      </c>
      <c r="AY10">
        <v>0.30583176194729583</v>
      </c>
      <c r="AZ10">
        <v>0.14644138254905162</v>
      </c>
      <c r="BA10">
        <v>0.14926661822523921</v>
      </c>
      <c r="BB10">
        <v>0.11324486335384866</v>
      </c>
      <c r="BC10">
        <v>8.310901614118206E-2</v>
      </c>
      <c r="BD10">
        <v>6.2861493795171725E-2</v>
      </c>
    </row>
    <row r="11" spans="1:56">
      <c r="A11" s="213">
        <v>7</v>
      </c>
      <c r="B11" s="214" t="s">
        <v>59</v>
      </c>
      <c r="C11" s="240" t="s">
        <v>745</v>
      </c>
      <c r="D11" s="230">
        <v>81.540000000000006</v>
      </c>
      <c r="E11" s="230">
        <v>73.599999999999994</v>
      </c>
      <c r="F11" s="230">
        <v>71</v>
      </c>
      <c r="G11" s="230">
        <v>70.08</v>
      </c>
      <c r="H11" s="230">
        <v>69.040000000000006</v>
      </c>
      <c r="I11" s="230">
        <v>68.55</v>
      </c>
      <c r="J11" s="230">
        <v>66.45</v>
      </c>
      <c r="K11" s="230">
        <v>65.02</v>
      </c>
      <c r="L11" s="230">
        <v>64.03</v>
      </c>
      <c r="M11" s="230">
        <v>64.239999999999995</v>
      </c>
      <c r="N11" s="243">
        <v>62.96</v>
      </c>
      <c r="O11" s="216"/>
      <c r="P11" s="230">
        <v>62.28</v>
      </c>
      <c r="Q11" s="239"/>
      <c r="R11" s="230">
        <v>58.71</v>
      </c>
      <c r="S11" s="216"/>
      <c r="T11" s="215">
        <v>19.87</v>
      </c>
      <c r="U11" s="216"/>
      <c r="X11" s="243">
        <f>(R11-T11)/W5</f>
        <v>0.91443461385935143</v>
      </c>
      <c r="Y11" s="213">
        <v>7</v>
      </c>
      <c r="Z11" s="214" t="s">
        <v>59</v>
      </c>
      <c r="AA11" s="240" t="s">
        <v>745</v>
      </c>
      <c r="AB11" s="230">
        <f>(D11-R11)/(R11-T11)*X11</f>
        <v>0.53750108739467028</v>
      </c>
      <c r="AC11" s="230">
        <f>(E11-R11)/(R11-T11)*X11</f>
        <v>0.35056466015359772</v>
      </c>
      <c r="AD11" s="230">
        <f>(F11-R11)/(R11-T11)*X11</f>
        <v>0.28935122050286888</v>
      </c>
      <c r="AE11" s="230">
        <f>(G11-R11)/(R11-T11)*X11</f>
        <v>0.26769108031876471</v>
      </c>
      <c r="AF11" s="230">
        <f>(H11-R11)/(R11-T11)*X11</f>
        <v>0.24320570445847337</v>
      </c>
      <c r="AG11" s="230">
        <f>(I11-R11)/(R11-T11)*X11</f>
        <v>0.2316693254473742</v>
      </c>
      <c r="AH11" s="230">
        <f>(J11-R11)/(R11-T11)*X11</f>
        <v>0.18222770111409323</v>
      </c>
      <c r="AI11" s="230">
        <f>(K11-R11)/(R11-T11)*X11</f>
        <v>0.14856030930619213</v>
      </c>
      <c r="AJ11" s="230">
        <f>(L11-R11)/(R11-T11)*X11</f>
        <v>0.12525211497764546</v>
      </c>
      <c r="AK11" s="230">
        <f>(M11-R11)/(R11-T11)*X11</f>
        <v>0.13019627741097342</v>
      </c>
      <c r="AL11" s="243">
        <f>(N11-R11-0.8)/(R11-T11)*X11</f>
        <v>8.1225525690390377E-2</v>
      </c>
      <c r="AM11" s="237">
        <f>(P11-R11-0.8)/(R11-T11)*X11</f>
        <v>6.5215856858661256E-2</v>
      </c>
      <c r="AN11" s="230">
        <v>58.71</v>
      </c>
      <c r="AO11" s="215">
        <v>19.87</v>
      </c>
      <c r="AQ11" t="s">
        <v>750</v>
      </c>
      <c r="AR11" t="s">
        <v>747</v>
      </c>
      <c r="AS11">
        <v>0.5965956002882582</v>
      </c>
      <c r="AT11">
        <v>0.43767609350271186</v>
      </c>
      <c r="AU11">
        <v>0.4230790425090768</v>
      </c>
      <c r="AV11">
        <v>0.41625138962495684</v>
      </c>
      <c r="AW11">
        <v>0.39812279403608725</v>
      </c>
      <c r="AX11">
        <v>0.38117137997896228</v>
      </c>
      <c r="AY11">
        <v>0.3573923130377174</v>
      </c>
      <c r="AZ11">
        <v>0.30865699762348336</v>
      </c>
      <c r="BA11">
        <v>0.30112303582031658</v>
      </c>
      <c r="BB11">
        <v>0.27875658671716552</v>
      </c>
      <c r="BC11">
        <v>0.21848489229183232</v>
      </c>
      <c r="BD11">
        <v>0.1914097170617024</v>
      </c>
    </row>
    <row r="12" spans="1:56">
      <c r="A12" s="213">
        <v>8</v>
      </c>
      <c r="B12" s="214" t="s">
        <v>59</v>
      </c>
      <c r="C12" s="240" t="s">
        <v>747</v>
      </c>
      <c r="D12" s="230">
        <v>76.739999999999995</v>
      </c>
      <c r="E12" s="230">
        <v>68.22</v>
      </c>
      <c r="F12" s="230">
        <v>65.23</v>
      </c>
      <c r="G12" s="230">
        <v>64.41</v>
      </c>
      <c r="H12" s="230">
        <v>63.11</v>
      </c>
      <c r="I12" s="230">
        <v>63.39</v>
      </c>
      <c r="J12" s="230">
        <v>61.2</v>
      </c>
      <c r="K12" s="230">
        <v>59.01</v>
      </c>
      <c r="L12" s="230">
        <v>58.2</v>
      </c>
      <c r="M12" s="230">
        <v>58.33</v>
      </c>
      <c r="N12" s="243">
        <v>57.78</v>
      </c>
      <c r="O12" s="216"/>
      <c r="P12" s="230">
        <v>56.87</v>
      </c>
      <c r="Q12" s="239"/>
      <c r="R12" s="230">
        <v>52.93</v>
      </c>
      <c r="S12" s="216"/>
      <c r="T12" s="215">
        <v>19.71</v>
      </c>
      <c r="U12" s="216"/>
      <c r="X12" s="243">
        <f>(R12-T12)/W5</f>
        <v>0.78211940969123717</v>
      </c>
      <c r="Y12" s="213">
        <v>8</v>
      </c>
      <c r="Z12" s="214" t="s">
        <v>59</v>
      </c>
      <c r="AA12" s="240" t="s">
        <v>747</v>
      </c>
      <c r="AB12" s="230">
        <f>(D12-R12)/(R12-T12)*X12</f>
        <v>0.56057384541686794</v>
      </c>
      <c r="AC12" s="230">
        <f>(E12-R12)/(R12-T12)*X12</f>
        <v>0.35998211240755618</v>
      </c>
      <c r="AD12" s="230">
        <f>(F12-R12)/(R12-T12)*X12</f>
        <v>0.28958665680921797</v>
      </c>
      <c r="AE12" s="230">
        <f>(G12-R12)/(R12-T12)*X12</f>
        <v>0.27028087968860326</v>
      </c>
      <c r="AF12" s="230">
        <f>(H12-R12)/(R12-T12)*X12</f>
        <v>0.23967415986323884</v>
      </c>
      <c r="AG12" s="230">
        <f>(I12-R12)/(R12-T12)*X12</f>
        <v>0.24626637644100968</v>
      </c>
      <c r="AH12" s="230">
        <f>(J12-R12)/(R12-T12)*X12</f>
        <v>0.194705825350588</v>
      </c>
      <c r="AI12" s="230">
        <f>(K12-R12)/(R12-T12)*X12</f>
        <v>0.14314527426016618</v>
      </c>
      <c r="AJ12" s="230">
        <f>(L12-R12)/(R12-T12)*X12</f>
        <v>0.12407493344590075</v>
      </c>
      <c r="AK12" s="230">
        <f>(M12-R12)/(R12-T12)*X12</f>
        <v>0.12713560542843708</v>
      </c>
      <c r="AL12" s="243">
        <f>(N12-R12-0.8)/(R12-T12)*X12</f>
        <v>9.535170407132787E-2</v>
      </c>
      <c r="AM12" s="237">
        <f>(P12-R12-0.8)/(R12-T12)*X12</f>
        <v>7.3927000193572651E-2</v>
      </c>
      <c r="AN12" s="230">
        <v>52.93</v>
      </c>
      <c r="AO12" s="215">
        <v>19.71</v>
      </c>
      <c r="AQ12" t="s">
        <v>751</v>
      </c>
      <c r="AR12" t="s">
        <v>744</v>
      </c>
      <c r="AS12">
        <v>0.79511975684592984</v>
      </c>
      <c r="AT12">
        <v>0.39079197274964717</v>
      </c>
      <c r="AU12">
        <v>0.37114321434324016</v>
      </c>
      <c r="AV12">
        <v>0.35062117778543755</v>
      </c>
      <c r="AW12">
        <v>0.32180299878937402</v>
      </c>
      <c r="AX12">
        <v>0.30346415761006124</v>
      </c>
      <c r="AY12">
        <v>0.28294212105225824</v>
      </c>
      <c r="AZ12">
        <v>0.23054543196850691</v>
      </c>
      <c r="BA12">
        <v>0.17640218658196352</v>
      </c>
      <c r="BB12">
        <v>0.14234433867752497</v>
      </c>
      <c r="BC12">
        <v>0.16155645800823404</v>
      </c>
      <c r="BD12">
        <v>0.13841458699624373</v>
      </c>
    </row>
    <row r="13" spans="1:56">
      <c r="A13">
        <v>9</v>
      </c>
      <c r="B13" s="205" t="s">
        <v>61</v>
      </c>
      <c r="C13" s="57" t="s">
        <v>744</v>
      </c>
      <c r="D13" s="231">
        <v>54.36</v>
      </c>
      <c r="E13" s="231">
        <v>47.4</v>
      </c>
      <c r="F13" s="231">
        <v>46.02</v>
      </c>
      <c r="G13" s="231">
        <v>45.56</v>
      </c>
      <c r="H13" s="231">
        <v>44.95</v>
      </c>
      <c r="I13" s="231">
        <v>44.85</v>
      </c>
      <c r="J13" s="231">
        <v>43.74</v>
      </c>
      <c r="K13" s="231">
        <v>42.67</v>
      </c>
      <c r="L13" s="231">
        <v>41.92</v>
      </c>
      <c r="M13" s="231">
        <v>41.93</v>
      </c>
      <c r="N13" s="235"/>
      <c r="O13" s="231">
        <v>56.06</v>
      </c>
      <c r="P13" s="471"/>
      <c r="Q13" s="472"/>
      <c r="R13" s="471"/>
      <c r="S13" s="473"/>
      <c r="T13" s="474"/>
      <c r="U13" s="473"/>
      <c r="Y13">
        <v>9</v>
      </c>
      <c r="Z13" s="205" t="s">
        <v>61</v>
      </c>
      <c r="AA13" s="57" t="s">
        <v>744</v>
      </c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5"/>
      <c r="AM13" s="471"/>
      <c r="AN13" s="471"/>
      <c r="AO13" s="474"/>
      <c r="AQ13" t="s">
        <v>751</v>
      </c>
      <c r="AR13" t="s">
        <v>745</v>
      </c>
      <c r="AS13">
        <v>0.70701522796591987</v>
      </c>
      <c r="AT13">
        <v>0.31619095942665004</v>
      </c>
      <c r="AU13">
        <v>0.30300652627110858</v>
      </c>
      <c r="AV13">
        <v>0.29194101987270754</v>
      </c>
      <c r="AW13">
        <v>0.26933913446320762</v>
      </c>
      <c r="AX13">
        <v>0.25662557392036395</v>
      </c>
      <c r="AY13">
        <v>0.24061590508863476</v>
      </c>
      <c r="AZ13">
        <v>0.21754314706643682</v>
      </c>
      <c r="BA13">
        <v>0.16786608642680681</v>
      </c>
      <c r="BB13">
        <v>0.13867198443953618</v>
      </c>
      <c r="BC13">
        <v>0.13514043984430166</v>
      </c>
      <c r="BD13">
        <v>0.12996084110462464</v>
      </c>
    </row>
    <row r="14" spans="1:56">
      <c r="A14">
        <v>10</v>
      </c>
      <c r="B14" s="205" t="s">
        <v>61</v>
      </c>
      <c r="C14" s="57" t="s">
        <v>747</v>
      </c>
      <c r="D14" s="231">
        <v>75.599999999999994</v>
      </c>
      <c r="E14" s="231">
        <v>64.19</v>
      </c>
      <c r="F14" s="231">
        <v>61.88</v>
      </c>
      <c r="G14" s="231">
        <v>61.18</v>
      </c>
      <c r="H14" s="231">
        <v>60.6</v>
      </c>
      <c r="I14" s="231">
        <v>60.38</v>
      </c>
      <c r="J14" s="231">
        <v>59.17</v>
      </c>
      <c r="K14" s="231">
        <v>58.03</v>
      </c>
      <c r="L14" s="231">
        <v>58.11</v>
      </c>
      <c r="M14" s="231">
        <v>57.68</v>
      </c>
      <c r="N14" s="235"/>
      <c r="O14" s="231">
        <v>56.06</v>
      </c>
      <c r="P14" s="471"/>
      <c r="Q14" s="472"/>
      <c r="R14" s="471"/>
      <c r="S14" s="473"/>
      <c r="T14" s="474"/>
      <c r="U14" s="473"/>
      <c r="Y14">
        <v>10</v>
      </c>
      <c r="Z14" s="205" t="s">
        <v>61</v>
      </c>
      <c r="AA14" s="57" t="s">
        <v>747</v>
      </c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5"/>
      <c r="AM14" s="471"/>
      <c r="AN14" s="471"/>
      <c r="AO14" s="474"/>
      <c r="AQ14" t="s">
        <v>751</v>
      </c>
      <c r="AR14" t="s">
        <v>747</v>
      </c>
      <c r="AS14">
        <v>0.7453913459007997</v>
      </c>
      <c r="AT14">
        <v>0.3373802269980562</v>
      </c>
      <c r="AU14">
        <v>0.33384868240282184</v>
      </c>
      <c r="AV14">
        <v>0.31148223329967084</v>
      </c>
      <c r="AW14">
        <v>0.2921764561790563</v>
      </c>
      <c r="AX14">
        <v>0.27381242428383779</v>
      </c>
      <c r="AY14">
        <v>0.24202852292672844</v>
      </c>
      <c r="AZ14">
        <v>0.23472999742991069</v>
      </c>
      <c r="BA14">
        <v>0.20082716931566086</v>
      </c>
      <c r="BB14">
        <v>0.17398743039187969</v>
      </c>
      <c r="BC14">
        <v>0.16386366921887452</v>
      </c>
      <c r="BD14">
        <v>0.15562339849666099</v>
      </c>
    </row>
    <row r="15" spans="1:56">
      <c r="A15">
        <v>11</v>
      </c>
      <c r="B15" s="205" t="s">
        <v>61</v>
      </c>
      <c r="C15" s="57" t="s">
        <v>745</v>
      </c>
      <c r="D15" s="231">
        <v>74.52</v>
      </c>
      <c r="E15" s="231">
        <v>64.930000000000007</v>
      </c>
      <c r="F15" s="231">
        <v>62.88</v>
      </c>
      <c r="G15" s="231">
        <v>62.5</v>
      </c>
      <c r="H15" s="231">
        <v>61.68</v>
      </c>
      <c r="I15" s="231">
        <v>61.34</v>
      </c>
      <c r="J15" s="231">
        <v>59.92</v>
      </c>
      <c r="K15" s="242">
        <v>59.95</v>
      </c>
      <c r="L15" s="233">
        <v>59.74</v>
      </c>
      <c r="M15" s="231">
        <v>59.4</v>
      </c>
      <c r="N15" s="235"/>
      <c r="O15" s="231">
        <v>57.73</v>
      </c>
      <c r="P15" s="235"/>
      <c r="Q15" s="279"/>
      <c r="R15" s="235"/>
      <c r="T15" s="211"/>
      <c r="Y15">
        <v>11</v>
      </c>
      <c r="Z15" s="205" t="s">
        <v>61</v>
      </c>
      <c r="AA15" s="57" t="s">
        <v>745</v>
      </c>
      <c r="AB15" s="231"/>
      <c r="AC15" s="231"/>
      <c r="AD15" s="231"/>
      <c r="AE15" s="231"/>
      <c r="AF15" s="231"/>
      <c r="AG15" s="231"/>
      <c r="AH15" s="231"/>
      <c r="AI15" s="242"/>
      <c r="AJ15" s="233"/>
      <c r="AK15" s="231"/>
      <c r="AL15" s="235"/>
      <c r="AM15" s="235"/>
      <c r="AN15" s="235"/>
      <c r="AO15" s="211"/>
      <c r="AQ15" t="s">
        <v>760</v>
      </c>
      <c r="AR15" t="s">
        <v>744</v>
      </c>
      <c r="AS15">
        <v>0.71914455767449004</v>
      </c>
      <c r="AT15">
        <v>0.37943935678150076</v>
      </c>
      <c r="AU15">
        <v>0.34974789963404157</v>
      </c>
      <c r="AV15">
        <v>0.32747930677344722</v>
      </c>
      <c r="AW15">
        <v>0.29429473702040437</v>
      </c>
      <c r="AX15">
        <v>0.25805369373747628</v>
      </c>
      <c r="AY15">
        <v>0.23840493533106963</v>
      </c>
      <c r="AZ15">
        <v>0.18688152439871367</v>
      </c>
      <c r="BA15">
        <v>0.12007574581693067</v>
      </c>
      <c r="BB15">
        <v>0.16373965338672358</v>
      </c>
      <c r="BC15">
        <v>0.16548620968951527</v>
      </c>
      <c r="BD15">
        <v>0.16111981893253591</v>
      </c>
    </row>
    <row r="16" spans="1:56">
      <c r="A16" s="213">
        <v>12</v>
      </c>
      <c r="B16" s="214" t="s">
        <v>748</v>
      </c>
      <c r="C16" s="240" t="s">
        <v>744</v>
      </c>
      <c r="D16" s="230">
        <v>72.260000000000005</v>
      </c>
      <c r="E16" s="230">
        <v>68.959999999999994</v>
      </c>
      <c r="F16" s="230">
        <v>68.77</v>
      </c>
      <c r="G16" s="230">
        <v>68.7</v>
      </c>
      <c r="H16" s="230">
        <v>68.47</v>
      </c>
      <c r="I16" s="230">
        <v>68.319999999999993</v>
      </c>
      <c r="J16" s="230">
        <v>67.900000000000006</v>
      </c>
      <c r="K16" s="242">
        <v>65.930000000000007</v>
      </c>
      <c r="L16" s="232">
        <v>65.650000000000006</v>
      </c>
      <c r="M16" s="230">
        <v>65.12</v>
      </c>
      <c r="N16" s="230">
        <v>64.760000000000005</v>
      </c>
      <c r="O16" s="216"/>
      <c r="P16" s="230">
        <v>64.63</v>
      </c>
      <c r="Q16" s="239"/>
      <c r="R16" s="230">
        <v>60.58</v>
      </c>
      <c r="S16" s="216"/>
      <c r="T16" s="215">
        <v>24.39</v>
      </c>
      <c r="U16" s="216"/>
      <c r="X16" s="243">
        <f>(R16-T16)/W6</f>
        <v>1.5801968149508072</v>
      </c>
      <c r="Y16" s="213">
        <v>12</v>
      </c>
      <c r="Z16" s="214" t="s">
        <v>748</v>
      </c>
      <c r="AA16" s="240" t="s">
        <v>744</v>
      </c>
      <c r="AB16" s="230">
        <f>(D16-R16)/(R16-T16)*X16</f>
        <v>0.50999444041518216</v>
      </c>
      <c r="AC16" s="230">
        <f>(E16-R16)/(R16-T16)*X16</f>
        <v>0.36590354543486481</v>
      </c>
      <c r="AD16" s="230">
        <f>(F16-R16)/(R16-T16)*X16</f>
        <v>0.35760740299660426</v>
      </c>
      <c r="AE16" s="230">
        <f>(G16-R16)/(R16-T16)*X16</f>
        <v>0.35455092946671907</v>
      </c>
      <c r="AF16" s="230">
        <f>(H16-R16)/(R16-T16)*X16</f>
        <v>0.3445082307256665</v>
      </c>
      <c r="AG16" s="230">
        <f>(I16-R16)/(R16-T16)*X16</f>
        <v>0.33795864459019731</v>
      </c>
      <c r="AH16" s="230">
        <f>(J16-R16)/(R16-T16)*X16</f>
        <v>0.31961980341088481</v>
      </c>
      <c r="AI16" s="242">
        <f>(K16-R16-0.9)/(R16-T16)*X16</f>
        <v>0.19430438868557903</v>
      </c>
      <c r="AJ16" s="230">
        <f>(L16-R16-0.9)/(R16-T16)*X16</f>
        <v>0.18207849456603695</v>
      </c>
      <c r="AK16" s="230">
        <f>(M16-R16-0.9)/(R16-T16)*X16</f>
        <v>0.15893662355404664</v>
      </c>
      <c r="AL16" s="478">
        <f>(N16-R16-0.9)/(R16-T16)*X16</f>
        <v>0.14321761682892123</v>
      </c>
      <c r="AM16" s="230">
        <f>(P16-R16-0.9)/(R16-T16)*X16</f>
        <v>0.13754130884484772</v>
      </c>
      <c r="AN16" s="230">
        <v>60.58</v>
      </c>
      <c r="AO16" s="215">
        <v>24.39</v>
      </c>
      <c r="AQ16" t="s">
        <v>760</v>
      </c>
      <c r="AR16" t="s">
        <v>745</v>
      </c>
      <c r="AS16">
        <v>0.59023882001683681</v>
      </c>
      <c r="AT16">
        <v>0.29453081924254593</v>
      </c>
      <c r="AU16">
        <v>0.27075175230130127</v>
      </c>
      <c r="AV16">
        <v>0.25285859301878033</v>
      </c>
      <c r="AW16">
        <v>0.22884408977118675</v>
      </c>
      <c r="AX16">
        <v>0.20741938589343153</v>
      </c>
      <c r="AY16">
        <v>0.18481750048393158</v>
      </c>
      <c r="AZ16">
        <v>0.15162098128872864</v>
      </c>
      <c r="BA16">
        <v>0.1320797678617652</v>
      </c>
      <c r="BB16">
        <v>0.11512835380464012</v>
      </c>
      <c r="BC16">
        <v>0.12666473281573909</v>
      </c>
      <c r="BD16">
        <v>0.11913077101257243</v>
      </c>
    </row>
    <row r="17" spans="1:56">
      <c r="A17" s="213">
        <v>13</v>
      </c>
      <c r="B17" s="214" t="s">
        <v>748</v>
      </c>
      <c r="C17" s="240" t="s">
        <v>745</v>
      </c>
      <c r="D17" s="230">
        <v>111.86</v>
      </c>
      <c r="E17" s="230">
        <v>107.72</v>
      </c>
      <c r="F17" s="230">
        <v>107.47</v>
      </c>
      <c r="G17" s="230">
        <v>107.26</v>
      </c>
      <c r="H17" s="230">
        <v>106.73</v>
      </c>
      <c r="I17" s="230">
        <v>106.34</v>
      </c>
      <c r="J17" s="230">
        <v>105.49</v>
      </c>
      <c r="K17" s="230">
        <v>101.56</v>
      </c>
      <c r="L17" s="230">
        <v>101.14</v>
      </c>
      <c r="M17" s="230">
        <v>101.02</v>
      </c>
      <c r="N17" s="230">
        <v>100.37</v>
      </c>
      <c r="O17" s="216"/>
      <c r="P17" s="230">
        <v>100.08</v>
      </c>
      <c r="Q17" s="239"/>
      <c r="R17" s="230">
        <v>90.86</v>
      </c>
      <c r="S17" s="216"/>
      <c r="T17" s="215">
        <v>21.21</v>
      </c>
      <c r="U17" s="216"/>
      <c r="X17" s="243">
        <f>(R17-T17)/W5</f>
        <v>1.6398138737204897</v>
      </c>
      <c r="Y17" s="213">
        <v>13</v>
      </c>
      <c r="Z17" s="214" t="s">
        <v>748</v>
      </c>
      <c r="AA17" s="240" t="s">
        <v>745</v>
      </c>
      <c r="AB17" s="230">
        <f>(D17-R17)/(R17-T17)*X17</f>
        <v>0.49441624333281092</v>
      </c>
      <c r="AC17" s="230">
        <f>(E17-R17)/(R17-T17)*X17</f>
        <v>0.39694561250434246</v>
      </c>
      <c r="AD17" s="230">
        <f>(F17-R17)/(R17-T17)*X17</f>
        <v>0.39105970484561853</v>
      </c>
      <c r="AE17" s="230">
        <f>(G17-R17)/(R17-T17)*X17</f>
        <v>0.38611554241229057</v>
      </c>
      <c r="AF17" s="230">
        <f>(H17-R17)/(R17-T17)*X17</f>
        <v>0.37363741817579577</v>
      </c>
      <c r="AG17" s="230">
        <f>(I17-R17)/(R17-T17)*X17</f>
        <v>0.36445540222818645</v>
      </c>
      <c r="AH17" s="230">
        <f>(J17-R17)/(R17-T17)*X17</f>
        <v>0.34444331618852486</v>
      </c>
      <c r="AI17" s="230">
        <f>(K17-R17)/(R17-T17)*X17</f>
        <v>0.25191684779338464</v>
      </c>
      <c r="AJ17" s="230">
        <f>(L17-R17)/(R17-T17)*X17</f>
        <v>0.24202852292672841</v>
      </c>
      <c r="AK17" s="230">
        <f>(M17-R17)/(R17-T17)*X17</f>
        <v>0.23920328725054082</v>
      </c>
      <c r="AL17" s="478">
        <f>(N17-R17)/(R17-T17)*X17</f>
        <v>0.2238999273378588</v>
      </c>
      <c r="AM17" s="230">
        <f>(P17-R17)/(R17-T17)*X17</f>
        <v>0.21707227445373883</v>
      </c>
      <c r="AN17" s="230">
        <v>90.86</v>
      </c>
      <c r="AO17" s="215">
        <v>21.21</v>
      </c>
      <c r="AQ17" t="s">
        <v>760</v>
      </c>
      <c r="AR17" t="s">
        <v>747</v>
      </c>
      <c r="AS17">
        <v>0.65945709408343023</v>
      </c>
      <c r="AT17">
        <v>0.32113512185997833</v>
      </c>
      <c r="AU17">
        <v>0.29947498167587422</v>
      </c>
      <c r="AV17">
        <v>0.26674933509336907</v>
      </c>
      <c r="AW17">
        <v>0.27051631599495235</v>
      </c>
      <c r="AX17">
        <v>0.24650181274735858</v>
      </c>
      <c r="AY17">
        <v>0.22531254517595245</v>
      </c>
      <c r="AZ17">
        <v>0.17398743039187967</v>
      </c>
      <c r="BA17">
        <v>0.11983707993161946</v>
      </c>
      <c r="BB17">
        <v>9.4409958845932077E-2</v>
      </c>
      <c r="BC17">
        <v>0.13278607678081206</v>
      </c>
      <c r="BD17">
        <v>0.11960164362527055</v>
      </c>
    </row>
    <row r="18" spans="1:56">
      <c r="A18" s="213">
        <v>14</v>
      </c>
      <c r="B18" s="214" t="s">
        <v>748</v>
      </c>
      <c r="C18" s="240" t="s">
        <v>747</v>
      </c>
      <c r="D18" s="230">
        <v>95.85</v>
      </c>
      <c r="E18" s="230">
        <v>91.79</v>
      </c>
      <c r="F18" s="230">
        <v>91.37</v>
      </c>
      <c r="G18" s="230">
        <v>91.13</v>
      </c>
      <c r="H18" s="230">
        <v>90.64</v>
      </c>
      <c r="I18" s="230">
        <v>90.24</v>
      </c>
      <c r="J18" s="230">
        <v>89.5</v>
      </c>
      <c r="K18" s="230">
        <v>86.52</v>
      </c>
      <c r="L18" s="230">
        <v>85.87</v>
      </c>
      <c r="M18" s="230">
        <v>85.75</v>
      </c>
      <c r="N18" s="230">
        <v>84.44</v>
      </c>
      <c r="O18" s="216"/>
      <c r="P18" s="230">
        <v>84.25</v>
      </c>
      <c r="Q18" s="239"/>
      <c r="R18" s="230">
        <v>75.47</v>
      </c>
      <c r="S18" s="216"/>
      <c r="T18" s="215">
        <v>20.56</v>
      </c>
      <c r="U18" s="216"/>
      <c r="X18" s="243">
        <f>(R18-T18)/W5</f>
        <v>1.292780758162126</v>
      </c>
      <c r="Y18" s="213">
        <v>14</v>
      </c>
      <c r="Z18" s="214" t="s">
        <v>748</v>
      </c>
      <c r="AA18" s="240" t="s">
        <v>747</v>
      </c>
      <c r="AB18" s="230">
        <f>(D18-R18)/(R18-T18)*X18</f>
        <v>0.47981919233917547</v>
      </c>
      <c r="AC18" s="230">
        <f>(E18-R18)/(R18-T18)*X18</f>
        <v>0.38423205196149895</v>
      </c>
      <c r="AD18" s="230">
        <f>(F18-R18)/(R18-T18)*X18</f>
        <v>0.3743437270948427</v>
      </c>
      <c r="AE18" s="230">
        <f>(G18-R18)/(R18-T18)*X18</f>
        <v>0.36869325574246753</v>
      </c>
      <c r="AF18" s="230">
        <f>(H18-R18)/(R18-T18)*X18</f>
        <v>0.3571568767313687</v>
      </c>
      <c r="AG18" s="230">
        <f>(I18-R18)/(R18-T18)*X18</f>
        <v>0.34773942447741024</v>
      </c>
      <c r="AH18" s="230">
        <f>(J18-R18)/(R18-T18)*X18</f>
        <v>0.33031713780758748</v>
      </c>
      <c r="AI18" s="230">
        <f>(K18-R18)/(R18-T18)*X18</f>
        <v>0.26015711851559808</v>
      </c>
      <c r="AJ18" s="230">
        <f>(L18-R18)/(R18-T18)*X18</f>
        <v>0.24485375860291603</v>
      </c>
      <c r="AK18" s="230">
        <f>(M18-R18)/(R18-T18)*X18</f>
        <v>0.24202852292672841</v>
      </c>
      <c r="AL18" s="478">
        <f>(N18-R18)/(R18-T18)*X18</f>
        <v>0.21118636679501493</v>
      </c>
      <c r="AM18" s="230">
        <f>(P18-R18)/(R18-T18)*X18</f>
        <v>0.20671307697438479</v>
      </c>
      <c r="AN18" s="230">
        <v>75.47</v>
      </c>
      <c r="AO18" s="215">
        <v>20.56</v>
      </c>
      <c r="AQ18" t="s">
        <v>752</v>
      </c>
      <c r="AR18" t="s">
        <v>744</v>
      </c>
      <c r="AS18">
        <v>0.67941040178597856</v>
      </c>
      <c r="AT18">
        <v>0.4580343904071279</v>
      </c>
      <c r="AU18">
        <v>0.45279472149875249</v>
      </c>
      <c r="AV18">
        <v>0.43227268494094995</v>
      </c>
      <c r="AW18">
        <v>0.4156804000644288</v>
      </c>
      <c r="AX18">
        <v>0.39821483703651162</v>
      </c>
      <c r="AY18">
        <v>0.36634018451056288</v>
      </c>
      <c r="AZ18">
        <v>0.31176030004832173</v>
      </c>
      <c r="BA18">
        <v>0.19867077944255782</v>
      </c>
      <c r="BB18">
        <v>0.13623139161775391</v>
      </c>
      <c r="BC18" s="486"/>
      <c r="BD18" s="486"/>
    </row>
    <row r="19" spans="1:56">
      <c r="A19">
        <v>15</v>
      </c>
      <c r="B19" s="205" t="s">
        <v>749</v>
      </c>
      <c r="C19" s="57" t="s">
        <v>744</v>
      </c>
      <c r="D19" s="231">
        <v>68.3</v>
      </c>
      <c r="E19" s="231">
        <v>64.59</v>
      </c>
      <c r="F19" s="231">
        <v>64.33</v>
      </c>
      <c r="G19" s="231">
        <v>64.19</v>
      </c>
      <c r="H19" s="231">
        <v>63.84</v>
      </c>
      <c r="I19" s="231">
        <v>63.49</v>
      </c>
      <c r="J19" s="231">
        <v>63.01</v>
      </c>
      <c r="K19" s="231">
        <v>61.2</v>
      </c>
      <c r="L19" s="231">
        <v>61.16</v>
      </c>
      <c r="M19" s="231">
        <v>60.88</v>
      </c>
      <c r="N19" s="235"/>
      <c r="O19" s="231">
        <v>58.05</v>
      </c>
      <c r="P19" s="471"/>
      <c r="Q19" s="472"/>
      <c r="R19" s="471"/>
      <c r="S19" s="473"/>
      <c r="T19" s="474"/>
      <c r="U19" s="473"/>
      <c r="Y19">
        <v>15</v>
      </c>
      <c r="Z19" s="205" t="s">
        <v>749</v>
      </c>
      <c r="AA19" s="57" t="s">
        <v>744</v>
      </c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5"/>
      <c r="AM19" s="471"/>
      <c r="AN19" s="471"/>
      <c r="AO19" s="474"/>
      <c r="AQ19" t="s">
        <v>752</v>
      </c>
      <c r="AR19" t="s">
        <v>745</v>
      </c>
      <c r="AS19">
        <v>0.55774860974068052</v>
      </c>
      <c r="AT19">
        <v>0.43084844061859234</v>
      </c>
      <c r="AU19">
        <v>0.42731689602335815</v>
      </c>
      <c r="AV19">
        <v>0.40777568259639474</v>
      </c>
      <c r="AW19">
        <v>0.38752816025038439</v>
      </c>
      <c r="AX19">
        <v>0.37151849141865512</v>
      </c>
      <c r="AY19">
        <v>0.34797486078375933</v>
      </c>
      <c r="AZ19">
        <v>0.28417162176319194</v>
      </c>
      <c r="BA19">
        <v>0.22342905472516064</v>
      </c>
      <c r="BB19">
        <v>0.18411119156488501</v>
      </c>
      <c r="BC19">
        <v>0.20553589544264009</v>
      </c>
      <c r="BD19">
        <v>0.19800193363947324</v>
      </c>
    </row>
    <row r="20" spans="1:56">
      <c r="A20">
        <v>16</v>
      </c>
      <c r="B20" s="205" t="s">
        <v>749</v>
      </c>
      <c r="C20" s="57" t="s">
        <v>745</v>
      </c>
      <c r="D20" s="231">
        <v>99.48</v>
      </c>
      <c r="E20" s="231">
        <v>94.61</v>
      </c>
      <c r="F20" s="231">
        <v>94.06</v>
      </c>
      <c r="G20" s="231">
        <v>93.62</v>
      </c>
      <c r="H20" s="231">
        <v>92.84</v>
      </c>
      <c r="I20" s="231">
        <v>92.15</v>
      </c>
      <c r="J20" s="231">
        <v>91.42</v>
      </c>
      <c r="K20" s="231">
        <v>88.52</v>
      </c>
      <c r="L20" s="231">
        <v>88.38</v>
      </c>
      <c r="M20" s="231">
        <v>87.24</v>
      </c>
      <c r="N20" s="235"/>
      <c r="O20" s="231">
        <v>84.15</v>
      </c>
      <c r="P20" s="471"/>
      <c r="Q20" s="472"/>
      <c r="R20" s="471"/>
      <c r="S20" s="473"/>
      <c r="T20" s="474"/>
      <c r="U20" s="473"/>
      <c r="Y20">
        <v>16</v>
      </c>
      <c r="Z20" s="205" t="s">
        <v>749</v>
      </c>
      <c r="AA20" s="57" t="s">
        <v>745</v>
      </c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5"/>
      <c r="AM20" s="471"/>
      <c r="AN20" s="471"/>
      <c r="AO20" s="474"/>
      <c r="AQ20" t="s">
        <v>752</v>
      </c>
      <c r="AR20" t="s">
        <v>747</v>
      </c>
      <c r="AS20">
        <v>0.4958288611709048</v>
      </c>
      <c r="AT20">
        <v>0.37104761880595732</v>
      </c>
      <c r="AU20">
        <v>0.37034130988691044</v>
      </c>
      <c r="AV20">
        <v>0.35597969519962402</v>
      </c>
      <c r="AW20">
        <v>0.33926371744884781</v>
      </c>
      <c r="AX20">
        <v>0.32137055816632731</v>
      </c>
      <c r="AY20">
        <v>0.2966497459996868</v>
      </c>
      <c r="AZ20">
        <v>0.22554798148230149</v>
      </c>
      <c r="BA20">
        <v>0.20671307697438482</v>
      </c>
      <c r="BB20">
        <v>0.17916702913155672</v>
      </c>
      <c r="BC20">
        <v>0.18481750048393192</v>
      </c>
      <c r="BD20">
        <v>0.18152139219504651</v>
      </c>
    </row>
    <row r="21" spans="1:56">
      <c r="A21">
        <v>17</v>
      </c>
      <c r="B21" s="205" t="s">
        <v>749</v>
      </c>
      <c r="C21" s="57" t="s">
        <v>747</v>
      </c>
      <c r="D21" s="231">
        <v>83.03</v>
      </c>
      <c r="E21" s="231">
        <v>70.430000000000007</v>
      </c>
      <c r="F21" s="231">
        <v>69.709999999999994</v>
      </c>
      <c r="G21" s="231">
        <v>69.3</v>
      </c>
      <c r="H21" s="231">
        <v>68.709999999999994</v>
      </c>
      <c r="I21" s="231">
        <v>68.25</v>
      </c>
      <c r="J21" s="231">
        <v>67.599999999999994</v>
      </c>
      <c r="K21" s="231">
        <v>61.59</v>
      </c>
      <c r="L21" s="231">
        <v>63.18</v>
      </c>
      <c r="M21" s="231">
        <v>61.47</v>
      </c>
      <c r="N21" s="235"/>
      <c r="O21" s="231">
        <v>60.23</v>
      </c>
      <c r="P21" s="471"/>
      <c r="Q21" s="472"/>
      <c r="R21" s="471"/>
      <c r="S21" s="473"/>
      <c r="T21" s="474"/>
      <c r="U21" s="473"/>
      <c r="Y21">
        <v>17</v>
      </c>
      <c r="Z21" s="205" t="s">
        <v>749</v>
      </c>
      <c r="AA21" s="57" t="s">
        <v>747</v>
      </c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5"/>
      <c r="AM21" s="471"/>
      <c r="AN21" s="471"/>
      <c r="AO21" s="474"/>
      <c r="AQ21" t="s">
        <v>75</v>
      </c>
      <c r="AR21" t="s">
        <v>747</v>
      </c>
      <c r="AS21">
        <v>0.52808363514071177</v>
      </c>
      <c r="AT21">
        <v>0.34138264420598846</v>
      </c>
      <c r="AU21">
        <v>0.33926371744884781</v>
      </c>
      <c r="AV21">
        <v>0.31948706771553526</v>
      </c>
      <c r="AW21">
        <v>0.30300652627110852</v>
      </c>
      <c r="AX21">
        <v>0.28464249437588979</v>
      </c>
      <c r="AY21">
        <v>0.26627846248067111</v>
      </c>
      <c r="AZ21">
        <v>0.20106260562200959</v>
      </c>
      <c r="BA21">
        <v>0.1876427361601192</v>
      </c>
      <c r="BB21">
        <v>0.19282233489979619</v>
      </c>
      <c r="BC21">
        <v>0.15091467236968173</v>
      </c>
      <c r="BD21">
        <v>0.14290983795381709</v>
      </c>
    </row>
    <row r="22" spans="1:56">
      <c r="A22" s="213">
        <v>18</v>
      </c>
      <c r="B22" s="214" t="s">
        <v>750</v>
      </c>
      <c r="C22" s="240" t="s">
        <v>744</v>
      </c>
      <c r="D22" s="230">
        <v>71.63</v>
      </c>
      <c r="E22" s="230">
        <v>67.819999999999993</v>
      </c>
      <c r="F22" s="230">
        <v>67.55</v>
      </c>
      <c r="G22" s="230">
        <v>67.400000000000006</v>
      </c>
      <c r="H22" s="230">
        <v>67.02</v>
      </c>
      <c r="I22" s="230">
        <v>66.7</v>
      </c>
      <c r="J22" s="230">
        <v>66.08</v>
      </c>
      <c r="K22" s="230">
        <v>60.88</v>
      </c>
      <c r="L22" s="230">
        <v>61</v>
      </c>
      <c r="M22" s="230">
        <v>59.84</v>
      </c>
      <c r="N22" s="230">
        <v>60.02</v>
      </c>
      <c r="O22" s="216"/>
      <c r="P22" s="230">
        <v>59.78</v>
      </c>
      <c r="Q22" s="239"/>
      <c r="R22" s="230">
        <v>57.37</v>
      </c>
      <c r="S22" s="216"/>
      <c r="T22" s="215">
        <v>24.27</v>
      </c>
      <c r="U22" s="216"/>
      <c r="X22" s="243">
        <f>(R22-T22)/W6</f>
        <v>1.4452753405601468</v>
      </c>
      <c r="Y22" s="213">
        <v>18</v>
      </c>
      <c r="Z22" s="214" t="s">
        <v>750</v>
      </c>
      <c r="AA22" s="240" t="s">
        <v>744</v>
      </c>
      <c r="AB22" s="230">
        <f>(D22-R22)/(R22-T22)*X22</f>
        <v>0.62264732194524752</v>
      </c>
      <c r="AC22" s="230">
        <f>(E22-R22)/(R22-T22)*X22</f>
        <v>0.45628783410433627</v>
      </c>
      <c r="AD22" s="230">
        <f>(F22-R22)/(R22-T22)*X22</f>
        <v>0.44449857906049234</v>
      </c>
      <c r="AE22" s="230">
        <f>(G22-R22)/(R22-T22)*X22</f>
        <v>0.43794899292502376</v>
      </c>
      <c r="AF22" s="230">
        <f>(H22-R22)/(R22-T22)*X22</f>
        <v>0.42135670804850206</v>
      </c>
      <c r="AG22" s="230">
        <f>(I22-R22)/(R22-T22)*X22</f>
        <v>0.40738425762616853</v>
      </c>
      <c r="AH22" s="230">
        <f>(J22-R22)/(R22-T22)*X22</f>
        <v>0.38031263493289674</v>
      </c>
      <c r="AI22" s="230">
        <f>(K22-R22)/(R22-T22)*X22</f>
        <v>0.15326031556997352</v>
      </c>
      <c r="AJ22" s="230">
        <f>(L22-R22)/(R22-T22)*X22</f>
        <v>0.15849998447834857</v>
      </c>
      <c r="AK22" s="230">
        <f>(M22-R22)/(R22-T22)*X22</f>
        <v>0.10784985169738888</v>
      </c>
      <c r="AL22" s="478">
        <f>(N22-R22)/(R22-T22)*X22</f>
        <v>0.1157093550599516</v>
      </c>
      <c r="AM22" s="230">
        <f>(P22-R22)/(R22-T22)*X22</f>
        <v>0.1052300172432012</v>
      </c>
      <c r="AN22" s="230">
        <v>57.37</v>
      </c>
      <c r="AO22" s="215">
        <v>24.27</v>
      </c>
      <c r="AQ22" t="s">
        <v>75</v>
      </c>
      <c r="AR22" t="s">
        <v>745</v>
      </c>
      <c r="AS22">
        <v>0.58129224037557625</v>
      </c>
      <c r="AT22">
        <v>0.42166642467098298</v>
      </c>
      <c r="AU22">
        <v>0.41907662530114453</v>
      </c>
      <c r="AV22">
        <v>0.39412037682815493</v>
      </c>
      <c r="AW22">
        <v>0.36657432898532688</v>
      </c>
      <c r="AX22">
        <v>0.34538506141392089</v>
      </c>
      <c r="AY22">
        <v>0.32019337663458225</v>
      </c>
      <c r="AZ22">
        <v>0.26957457076955654</v>
      </c>
      <c r="BA22">
        <v>0.24885617581084804</v>
      </c>
      <c r="BB22">
        <v>0.24720812166640552</v>
      </c>
      <c r="BC22">
        <v>0.24979792103624404</v>
      </c>
      <c r="BD22">
        <v>0.22437079995055664</v>
      </c>
    </row>
    <row r="23" spans="1:56">
      <c r="A23" s="213">
        <v>19</v>
      </c>
      <c r="B23" s="214" t="s">
        <v>750</v>
      </c>
      <c r="C23" s="240" t="s">
        <v>745</v>
      </c>
      <c r="D23" s="230">
        <v>99.6</v>
      </c>
      <c r="E23" s="230">
        <v>95.56</v>
      </c>
      <c r="F23" s="230">
        <v>95.06</v>
      </c>
      <c r="G23" s="230">
        <v>94.71</v>
      </c>
      <c r="H23" s="230">
        <v>93.83</v>
      </c>
      <c r="I23" s="230">
        <v>93.19</v>
      </c>
      <c r="J23" s="230">
        <v>92.05</v>
      </c>
      <c r="K23" s="230">
        <v>85.28</v>
      </c>
      <c r="L23" s="230">
        <v>85.4</v>
      </c>
      <c r="M23" s="230">
        <v>83.87</v>
      </c>
      <c r="N23" s="230">
        <v>82.59</v>
      </c>
      <c r="O23" s="216"/>
      <c r="P23" s="230">
        <v>81.73</v>
      </c>
      <c r="Q23" s="239"/>
      <c r="R23" s="230">
        <v>79.06</v>
      </c>
      <c r="S23" s="216"/>
      <c r="T23" s="215">
        <v>20.37</v>
      </c>
      <c r="U23" s="216"/>
      <c r="X23" s="243">
        <f>(R23-T23)/W5</f>
        <v>1.3817756819620322</v>
      </c>
      <c r="Y23" s="213">
        <v>19</v>
      </c>
      <c r="Z23" s="214" t="s">
        <v>750</v>
      </c>
      <c r="AA23" s="240" t="s">
        <v>745</v>
      </c>
      <c r="AB23" s="230">
        <f>(D23-R23)/(R23-T23)*X23</f>
        <v>0.48358617324075875</v>
      </c>
      <c r="AC23" s="230">
        <f>(E23-R23)/(R23-T23)*X23</f>
        <v>0.38846990547578009</v>
      </c>
      <c r="AD23" s="230">
        <f>(F23-R23)/(R23-T23)*X23</f>
        <v>0.37669809015833217</v>
      </c>
      <c r="AE23" s="230">
        <f>(G23-R23)/(R23-T23)*X23</f>
        <v>0.36845781943611849</v>
      </c>
      <c r="AF23" s="230">
        <f>(H23-R23)/(R23-T23)*X23</f>
        <v>0.3477394244774103</v>
      </c>
      <c r="AG23" s="230">
        <f>(I23-R23)/(R23-T23)*X23</f>
        <v>0.332671500871077</v>
      </c>
      <c r="AH23" s="230">
        <f>(J23-R23)/(R23-T23)*X23</f>
        <v>0.30583176194729583</v>
      </c>
      <c r="AI23" s="230">
        <f>(K23-R23)/(R23-T23)*X23</f>
        <v>0.14644138254905162</v>
      </c>
      <c r="AJ23" s="230">
        <f>(L23-R23)/(R23-T23)*X23</f>
        <v>0.14926661822523921</v>
      </c>
      <c r="AK23" s="230">
        <f>(M23-R23)/(R23-T23)*X23</f>
        <v>0.11324486335384866</v>
      </c>
      <c r="AL23" s="478">
        <f>(N23-R23)/(R23-T23)*X23</f>
        <v>8.310901614118206E-2</v>
      </c>
      <c r="AM23" s="230">
        <f>(P23-R23)/(R23-T23)*X23</f>
        <v>6.2861493795171725E-2</v>
      </c>
      <c r="AN23" s="230">
        <v>79.06</v>
      </c>
      <c r="AO23" s="215">
        <v>20.37</v>
      </c>
      <c r="AQ23" t="s">
        <v>75</v>
      </c>
      <c r="AR23" t="s">
        <v>744</v>
      </c>
      <c r="AS23">
        <v>0.69294621313261417</v>
      </c>
      <c r="AT23">
        <v>0.33883192274159357</v>
      </c>
      <c r="AU23">
        <v>0.33795864459019759</v>
      </c>
      <c r="AV23">
        <v>0.31307021727541562</v>
      </c>
      <c r="AW23">
        <v>0.30040768408017565</v>
      </c>
      <c r="AX23">
        <v>0.27420933953829985</v>
      </c>
      <c r="AY23">
        <v>0.24844763407212214</v>
      </c>
      <c r="AZ23">
        <v>0.19386774960988096</v>
      </c>
      <c r="BA23">
        <v>0.17072587859789062</v>
      </c>
      <c r="BB23">
        <v>0.17989529918754718</v>
      </c>
      <c r="BC23">
        <v>0.11832918951413915</v>
      </c>
      <c r="BD23">
        <v>9.9553709259128181E-2</v>
      </c>
    </row>
    <row r="24" spans="1:56">
      <c r="A24" s="213">
        <v>20</v>
      </c>
      <c r="B24" s="214" t="s">
        <v>750</v>
      </c>
      <c r="C24" s="240" t="s">
        <v>747</v>
      </c>
      <c r="D24" s="230">
        <v>92.27</v>
      </c>
      <c r="E24" s="230">
        <v>85.52</v>
      </c>
      <c r="F24" s="230">
        <v>84.9</v>
      </c>
      <c r="G24" s="230">
        <v>84.61</v>
      </c>
      <c r="H24" s="230">
        <v>83.84</v>
      </c>
      <c r="I24" s="230">
        <v>83.12</v>
      </c>
      <c r="J24" s="230">
        <v>82.11</v>
      </c>
      <c r="K24" s="230">
        <v>80.040000000000006</v>
      </c>
      <c r="L24" s="230">
        <v>79.72</v>
      </c>
      <c r="M24" s="230">
        <v>78.77</v>
      </c>
      <c r="N24" s="230">
        <v>76.209999999999994</v>
      </c>
      <c r="O24" s="216"/>
      <c r="P24" s="230">
        <v>75.06</v>
      </c>
      <c r="Q24" s="239"/>
      <c r="R24" s="230">
        <v>66.930000000000007</v>
      </c>
      <c r="S24" s="216"/>
      <c r="T24" s="215">
        <v>19.93</v>
      </c>
      <c r="U24" s="216"/>
      <c r="X24" s="243">
        <f>(R24-T24)/W5</f>
        <v>1.1065506398401008</v>
      </c>
      <c r="Y24" s="213">
        <v>20</v>
      </c>
      <c r="Z24" s="214" t="s">
        <v>750</v>
      </c>
      <c r="AA24" s="240" t="s">
        <v>747</v>
      </c>
      <c r="AB24" s="230">
        <f>(D24-R24)/(R24-T24)*X24</f>
        <v>0.5965956002882582</v>
      </c>
      <c r="AC24" s="230">
        <f>(E24-R24)/(R24-T24)*X24</f>
        <v>0.43767609350271186</v>
      </c>
      <c r="AD24" s="230">
        <f>(F24-R24)/(R24-T24)*X24</f>
        <v>0.4230790425090768</v>
      </c>
      <c r="AE24" s="230">
        <f>(G24-R24)/(R24-T24)*X24</f>
        <v>0.41625138962495684</v>
      </c>
      <c r="AF24" s="230">
        <f>(H24-R24)/(R24-T24)*X24</f>
        <v>0.39812279403608725</v>
      </c>
      <c r="AG24" s="230">
        <f>(I24-R24)/(R24-T24)*X24</f>
        <v>0.38117137997896228</v>
      </c>
      <c r="AH24" s="230">
        <f>(J24-R24)/(R24-T24)*X24</f>
        <v>0.3573923130377174</v>
      </c>
      <c r="AI24" s="230">
        <f>(K24-R24)/(R24-T24)*X24</f>
        <v>0.30865699762348336</v>
      </c>
      <c r="AJ24" s="230">
        <f>(L24-R24)/(R24-T24)*X24</f>
        <v>0.30112303582031658</v>
      </c>
      <c r="AK24" s="230">
        <f>(M24-R24)/(R24-T24)*X24</f>
        <v>0.27875658671716552</v>
      </c>
      <c r="AL24" s="478">
        <f>(N24-R24)/(R24-T24)*X24</f>
        <v>0.21848489229183232</v>
      </c>
      <c r="AM24" s="230">
        <f>(P24-R24)/(R24-T24)*X24</f>
        <v>0.1914097170617024</v>
      </c>
      <c r="AN24" s="230">
        <v>66.930000000000007</v>
      </c>
      <c r="AO24" s="215">
        <v>19.93</v>
      </c>
      <c r="AQ24" t="s">
        <v>754</v>
      </c>
      <c r="AR24" t="s">
        <v>747</v>
      </c>
      <c r="AS24">
        <v>0.66887454633738841</v>
      </c>
      <c r="AT24">
        <v>0.34232438943138449</v>
      </c>
      <c r="AU24">
        <v>0.33902828114249906</v>
      </c>
      <c r="AV24">
        <v>0.32089968555362908</v>
      </c>
      <c r="AW24">
        <v>0.31925163140918655</v>
      </c>
      <c r="AX24">
        <v>0.28417162176319199</v>
      </c>
      <c r="AY24">
        <v>0.26251148157908782</v>
      </c>
      <c r="AZ24">
        <v>0.25356490193782733</v>
      </c>
      <c r="BA24">
        <v>0.19776649733312429</v>
      </c>
      <c r="BB24">
        <v>0.19517669796328577</v>
      </c>
      <c r="BC24">
        <v>0.1396137296649318</v>
      </c>
      <c r="BD24">
        <v>0.1266647328157392</v>
      </c>
    </row>
    <row r="25" spans="1:56">
      <c r="A25">
        <v>21</v>
      </c>
      <c r="B25" s="210" t="s">
        <v>755</v>
      </c>
      <c r="C25" s="57" t="s">
        <v>747</v>
      </c>
      <c r="D25" s="231">
        <v>74.64</v>
      </c>
      <c r="E25" s="231">
        <v>60.8</v>
      </c>
      <c r="F25" s="231">
        <v>60.22</v>
      </c>
      <c r="G25" s="231">
        <v>59.34</v>
      </c>
      <c r="H25" s="231">
        <v>58.73</v>
      </c>
      <c r="I25" s="231">
        <v>57.91</v>
      </c>
      <c r="J25" s="231">
        <v>57.01</v>
      </c>
      <c r="K25" s="242">
        <v>57.64</v>
      </c>
      <c r="L25" s="233">
        <v>54.3</v>
      </c>
      <c r="M25" s="231">
        <v>53.13</v>
      </c>
      <c r="N25" s="236"/>
      <c r="O25">
        <v>53.88</v>
      </c>
      <c r="P25" s="236"/>
      <c r="Q25" s="279"/>
      <c r="R25" s="236"/>
      <c r="T25" s="212"/>
      <c r="Y25">
        <v>21</v>
      </c>
      <c r="Z25" s="210" t="s">
        <v>755</v>
      </c>
      <c r="AA25" s="57" t="s">
        <v>747</v>
      </c>
      <c r="AB25" s="231"/>
      <c r="AC25" s="231"/>
      <c r="AD25" s="231"/>
      <c r="AE25" s="231"/>
      <c r="AF25" s="231"/>
      <c r="AG25" s="231"/>
      <c r="AH25" s="231"/>
      <c r="AI25" s="242"/>
      <c r="AJ25" s="233"/>
      <c r="AK25" s="231"/>
      <c r="AL25" s="236"/>
      <c r="AM25" s="236"/>
      <c r="AN25" s="236"/>
      <c r="AO25" s="212"/>
      <c r="AQ25" t="s">
        <v>754</v>
      </c>
      <c r="AR25" t="s">
        <v>745</v>
      </c>
      <c r="AS25">
        <v>0.67687938075325316</v>
      </c>
      <c r="AT25">
        <v>0.35833405826311343</v>
      </c>
      <c r="AU25">
        <v>0.34750398817106154</v>
      </c>
      <c r="AV25">
        <v>0.32984626519488969</v>
      </c>
      <c r="AW25">
        <v>0.33031713780758754</v>
      </c>
      <c r="AX25">
        <v>0.29476625554889485</v>
      </c>
      <c r="AY25">
        <v>0.2667493350933689</v>
      </c>
      <c r="AZ25">
        <v>0.25403577455052506</v>
      </c>
      <c r="BA25">
        <v>0.2236644910315097</v>
      </c>
      <c r="BB25">
        <v>0.21824945598548359</v>
      </c>
      <c r="BC25">
        <v>0.17469373931092658</v>
      </c>
      <c r="BD25">
        <v>0.15232729020777552</v>
      </c>
    </row>
    <row r="26" spans="1:56">
      <c r="A26" s="213">
        <v>22</v>
      </c>
      <c r="B26" s="245" t="s">
        <v>751</v>
      </c>
      <c r="C26" s="240" t="s">
        <v>744</v>
      </c>
      <c r="D26" s="230">
        <v>57.85</v>
      </c>
      <c r="E26" s="230">
        <v>48.59</v>
      </c>
      <c r="F26" s="230">
        <v>48.14</v>
      </c>
      <c r="G26" s="230">
        <v>47.67</v>
      </c>
      <c r="H26" s="230">
        <v>47.01</v>
      </c>
      <c r="I26" s="230">
        <v>46.59</v>
      </c>
      <c r="J26" s="230">
        <v>46.12</v>
      </c>
      <c r="K26" s="230">
        <v>44.92</v>
      </c>
      <c r="L26" s="230">
        <v>43.68</v>
      </c>
      <c r="M26" s="230">
        <v>42.9</v>
      </c>
      <c r="N26" s="243">
        <v>44.13</v>
      </c>
      <c r="O26" s="216"/>
      <c r="P26" s="230">
        <v>43.6</v>
      </c>
      <c r="Q26" s="239"/>
      <c r="R26" s="230">
        <v>39.64</v>
      </c>
      <c r="S26" s="216"/>
      <c r="T26" s="215">
        <v>24.64</v>
      </c>
      <c r="U26" s="216"/>
      <c r="X26" s="243">
        <f>(R26-T26)/W6</f>
        <v>0.65495861354689444</v>
      </c>
      <c r="Y26" s="213">
        <v>22</v>
      </c>
      <c r="Z26" s="245" t="s">
        <v>751</v>
      </c>
      <c r="AA26" s="240" t="s">
        <v>744</v>
      </c>
      <c r="AB26" s="230">
        <f t="shared" ref="AB26:AB34" si="0">(D26-R26)/(R26-T26)*X26</f>
        <v>0.79511975684592984</v>
      </c>
      <c r="AC26" s="230">
        <f t="shared" ref="AC26:AC34" si="1">(E26-R26)/(R26-T26)*X26</f>
        <v>0.39079197274964717</v>
      </c>
      <c r="AD26" s="230">
        <f t="shared" ref="AD26:AD34" si="2">(F26-R26)/(R26-T26)*X26</f>
        <v>0.37114321434324016</v>
      </c>
      <c r="AE26" s="230">
        <f t="shared" ref="AE26:AE34" si="3">(G26-R26)/(R26-T26)*X26</f>
        <v>0.35062117778543755</v>
      </c>
      <c r="AF26" s="230">
        <f t="shared" ref="AF26:AF34" si="4">(H26-R26)/(R26-T26)*X26</f>
        <v>0.32180299878937402</v>
      </c>
      <c r="AG26" s="230">
        <f t="shared" ref="AG26:AG34" si="5">(I26-R26)/(R26-T26)*X26</f>
        <v>0.30346415761006124</v>
      </c>
      <c r="AH26" s="230">
        <f>(J26-R26)/(R26-T26)*X26</f>
        <v>0.28294212105225824</v>
      </c>
      <c r="AI26" s="230">
        <f>(K26-R26)/(R26-T26)*X26</f>
        <v>0.23054543196850691</v>
      </c>
      <c r="AJ26" s="230">
        <f>(L26-R26)/(R26-T26)*X26</f>
        <v>0.17640218658196352</v>
      </c>
      <c r="AK26" s="230">
        <f>(M26-R26)/(R26-T26)*X26</f>
        <v>0.14234433867752497</v>
      </c>
      <c r="AL26" s="243">
        <f>(N26-R26-0.79)/(R26-T26)*X26</f>
        <v>0.16155645800823404</v>
      </c>
      <c r="AM26" s="230">
        <f>(P26-R26-0.79)/(R26-T26)*X26</f>
        <v>0.13841458699624373</v>
      </c>
      <c r="AN26" s="230">
        <v>39.64</v>
      </c>
      <c r="AO26" s="215">
        <v>24.64</v>
      </c>
      <c r="AQ26" t="s">
        <v>754</v>
      </c>
      <c r="AR26" t="s">
        <v>744</v>
      </c>
      <c r="AS26" s="486"/>
      <c r="AT26" s="486"/>
      <c r="AU26" s="486"/>
      <c r="AV26" s="486"/>
      <c r="AW26" s="486"/>
      <c r="AX26" s="486"/>
      <c r="AY26" s="486"/>
      <c r="AZ26" s="486"/>
      <c r="BA26" s="486"/>
      <c r="BB26" s="486"/>
      <c r="BC26" s="486"/>
      <c r="BD26" s="486"/>
    </row>
    <row r="27" spans="1:56">
      <c r="A27" s="213">
        <v>23</v>
      </c>
      <c r="B27" s="214" t="s">
        <v>751</v>
      </c>
      <c r="C27" s="240" t="s">
        <v>745</v>
      </c>
      <c r="D27" s="230">
        <v>73.010000000000005</v>
      </c>
      <c r="E27" s="230">
        <v>56.41</v>
      </c>
      <c r="F27" s="230">
        <v>55.85</v>
      </c>
      <c r="G27" s="230">
        <v>55.38</v>
      </c>
      <c r="H27" s="230">
        <v>54.42</v>
      </c>
      <c r="I27" s="230">
        <v>53.88</v>
      </c>
      <c r="J27" s="242">
        <v>54.1</v>
      </c>
      <c r="K27" s="232">
        <v>53.12</v>
      </c>
      <c r="L27" s="232">
        <v>51.01</v>
      </c>
      <c r="M27" s="230">
        <v>49.77</v>
      </c>
      <c r="N27" s="230">
        <v>49.62</v>
      </c>
      <c r="O27" s="216"/>
      <c r="P27" s="230">
        <v>49.4</v>
      </c>
      <c r="Q27" s="239"/>
      <c r="R27" s="230">
        <v>42.98</v>
      </c>
      <c r="S27" s="216"/>
      <c r="T27" s="215">
        <v>20.149999999999999</v>
      </c>
      <c r="U27" s="216"/>
      <c r="X27" s="243">
        <f>(R27-T27)/W5</f>
        <v>0.53750108739467017</v>
      </c>
      <c r="Y27" s="213">
        <v>23</v>
      </c>
      <c r="Z27" s="214" t="s">
        <v>751</v>
      </c>
      <c r="AA27" s="240" t="s">
        <v>745</v>
      </c>
      <c r="AB27" s="230">
        <f t="shared" si="0"/>
        <v>0.70701522796591987</v>
      </c>
      <c r="AC27" s="230">
        <f t="shared" si="1"/>
        <v>0.31619095942665004</v>
      </c>
      <c r="AD27" s="230">
        <f t="shared" si="2"/>
        <v>0.30300652627110858</v>
      </c>
      <c r="AE27" s="230">
        <f t="shared" si="3"/>
        <v>0.29194101987270754</v>
      </c>
      <c r="AF27" s="230">
        <f t="shared" si="4"/>
        <v>0.26933913446320762</v>
      </c>
      <c r="AG27" s="230">
        <f t="shared" si="5"/>
        <v>0.25662557392036395</v>
      </c>
      <c r="AH27" s="242">
        <f>(J27-R27-0.9)/(R27-T27)*X27</f>
        <v>0.24061590508863476</v>
      </c>
      <c r="AI27" s="230">
        <f>(K27-R27-0.9)/(R27-T27)*X27</f>
        <v>0.21754314706643682</v>
      </c>
      <c r="AJ27" s="230">
        <f>(L27-R27-0.9)/(R27-T27)*X27</f>
        <v>0.16786608642680681</v>
      </c>
      <c r="AK27" s="230">
        <f>(M27-R27-0.9)/(R27-T27)*X27</f>
        <v>0.13867198443953618</v>
      </c>
      <c r="AL27" s="478">
        <f>(N27-R27-0.9)/(R27-T27)*X27</f>
        <v>0.13514043984430166</v>
      </c>
      <c r="AM27" s="230">
        <f>(P27-R27-0.9)/(R27-T27)*X27</f>
        <v>0.12996084110462464</v>
      </c>
      <c r="AN27" s="230">
        <v>42.98</v>
      </c>
      <c r="AO27" s="215">
        <v>20.149999999999999</v>
      </c>
    </row>
    <row r="28" spans="1:56">
      <c r="A28" s="213">
        <v>24</v>
      </c>
      <c r="B28" s="214" t="s">
        <v>751</v>
      </c>
      <c r="C28" s="240" t="s">
        <v>747</v>
      </c>
      <c r="D28" s="230">
        <v>75.55</v>
      </c>
      <c r="E28" s="230">
        <v>58.22</v>
      </c>
      <c r="F28" s="230">
        <v>58.07</v>
      </c>
      <c r="G28" s="230">
        <v>57.12</v>
      </c>
      <c r="H28" s="230">
        <v>56.3</v>
      </c>
      <c r="I28" s="230">
        <v>55.52</v>
      </c>
      <c r="J28" s="242">
        <v>55.06</v>
      </c>
      <c r="K28" s="232">
        <v>54.75</v>
      </c>
      <c r="L28" s="232">
        <v>53.31</v>
      </c>
      <c r="M28" s="230">
        <v>52.17</v>
      </c>
      <c r="N28" s="230">
        <v>51.74</v>
      </c>
      <c r="O28" s="216"/>
      <c r="P28" s="230">
        <v>51.39</v>
      </c>
      <c r="Q28" s="239"/>
      <c r="R28" s="230">
        <v>43.89</v>
      </c>
      <c r="S28" s="216"/>
      <c r="T28" s="215">
        <v>20.61</v>
      </c>
      <c r="U28" s="216"/>
      <c r="X28" s="243">
        <f>(R28-T28)/W5</f>
        <v>0.54809572118037331</v>
      </c>
      <c r="Y28" s="213">
        <v>24</v>
      </c>
      <c r="Z28" s="214" t="s">
        <v>751</v>
      </c>
      <c r="AA28" s="240" t="s">
        <v>747</v>
      </c>
      <c r="AB28" s="230">
        <f t="shared" si="0"/>
        <v>0.7453913459007997</v>
      </c>
      <c r="AC28" s="230">
        <f t="shared" si="1"/>
        <v>0.3373802269980562</v>
      </c>
      <c r="AD28" s="230">
        <f t="shared" si="2"/>
        <v>0.33384868240282184</v>
      </c>
      <c r="AE28" s="230">
        <f t="shared" si="3"/>
        <v>0.31148223329967084</v>
      </c>
      <c r="AF28" s="230">
        <f t="shared" si="4"/>
        <v>0.2921764561790563</v>
      </c>
      <c r="AG28" s="230">
        <f t="shared" si="5"/>
        <v>0.27381242428383779</v>
      </c>
      <c r="AH28" s="242">
        <f>(J28-R28-0.89)/(R28-T28)*X28</f>
        <v>0.24202852292672844</v>
      </c>
      <c r="AI28" s="230">
        <f>(K28-R28-0.89)/(R28-T28)*X28</f>
        <v>0.23472999742991069</v>
      </c>
      <c r="AJ28" s="230">
        <f>(L28-R28-0.89)/(R28-T28)*X28</f>
        <v>0.20082716931566086</v>
      </c>
      <c r="AK28" s="230">
        <f>(M28-R28-0.89)/(R28-T28)*X28</f>
        <v>0.17398743039187969</v>
      </c>
      <c r="AL28" s="478">
        <f>(N28-R28-0.89)/(R28-T28)*X28</f>
        <v>0.16386366921887452</v>
      </c>
      <c r="AM28" s="230">
        <f>(P28-R28-0.89)/(R28-T28)*X28</f>
        <v>0.15562339849666099</v>
      </c>
      <c r="AN28" s="230">
        <v>43.89</v>
      </c>
      <c r="AO28" s="215">
        <v>20.61</v>
      </c>
    </row>
    <row r="29" spans="1:56">
      <c r="A29">
        <v>25</v>
      </c>
      <c r="B29" s="210" t="s">
        <v>760</v>
      </c>
      <c r="C29" s="57" t="s">
        <v>744</v>
      </c>
      <c r="D29" s="231">
        <v>61.1</v>
      </c>
      <c r="E29" s="231">
        <v>53.32</v>
      </c>
      <c r="F29" s="231">
        <v>52.64</v>
      </c>
      <c r="G29" s="231">
        <v>52.13</v>
      </c>
      <c r="H29" s="231">
        <v>51.37</v>
      </c>
      <c r="I29" s="231">
        <v>50.54</v>
      </c>
      <c r="J29" s="231">
        <v>50.09</v>
      </c>
      <c r="K29" s="243">
        <v>49.8</v>
      </c>
      <c r="L29" s="231">
        <v>48.27</v>
      </c>
      <c r="M29" s="231">
        <v>47.49</v>
      </c>
      <c r="N29" s="231">
        <v>47.53</v>
      </c>
      <c r="O29" s="212"/>
      <c r="P29" s="231">
        <v>47.43</v>
      </c>
      <c r="Q29" s="236"/>
      <c r="R29" s="231">
        <v>44.63</v>
      </c>
      <c r="S29" s="212"/>
      <c r="T29" s="204">
        <v>23.88</v>
      </c>
      <c r="U29" s="212"/>
      <c r="X29" s="243">
        <f>(R29-T29)/W6</f>
        <v>0.90602608207320412</v>
      </c>
      <c r="Y29">
        <v>25</v>
      </c>
      <c r="Z29" s="210" t="s">
        <v>760</v>
      </c>
      <c r="AA29" s="57" t="s">
        <v>744</v>
      </c>
      <c r="AB29" s="230">
        <f t="shared" si="0"/>
        <v>0.71914455767449004</v>
      </c>
      <c r="AC29" s="230">
        <f t="shared" si="1"/>
        <v>0.37943935678150076</v>
      </c>
      <c r="AD29" s="230">
        <f t="shared" si="2"/>
        <v>0.34974789963404157</v>
      </c>
      <c r="AE29" s="230">
        <f t="shared" si="3"/>
        <v>0.32747930677344722</v>
      </c>
      <c r="AF29" s="230">
        <f t="shared" si="4"/>
        <v>0.29429473702040437</v>
      </c>
      <c r="AG29" s="230">
        <f t="shared" si="5"/>
        <v>0.25805369373747628</v>
      </c>
      <c r="AH29" s="230">
        <f t="shared" ref="AH29:AH34" si="6">(J29-R29)/(R29-T29)*X29</f>
        <v>0.23840493533106963</v>
      </c>
      <c r="AI29" s="243">
        <f>(K29-R29-0.89)/(R29-T29)*X29</f>
        <v>0.18688152439871367</v>
      </c>
      <c r="AJ29" s="230">
        <f>(L29-R29-0.89)/(R29-T29)*X29</f>
        <v>0.12007574581693067</v>
      </c>
      <c r="AK29" s="230">
        <f>(M29-R29--0.89)/(R29-T29)*X29</f>
        <v>0.16373965338672358</v>
      </c>
      <c r="AL29" s="478">
        <f>(N29-R29--0.89)/(R29-T29)*X29</f>
        <v>0.16548620968951527</v>
      </c>
      <c r="AM29" s="230">
        <f>(P29-R29--0.89)/(R29-T29)*X29</f>
        <v>0.16111981893253591</v>
      </c>
      <c r="AN29" s="231">
        <v>44.63</v>
      </c>
      <c r="AO29" s="204">
        <v>23.88</v>
      </c>
      <c r="AR29" s="422" t="s">
        <v>730</v>
      </c>
      <c r="AS29" s="484" t="s">
        <v>729</v>
      </c>
      <c r="AT29" s="422" t="s">
        <v>732</v>
      </c>
      <c r="AU29" s="422" t="s">
        <v>733</v>
      </c>
      <c r="AV29" s="422" t="s">
        <v>734</v>
      </c>
      <c r="AW29" s="422" t="s">
        <v>735</v>
      </c>
      <c r="AX29" s="422" t="s">
        <v>736</v>
      </c>
      <c r="AY29" s="422" t="s">
        <v>737</v>
      </c>
      <c r="AZ29" s="422" t="s">
        <v>740</v>
      </c>
      <c r="BA29" s="422" t="s">
        <v>739</v>
      </c>
      <c r="BB29" s="422" t="s">
        <v>738</v>
      </c>
      <c r="BC29" s="422" t="s">
        <v>741</v>
      </c>
      <c r="BD29" s="485" t="s">
        <v>742</v>
      </c>
    </row>
    <row r="30" spans="1:56">
      <c r="A30">
        <v>26</v>
      </c>
      <c r="B30" s="210" t="s">
        <v>760</v>
      </c>
      <c r="C30" s="57" t="s">
        <v>745</v>
      </c>
      <c r="D30" s="231">
        <v>77.34</v>
      </c>
      <c r="E30" s="231">
        <v>64.78</v>
      </c>
      <c r="F30" s="231">
        <v>63.77</v>
      </c>
      <c r="G30" s="231">
        <v>63.01</v>
      </c>
      <c r="H30" s="231">
        <v>61.99</v>
      </c>
      <c r="I30" s="231">
        <v>61.08</v>
      </c>
      <c r="J30" s="231">
        <v>60.12</v>
      </c>
      <c r="K30" s="231">
        <v>58.71</v>
      </c>
      <c r="L30" s="231">
        <v>57.88</v>
      </c>
      <c r="M30" s="231">
        <v>57.16</v>
      </c>
      <c r="N30" s="231">
        <v>57.65</v>
      </c>
      <c r="O30" s="212"/>
      <c r="P30" s="231">
        <v>57.33</v>
      </c>
      <c r="Q30" s="236"/>
      <c r="R30" s="231">
        <v>52.27</v>
      </c>
      <c r="S30" s="212"/>
      <c r="T30" s="204">
        <v>20.69</v>
      </c>
      <c r="U30" s="212"/>
      <c r="X30" s="243">
        <f>(R30-T30)/W5</f>
        <v>0.74350785545000819</v>
      </c>
      <c r="Y30">
        <v>26</v>
      </c>
      <c r="Z30" s="210" t="s">
        <v>760</v>
      </c>
      <c r="AA30" s="57" t="s">
        <v>745</v>
      </c>
      <c r="AB30" s="230">
        <f t="shared" si="0"/>
        <v>0.59023882001683681</v>
      </c>
      <c r="AC30" s="230">
        <f t="shared" si="1"/>
        <v>0.29453081924254593</v>
      </c>
      <c r="AD30" s="230">
        <f t="shared" si="2"/>
        <v>0.27075175230130127</v>
      </c>
      <c r="AE30" s="230">
        <f t="shared" si="3"/>
        <v>0.25285859301878033</v>
      </c>
      <c r="AF30" s="230">
        <f t="shared" si="4"/>
        <v>0.22884408977118675</v>
      </c>
      <c r="AG30" s="230">
        <f t="shared" si="5"/>
        <v>0.20741938589343153</v>
      </c>
      <c r="AH30" s="230">
        <f t="shared" si="6"/>
        <v>0.18481750048393158</v>
      </c>
      <c r="AI30" s="230">
        <f>(K30-R30)/(R30-T30)*X30</f>
        <v>0.15162098128872864</v>
      </c>
      <c r="AJ30" s="230">
        <f>(L30-R30)/(R30-T30)*X30</f>
        <v>0.1320797678617652</v>
      </c>
      <c r="AK30" s="230">
        <f>(M30-R30)/(R30-T30)*X30</f>
        <v>0.11512835380464012</v>
      </c>
      <c r="AL30" s="478">
        <f>(N30-R30)/(R30-T30)*X30</f>
        <v>0.12666473281573909</v>
      </c>
      <c r="AM30" s="230">
        <f>(P30-R30)/(R30-T30)*X30</f>
        <v>0.11913077101257243</v>
      </c>
      <c r="AN30" s="231">
        <v>52.27</v>
      </c>
      <c r="AO30" s="204">
        <v>20.69</v>
      </c>
      <c r="AQ30" t="s">
        <v>768</v>
      </c>
      <c r="AR30" t="s">
        <v>744</v>
      </c>
      <c r="AS30">
        <v>0.69163629590552067</v>
      </c>
      <c r="AT30">
        <v>0.50955780133948381</v>
      </c>
      <c r="AU30">
        <v>0.47375339713225362</v>
      </c>
      <c r="AV30">
        <v>0.43663907569792954</v>
      </c>
      <c r="AW30">
        <v>0.44187874460630461</v>
      </c>
      <c r="AX30">
        <v>0.40345450594488702</v>
      </c>
      <c r="AY30">
        <v>0.34232503534717695</v>
      </c>
      <c r="AZ30">
        <v>0.2951680151718003</v>
      </c>
      <c r="BA30">
        <v>0.26067352819166395</v>
      </c>
      <c r="BB30">
        <v>0.26984294878132042</v>
      </c>
      <c r="BD30">
        <v>9.256748404796096E-2</v>
      </c>
    </row>
    <row r="31" spans="1:56">
      <c r="A31">
        <v>27</v>
      </c>
      <c r="B31" s="210" t="s">
        <v>760</v>
      </c>
      <c r="C31" s="57" t="s">
        <v>747</v>
      </c>
      <c r="D31" s="231">
        <v>80.02</v>
      </c>
      <c r="E31" s="231">
        <v>65.650000000000006</v>
      </c>
      <c r="F31" s="231">
        <v>64.73</v>
      </c>
      <c r="G31" s="231">
        <v>63.34</v>
      </c>
      <c r="H31" s="231">
        <v>63.5</v>
      </c>
      <c r="I31" s="231">
        <v>62.48</v>
      </c>
      <c r="J31" s="231">
        <v>61.58</v>
      </c>
      <c r="K31" s="231">
        <v>59.4</v>
      </c>
      <c r="L31" s="243">
        <v>58</v>
      </c>
      <c r="M31" s="231">
        <v>56.92</v>
      </c>
      <c r="N31" s="231">
        <v>58.55</v>
      </c>
      <c r="O31" s="212"/>
      <c r="P31" s="231">
        <v>57.99</v>
      </c>
      <c r="Q31" s="236"/>
      <c r="R31" s="231">
        <v>52.01</v>
      </c>
      <c r="S31" s="212"/>
      <c r="T31" s="204">
        <v>19.96</v>
      </c>
      <c r="U31" s="212"/>
      <c r="X31" s="243">
        <f>(R31-T31)/W5</f>
        <v>0.75457336184840906</v>
      </c>
      <c r="Y31">
        <v>27</v>
      </c>
      <c r="Z31" s="210" t="s">
        <v>760</v>
      </c>
      <c r="AA31" s="57" t="s">
        <v>747</v>
      </c>
      <c r="AB31" s="230">
        <f t="shared" si="0"/>
        <v>0.65945709408343023</v>
      </c>
      <c r="AC31" s="230">
        <f t="shared" si="1"/>
        <v>0.32113512185997833</v>
      </c>
      <c r="AD31" s="230">
        <f t="shared" si="2"/>
        <v>0.29947498167587422</v>
      </c>
      <c r="AE31" s="230">
        <f t="shared" si="3"/>
        <v>0.26674933509336907</v>
      </c>
      <c r="AF31" s="230">
        <f t="shared" si="4"/>
        <v>0.27051631599495235</v>
      </c>
      <c r="AG31" s="230">
        <f t="shared" si="5"/>
        <v>0.24650181274735858</v>
      </c>
      <c r="AH31" s="230">
        <f t="shared" si="6"/>
        <v>0.22531254517595245</v>
      </c>
      <c r="AI31" s="230">
        <f>(K31-R31)/(R31-T31)*X31</f>
        <v>0.17398743039187967</v>
      </c>
      <c r="AJ31" s="243">
        <f>(L31-R31-0.9)/(R31-T31)*X31</f>
        <v>0.11983707993161946</v>
      </c>
      <c r="AK31" s="230">
        <f>(M31-R31-0.9)/(R31-T31)*X31</f>
        <v>9.4409958845932077E-2</v>
      </c>
      <c r="AL31" s="478">
        <f>(N31-R31-0.9)/(R31-T31)*X31</f>
        <v>0.13278607678081206</v>
      </c>
      <c r="AM31" s="230">
        <f>(P31-R31-0.9)/(R31-T31)*X31</f>
        <v>0.11960164362527055</v>
      </c>
      <c r="AN31" s="231">
        <v>52.01</v>
      </c>
      <c r="AO31" s="204">
        <v>19.96</v>
      </c>
      <c r="AQ31" t="s">
        <v>768</v>
      </c>
      <c r="AR31" t="s">
        <v>747</v>
      </c>
      <c r="AS31">
        <v>0.60248150794698241</v>
      </c>
      <c r="AT31">
        <v>0.34303069835043121</v>
      </c>
      <c r="AU31">
        <v>0.31524921420125418</v>
      </c>
      <c r="AV31">
        <v>0.28511336698858764</v>
      </c>
      <c r="AW31">
        <v>0.26816195293146272</v>
      </c>
      <c r="AX31">
        <v>0.26510128094892621</v>
      </c>
      <c r="AY31">
        <v>0.25121053887433775</v>
      </c>
      <c r="AZ31">
        <v>0.22813778085213984</v>
      </c>
      <c r="BA31">
        <v>0.21071549418231711</v>
      </c>
      <c r="BB31">
        <v>0.20506502282994207</v>
      </c>
      <c r="BD31">
        <v>8.5698815511020557E-2</v>
      </c>
    </row>
    <row r="32" spans="1:56" ht="75">
      <c r="A32" s="213">
        <v>28</v>
      </c>
      <c r="B32" s="214" t="s">
        <v>752</v>
      </c>
      <c r="C32" s="240" t="s">
        <v>744</v>
      </c>
      <c r="D32" s="230">
        <v>70.010000000000005</v>
      </c>
      <c r="E32" s="230">
        <v>64.94</v>
      </c>
      <c r="F32" s="230">
        <v>64.819999999999993</v>
      </c>
      <c r="G32" s="230">
        <v>64.349999999999994</v>
      </c>
      <c r="H32" s="230">
        <v>63.97</v>
      </c>
      <c r="I32" s="230">
        <v>63.57</v>
      </c>
      <c r="J32" s="230">
        <v>62.84</v>
      </c>
      <c r="K32" s="230">
        <v>61.59</v>
      </c>
      <c r="L32" s="479">
        <v>59</v>
      </c>
      <c r="M32" s="479">
        <v>57.57</v>
      </c>
      <c r="N32" s="479">
        <v>59.98</v>
      </c>
      <c r="O32" s="216"/>
      <c r="P32" s="479">
        <v>59.7</v>
      </c>
      <c r="Q32" s="239"/>
      <c r="R32" s="230">
        <v>54.45</v>
      </c>
      <c r="S32" s="216"/>
      <c r="T32" s="215">
        <v>24.75</v>
      </c>
      <c r="U32" s="216"/>
      <c r="V32" s="520" t="s">
        <v>981</v>
      </c>
      <c r="X32" s="243">
        <f>(R32-T32)/W6</f>
        <v>1.296818054822851</v>
      </c>
      <c r="Y32" s="213">
        <v>28</v>
      </c>
      <c r="Z32" s="214" t="s">
        <v>752</v>
      </c>
      <c r="AA32" s="240" t="s">
        <v>744</v>
      </c>
      <c r="AB32" s="230">
        <f t="shared" si="0"/>
        <v>0.67941040178597856</v>
      </c>
      <c r="AC32" s="230">
        <f t="shared" si="1"/>
        <v>0.4580343904071279</v>
      </c>
      <c r="AD32" s="230">
        <f t="shared" si="2"/>
        <v>0.45279472149875249</v>
      </c>
      <c r="AE32" s="230">
        <f t="shared" si="3"/>
        <v>0.43227268494094995</v>
      </c>
      <c r="AF32" s="230">
        <f t="shared" si="4"/>
        <v>0.4156804000644288</v>
      </c>
      <c r="AG32" s="230">
        <f t="shared" si="5"/>
        <v>0.39821483703651162</v>
      </c>
      <c r="AH32" s="230">
        <f t="shared" si="6"/>
        <v>0.36634018451056288</v>
      </c>
      <c r="AI32" s="230">
        <f>(K32-R32)/(R32-T32)*X32</f>
        <v>0.31176030004832173</v>
      </c>
      <c r="AJ32" s="487">
        <f>(L32-R32)/(R32-T32)*X32</f>
        <v>0.19867077944255782</v>
      </c>
      <c r="AK32" s="487">
        <f>(M32-R32)/(R32-T32)*X32</f>
        <v>0.13623139161775391</v>
      </c>
      <c r="AL32" s="487">
        <f>(N32-R32)/(R32-T32)*X32</f>
        <v>0.2414614088609548</v>
      </c>
      <c r="AM32" s="479">
        <f>(P32-R32)/(R32-T32)*X32</f>
        <v>0.22923551474141302</v>
      </c>
      <c r="AN32" s="230">
        <v>54.45</v>
      </c>
      <c r="AO32" s="215">
        <v>24.75</v>
      </c>
      <c r="AQ32" t="s">
        <v>768</v>
      </c>
      <c r="AR32" t="s">
        <v>745</v>
      </c>
      <c r="AS32">
        <v>0.494180807026462</v>
      </c>
      <c r="AT32">
        <v>0.29853323645047825</v>
      </c>
      <c r="AU32">
        <v>0.26910369815685853</v>
      </c>
      <c r="AV32">
        <v>0.25285859301878055</v>
      </c>
      <c r="AW32">
        <v>0.24320570445847317</v>
      </c>
      <c r="AX32">
        <v>0.23472999742991071</v>
      </c>
      <c r="AY32">
        <v>0.22978583499658256</v>
      </c>
      <c r="AZ32">
        <v>0.21636596553469215</v>
      </c>
      <c r="BA32">
        <v>0.17775441129346312</v>
      </c>
      <c r="BB32">
        <v>0.17610635714902037</v>
      </c>
      <c r="BD32">
        <v>9.0407541637999758E-2</v>
      </c>
    </row>
    <row r="33" spans="1:56">
      <c r="A33" s="213">
        <v>29</v>
      </c>
      <c r="B33" s="214" t="s">
        <v>752</v>
      </c>
      <c r="C33" s="240" t="s">
        <v>745</v>
      </c>
      <c r="D33" s="230">
        <v>108.66</v>
      </c>
      <c r="E33" s="230">
        <v>103.27</v>
      </c>
      <c r="F33" s="230">
        <v>103.12</v>
      </c>
      <c r="G33" s="230">
        <v>102.29</v>
      </c>
      <c r="H33" s="230">
        <v>101.43</v>
      </c>
      <c r="I33" s="230">
        <v>100.75</v>
      </c>
      <c r="J33" s="230">
        <v>99.75</v>
      </c>
      <c r="K33" s="230">
        <v>97.04</v>
      </c>
      <c r="L33" s="230">
        <v>94.46</v>
      </c>
      <c r="M33" s="230">
        <v>92.79</v>
      </c>
      <c r="N33" s="230">
        <v>93.7</v>
      </c>
      <c r="O33" s="216"/>
      <c r="P33" s="230">
        <v>93.38</v>
      </c>
      <c r="Q33" s="239"/>
      <c r="R33" s="230">
        <v>84.97</v>
      </c>
      <c r="S33" s="216"/>
      <c r="T33" s="215">
        <v>21.07</v>
      </c>
      <c r="U33" s="216"/>
      <c r="X33" s="243">
        <f>(R33-T33)/W5</f>
        <v>1.504437997569839</v>
      </c>
      <c r="Y33" s="213">
        <v>29</v>
      </c>
      <c r="Z33" s="214" t="s">
        <v>752</v>
      </c>
      <c r="AA33" s="240" t="s">
        <v>745</v>
      </c>
      <c r="AB33" s="230">
        <f t="shared" si="0"/>
        <v>0.55774860974068052</v>
      </c>
      <c r="AC33" s="230">
        <f t="shared" si="1"/>
        <v>0.43084844061859234</v>
      </c>
      <c r="AD33" s="230">
        <f t="shared" si="2"/>
        <v>0.42731689602335815</v>
      </c>
      <c r="AE33" s="230">
        <f t="shared" si="3"/>
        <v>0.40777568259639474</v>
      </c>
      <c r="AF33" s="230">
        <f t="shared" si="4"/>
        <v>0.38752816025038439</v>
      </c>
      <c r="AG33" s="230">
        <f t="shared" si="5"/>
        <v>0.37151849141865512</v>
      </c>
      <c r="AH33" s="230">
        <f t="shared" si="6"/>
        <v>0.34797486078375933</v>
      </c>
      <c r="AI33" s="230">
        <f>(K33-R33)/(R33-T33)*X33</f>
        <v>0.28417162176319194</v>
      </c>
      <c r="AJ33" s="230">
        <f>(L33-R33)/(R33-T33)*X33</f>
        <v>0.22342905472516064</v>
      </c>
      <c r="AK33" s="230">
        <f>(M33-R33)/(R33-T33)*X33</f>
        <v>0.18411119156488501</v>
      </c>
      <c r="AL33" s="478">
        <f>(N33-R33)/(R33-T33)*X33</f>
        <v>0.20553589544264009</v>
      </c>
      <c r="AM33" s="230">
        <f>(P33-R33)/(R33-T33)*X33</f>
        <v>0.19800193363947324</v>
      </c>
      <c r="AN33" s="230">
        <v>84.97</v>
      </c>
      <c r="AO33" s="215">
        <v>21.07</v>
      </c>
      <c r="AQ33" t="s">
        <v>769</v>
      </c>
      <c r="AR33" t="s">
        <v>747</v>
      </c>
      <c r="AS33">
        <v>0.4760522114375923</v>
      </c>
      <c r="AT33">
        <v>0.34255982573773325</v>
      </c>
      <c r="AU33">
        <v>0.32725646582505125</v>
      </c>
      <c r="AV33">
        <v>0.31642639573299902</v>
      </c>
      <c r="AW33">
        <v>0.30818612501078557</v>
      </c>
      <c r="AX33">
        <v>0.29570800077429082</v>
      </c>
      <c r="AY33">
        <v>0.277108532572723</v>
      </c>
      <c r="AZ33">
        <v>0.25427121085687415</v>
      </c>
      <c r="BA33">
        <v>0.18387575525853594</v>
      </c>
      <c r="BB33">
        <v>0.17775441129346295</v>
      </c>
      <c r="BD33">
        <v>0.15091467236968176</v>
      </c>
    </row>
    <row r="34" spans="1:56">
      <c r="A34" s="213">
        <v>30</v>
      </c>
      <c r="B34" s="214" t="s">
        <v>752</v>
      </c>
      <c r="C34" s="240" t="s">
        <v>747</v>
      </c>
      <c r="D34" s="230">
        <v>99.11</v>
      </c>
      <c r="E34" s="230">
        <v>93.81</v>
      </c>
      <c r="F34" s="230">
        <v>93.78</v>
      </c>
      <c r="G34" s="230">
        <v>93.17</v>
      </c>
      <c r="H34" s="230">
        <v>92.46</v>
      </c>
      <c r="I34" s="230">
        <v>91.7</v>
      </c>
      <c r="J34" s="230">
        <v>90.65</v>
      </c>
      <c r="K34" s="230">
        <v>88.53</v>
      </c>
      <c r="L34" s="230">
        <v>86.83</v>
      </c>
      <c r="M34" s="230">
        <v>85.66</v>
      </c>
      <c r="N34" s="230">
        <v>85.9</v>
      </c>
      <c r="O34" s="216"/>
      <c r="P34" s="230">
        <v>85.76</v>
      </c>
      <c r="Q34" s="239"/>
      <c r="R34" s="230">
        <v>78.05</v>
      </c>
      <c r="S34" s="216"/>
      <c r="T34" s="215">
        <v>21.27</v>
      </c>
      <c r="U34" s="216"/>
      <c r="X34" s="243">
        <f>(R34-T34)/W5</f>
        <v>1.3368073474493813</v>
      </c>
      <c r="Y34" s="213">
        <v>30</v>
      </c>
      <c r="Z34" s="214" t="s">
        <v>752</v>
      </c>
      <c r="AA34" s="240" t="s">
        <v>747</v>
      </c>
      <c r="AB34" s="230">
        <f t="shared" si="0"/>
        <v>0.4958288611709048</v>
      </c>
      <c r="AC34" s="230">
        <f t="shared" si="1"/>
        <v>0.37104761880595732</v>
      </c>
      <c r="AD34" s="230">
        <f t="shared" si="2"/>
        <v>0.37034130988691044</v>
      </c>
      <c r="AE34" s="230">
        <f t="shared" si="3"/>
        <v>0.35597969519962402</v>
      </c>
      <c r="AF34" s="230">
        <f t="shared" si="4"/>
        <v>0.33926371744884781</v>
      </c>
      <c r="AG34" s="230">
        <f t="shared" si="5"/>
        <v>0.32137055816632731</v>
      </c>
      <c r="AH34" s="230">
        <f t="shared" si="6"/>
        <v>0.2966497459996868</v>
      </c>
      <c r="AI34" s="230">
        <f>(K34-R34-0.9)/(R34-T34)*X34</f>
        <v>0.22554798148230149</v>
      </c>
      <c r="AJ34" s="230">
        <f>(L34-R34)/(R34-T34)*X34</f>
        <v>0.20671307697438482</v>
      </c>
      <c r="AK34" s="230">
        <f>(M34-R34)/(R34-T34)*X34</f>
        <v>0.17916702913155672</v>
      </c>
      <c r="AL34" s="478">
        <f>(N34-R34)/(R34-T34)*X34</f>
        <v>0.18481750048393192</v>
      </c>
      <c r="AM34" s="230">
        <f>(P34-R34)/(R34-T34)*X34</f>
        <v>0.18152139219504651</v>
      </c>
      <c r="AN34" s="230">
        <v>78.05</v>
      </c>
      <c r="AO34" s="215">
        <v>21.27</v>
      </c>
      <c r="AQ34" t="s">
        <v>769</v>
      </c>
      <c r="AR34" t="s">
        <v>745</v>
      </c>
      <c r="AS34">
        <v>0.44144307440429548</v>
      </c>
      <c r="AT34">
        <v>0.35433164105518117</v>
      </c>
      <c r="AU34">
        <v>0.33690935438535841</v>
      </c>
      <c r="AV34">
        <v>0.32396035753616581</v>
      </c>
      <c r="AW34">
        <v>0.31642639573299897</v>
      </c>
      <c r="AX34">
        <v>0.30536088933459798</v>
      </c>
      <c r="AY34">
        <v>0.28134638608700441</v>
      </c>
      <c r="AZ34">
        <v>0.25897993698385335</v>
      </c>
      <c r="BA34">
        <v>0.22319361841881188</v>
      </c>
      <c r="BB34">
        <v>0.31407203266950956</v>
      </c>
      <c r="BD34">
        <v>0.11960164362527043</v>
      </c>
    </row>
    <row r="35" spans="1:56">
      <c r="A35">
        <v>31</v>
      </c>
      <c r="B35" s="205" t="s">
        <v>743</v>
      </c>
      <c r="C35" s="57" t="s">
        <v>747</v>
      </c>
      <c r="D35" s="231">
        <v>67.650000000000006</v>
      </c>
      <c r="E35" s="231">
        <v>56.23</v>
      </c>
      <c r="F35" s="231">
        <v>54.76</v>
      </c>
      <c r="G35" s="231">
        <v>54.05</v>
      </c>
      <c r="H35" s="231">
        <v>53.38</v>
      </c>
      <c r="I35" s="231">
        <v>52.77</v>
      </c>
      <c r="J35" s="231">
        <v>52.24</v>
      </c>
      <c r="K35" s="243">
        <v>52.39</v>
      </c>
      <c r="L35" s="231">
        <v>49.93</v>
      </c>
      <c r="M35" s="231">
        <v>49.02</v>
      </c>
      <c r="N35" s="235"/>
      <c r="O35" s="231">
        <v>49.7</v>
      </c>
      <c r="P35" s="235"/>
      <c r="Q35" s="279"/>
      <c r="R35" s="235"/>
      <c r="T35" s="211"/>
      <c r="Y35">
        <v>31</v>
      </c>
      <c r="Z35" s="205" t="s">
        <v>743</v>
      </c>
      <c r="AA35" s="57" t="s">
        <v>747</v>
      </c>
      <c r="AB35" s="231"/>
      <c r="AC35" s="231"/>
      <c r="AD35" s="231"/>
      <c r="AE35" s="231"/>
      <c r="AF35" s="231"/>
      <c r="AG35" s="231"/>
      <c r="AH35" s="231"/>
      <c r="AI35" s="243"/>
      <c r="AJ35" s="231"/>
      <c r="AK35" s="231"/>
      <c r="AL35" s="235"/>
      <c r="AM35" s="235"/>
      <c r="AN35" s="235"/>
      <c r="AO35" s="211"/>
      <c r="AQ35" t="s">
        <v>769</v>
      </c>
      <c r="AR35" t="s">
        <v>744</v>
      </c>
      <c r="AS35">
        <v>0.47855642696493089</v>
      </c>
      <c r="AT35">
        <v>0.39210188997674067</v>
      </c>
      <c r="AU35">
        <v>0.36721346266195898</v>
      </c>
      <c r="AV35">
        <v>0.35280437316392677</v>
      </c>
      <c r="AW35">
        <v>0.33883192274159324</v>
      </c>
      <c r="AX35">
        <v>0.32485947231925921</v>
      </c>
      <c r="AY35">
        <v>0.29691457147459233</v>
      </c>
      <c r="AZ35">
        <v>0.25106746852630923</v>
      </c>
      <c r="BA35">
        <v>0.1934311105341828</v>
      </c>
      <c r="BB35">
        <v>0.19605094498837047</v>
      </c>
      <c r="BD35">
        <v>0.12793524917949337</v>
      </c>
    </row>
    <row r="36" spans="1:56" s="15" customFormat="1">
      <c r="A36" s="213">
        <v>32</v>
      </c>
      <c r="B36" s="214" t="s">
        <v>75</v>
      </c>
      <c r="C36" s="240" t="s">
        <v>747</v>
      </c>
      <c r="D36" s="230">
        <v>101.49</v>
      </c>
      <c r="E36" s="230">
        <v>93.56</v>
      </c>
      <c r="F36" s="230">
        <v>93.47</v>
      </c>
      <c r="G36" s="230">
        <v>92.63</v>
      </c>
      <c r="H36" s="230">
        <v>91.93</v>
      </c>
      <c r="I36" s="230">
        <v>91.15</v>
      </c>
      <c r="J36" s="230">
        <v>90.37</v>
      </c>
      <c r="K36" s="230">
        <v>87.6</v>
      </c>
      <c r="L36" s="230">
        <v>87.03</v>
      </c>
      <c r="M36" s="230">
        <v>87.25</v>
      </c>
      <c r="N36" s="230">
        <v>85.47</v>
      </c>
      <c r="O36" s="216"/>
      <c r="P36" s="230">
        <v>85.13</v>
      </c>
      <c r="Q36" s="239"/>
      <c r="R36" s="230">
        <v>79.06</v>
      </c>
      <c r="S36" s="216"/>
      <c r="T36" s="215">
        <v>21.35</v>
      </c>
      <c r="U36" s="216"/>
      <c r="X36" s="243">
        <f>(R36-T36)/W5</f>
        <v>1.3587029239398343</v>
      </c>
      <c r="Y36" s="213">
        <v>32</v>
      </c>
      <c r="Z36" s="214" t="s">
        <v>75</v>
      </c>
      <c r="AA36" s="240" t="s">
        <v>747</v>
      </c>
      <c r="AB36" s="230">
        <f>(D36-R36)/(R36-T36)*X36</f>
        <v>0.52808363514071177</v>
      </c>
      <c r="AC36" s="230">
        <f>(E36-R36)/(R36-T36)*X36</f>
        <v>0.34138264420598846</v>
      </c>
      <c r="AD36" s="230">
        <f>(F36-R36)/(R36-T36)*X36</f>
        <v>0.33926371744884781</v>
      </c>
      <c r="AE36" s="230">
        <f>(G36-R36)/(R36-T36)*X36</f>
        <v>0.31948706771553526</v>
      </c>
      <c r="AF36" s="230">
        <f>(H36-R36)/(R36-T36)*X36</f>
        <v>0.30300652627110852</v>
      </c>
      <c r="AG36" s="230">
        <f>(I36-R36)/(R36-T36)*X36</f>
        <v>0.28464249437588979</v>
      </c>
      <c r="AH36" s="230">
        <f>(J36-R36)/(R36-T36)*X36</f>
        <v>0.26627846248067111</v>
      </c>
      <c r="AI36" s="230">
        <f>(K36-R36)/(R36-T36)*X36</f>
        <v>0.20106260562200959</v>
      </c>
      <c r="AJ36" s="230">
        <f>(L36-R36)/(R36-T36)*X36</f>
        <v>0.1876427361601192</v>
      </c>
      <c r="AK36" s="230">
        <f>(M36-R36)/(R36-T36)*X36</f>
        <v>0.19282233489979619</v>
      </c>
      <c r="AL36" s="478">
        <f>(N36-R36)/(R36-T36)*X36</f>
        <v>0.15091467236968173</v>
      </c>
      <c r="AM36" s="230">
        <f>(P36-R36)/(R36-T36)*X36</f>
        <v>0.14290983795381709</v>
      </c>
      <c r="AN36" s="230">
        <v>79.06</v>
      </c>
      <c r="AO36" s="215">
        <v>21.35</v>
      </c>
      <c r="AP36" s="5"/>
      <c r="AQ36" s="15" t="s">
        <v>770</v>
      </c>
      <c r="AR36" s="15" t="s">
        <v>747</v>
      </c>
      <c r="AS36" s="15">
        <v>0.59353492830572208</v>
      </c>
      <c r="AT36" s="15">
        <v>0.38258399781705593</v>
      </c>
      <c r="AU36" s="15">
        <v>0.35527338628057692</v>
      </c>
      <c r="AV36" s="15">
        <v>0.31925163140918639</v>
      </c>
      <c r="AW36" s="15">
        <v>0.33573217285361345</v>
      </c>
      <c r="AX36" s="15">
        <v>0.32607928429330629</v>
      </c>
      <c r="AY36" s="15">
        <v>0.31030505176792605</v>
      </c>
      <c r="AZ36" s="15">
        <v>0.28935122050286888</v>
      </c>
      <c r="BA36" s="15">
        <v>0.26133430004734298</v>
      </c>
      <c r="BB36" s="15">
        <v>0.24085134139498354</v>
      </c>
      <c r="BD36" s="15">
        <v>0.12077882515701531</v>
      </c>
    </row>
    <row r="37" spans="1:56">
      <c r="A37" s="213">
        <v>33</v>
      </c>
      <c r="B37" s="214" t="s">
        <v>75</v>
      </c>
      <c r="C37" s="240" t="s">
        <v>745</v>
      </c>
      <c r="D37" s="230">
        <v>105</v>
      </c>
      <c r="E37" s="230">
        <v>98.22</v>
      </c>
      <c r="F37" s="230">
        <v>98.11</v>
      </c>
      <c r="G37" s="230">
        <v>97.05</v>
      </c>
      <c r="H37" s="230">
        <v>95.88</v>
      </c>
      <c r="I37" s="230">
        <v>94.98</v>
      </c>
      <c r="J37" s="230">
        <v>93.91</v>
      </c>
      <c r="K37" s="230">
        <v>91.76</v>
      </c>
      <c r="L37" s="230">
        <v>90.88</v>
      </c>
      <c r="M37" s="230">
        <v>90.81</v>
      </c>
      <c r="N37" s="230">
        <v>90.92</v>
      </c>
      <c r="O37" s="216"/>
      <c r="P37" s="230">
        <v>89.84</v>
      </c>
      <c r="Q37" s="239"/>
      <c r="R37" s="230">
        <v>80.31</v>
      </c>
      <c r="S37" s="216"/>
      <c r="T37" s="215">
        <v>21.16</v>
      </c>
      <c r="U37" s="216"/>
      <c r="X37" s="243">
        <f>(R37-T37)/W5</f>
        <v>1.3926057520540844</v>
      </c>
      <c r="Y37" s="213">
        <v>33</v>
      </c>
      <c r="Z37" s="214" t="s">
        <v>75</v>
      </c>
      <c r="AA37" s="240" t="s">
        <v>745</v>
      </c>
      <c r="AB37" s="230">
        <f>(D37-R37)/(R37-T37)*X37</f>
        <v>0.58129224037557625</v>
      </c>
      <c r="AC37" s="230">
        <f>(E37-R37)/(R37-T37)*X37</f>
        <v>0.42166642467098298</v>
      </c>
      <c r="AD37" s="230">
        <f>(F37-R37)/(R37-T37)*X37</f>
        <v>0.41907662530114453</v>
      </c>
      <c r="AE37" s="230">
        <f>(G37-R37)/(R37-T37)*X37</f>
        <v>0.39412037682815493</v>
      </c>
      <c r="AF37" s="230">
        <f>(H37-R37)/(R37-T37)*X37</f>
        <v>0.36657432898532688</v>
      </c>
      <c r="AG37" s="230">
        <f>(I37-R37)/(R37-T37)*X37</f>
        <v>0.34538506141392089</v>
      </c>
      <c r="AH37" s="230">
        <f>(J37-R37)/(R37-T37)*X37</f>
        <v>0.32019337663458225</v>
      </c>
      <c r="AI37" s="230">
        <f>(K37-R37)/(R37-T37)*X37</f>
        <v>0.26957457076955654</v>
      </c>
      <c r="AJ37" s="230">
        <f>(L37-R37)/(R37-T37)*X37</f>
        <v>0.24885617581084804</v>
      </c>
      <c r="AK37" s="230">
        <f>(M37-R37)/(R37-T37)*X37</f>
        <v>0.24720812166640552</v>
      </c>
      <c r="AL37" s="478">
        <f>(N37-R37)/(R37-T37)*X37</f>
        <v>0.24979792103624404</v>
      </c>
      <c r="AM37" s="230">
        <f>(P37-R37)/(R37-T37)*X37</f>
        <v>0.22437079995055664</v>
      </c>
      <c r="AN37" s="230">
        <v>80.31</v>
      </c>
      <c r="AO37" s="215">
        <v>21.16</v>
      </c>
      <c r="AQ37" t="s">
        <v>770</v>
      </c>
      <c r="AR37" t="s">
        <v>745</v>
      </c>
      <c r="AS37">
        <v>0.59541841875651391</v>
      </c>
      <c r="AT37">
        <v>0.39671017619799376</v>
      </c>
      <c r="AU37">
        <v>0.37552090862658744</v>
      </c>
      <c r="AV37">
        <v>0.36045298502025414</v>
      </c>
      <c r="AW37">
        <v>0.35056466015359788</v>
      </c>
      <c r="AX37">
        <v>0.34326613465678046</v>
      </c>
      <c r="AY37">
        <v>0.32490210276156173</v>
      </c>
      <c r="AZ37">
        <v>0.32819821105044716</v>
      </c>
      <c r="BA37">
        <v>0.29853323645047836</v>
      </c>
      <c r="BB37">
        <v>0.28134638608700441</v>
      </c>
      <c r="BD37">
        <v>0.20647764066803606</v>
      </c>
    </row>
    <row r="38" spans="1:56">
      <c r="A38" s="213">
        <v>34</v>
      </c>
      <c r="B38" s="214" t="s">
        <v>75</v>
      </c>
      <c r="C38" s="240" t="s">
        <v>744</v>
      </c>
      <c r="D38" s="230">
        <v>64.489999999999995</v>
      </c>
      <c r="E38" s="230">
        <v>56.38</v>
      </c>
      <c r="F38" s="230">
        <v>56.36</v>
      </c>
      <c r="G38" s="230">
        <v>55.79</v>
      </c>
      <c r="H38" s="230">
        <v>55.5</v>
      </c>
      <c r="I38" s="230">
        <v>54.9</v>
      </c>
      <c r="J38" s="230">
        <v>54.31</v>
      </c>
      <c r="K38" s="230">
        <v>53.06</v>
      </c>
      <c r="L38" s="230">
        <v>52.53</v>
      </c>
      <c r="M38" s="230">
        <v>52.74</v>
      </c>
      <c r="N38" s="243">
        <v>52.13</v>
      </c>
      <c r="O38" s="216"/>
      <c r="P38" s="230">
        <v>51.7</v>
      </c>
      <c r="Q38" s="239"/>
      <c r="R38" s="230">
        <v>48.62</v>
      </c>
      <c r="S38" s="216"/>
      <c r="T38" s="215">
        <v>23.83</v>
      </c>
      <c r="U38" s="216"/>
      <c r="X38" s="243">
        <f>(R38-T38)/W6</f>
        <v>1.0824282686551674</v>
      </c>
      <c r="Y38" s="213">
        <v>34</v>
      </c>
      <c r="Z38" s="214" t="s">
        <v>75</v>
      </c>
      <c r="AA38" s="240" t="s">
        <v>744</v>
      </c>
      <c r="AB38" s="230">
        <f>(D38-R38)/(R38-T38)*X38</f>
        <v>0.69294621313261417</v>
      </c>
      <c r="AC38" s="230">
        <f>(E38-R38)/(R38-T38)*X38</f>
        <v>0.33883192274159357</v>
      </c>
      <c r="AD38" s="230">
        <f>(F38-R38)/(R38-T38)*X38</f>
        <v>0.33795864459019759</v>
      </c>
      <c r="AE38" s="230">
        <f>(G38-R38)/(R38-T38)*X38</f>
        <v>0.31307021727541562</v>
      </c>
      <c r="AF38" s="230">
        <f>(H38-R38)/(R38-T38)*X38</f>
        <v>0.30040768408017565</v>
      </c>
      <c r="AG38" s="230">
        <f>(I38-R38)/(R38-T38)*X38</f>
        <v>0.27420933953829985</v>
      </c>
      <c r="AH38" s="230">
        <f>(J38-R38)/(R38-T38)*X38</f>
        <v>0.24844763407212214</v>
      </c>
      <c r="AI38" s="230">
        <f>(K38-R38)/(R38-T38)*X38</f>
        <v>0.19386774960988096</v>
      </c>
      <c r="AJ38" s="230">
        <f>(L38-R38)/(R38-T38)*X38</f>
        <v>0.17072587859789062</v>
      </c>
      <c r="AK38" s="230">
        <f>(M38-R38)/(R38-T38)*X38</f>
        <v>0.17989529918754718</v>
      </c>
      <c r="AL38" s="243">
        <f>(N38-R38-0.8)/(R38-T38)*X38</f>
        <v>0.11832918951413915</v>
      </c>
      <c r="AM38" s="230">
        <f>(P38-R38-0.8)/(R38-T38)*X38</f>
        <v>9.9553709259128181E-2</v>
      </c>
      <c r="AN38" s="230">
        <v>48.62</v>
      </c>
      <c r="AO38" s="215">
        <v>23.83</v>
      </c>
      <c r="AQ38" t="s">
        <v>770</v>
      </c>
      <c r="AR38" t="s">
        <v>744</v>
      </c>
      <c r="AS38">
        <v>0.64491591480584221</v>
      </c>
      <c r="AT38">
        <v>0.45192144334735723</v>
      </c>
      <c r="AU38">
        <v>0.42615973788117956</v>
      </c>
      <c r="AV38">
        <v>0.40083467149069935</v>
      </c>
      <c r="AW38">
        <v>0.39384844627953269</v>
      </c>
      <c r="AX38">
        <v>0.38074927400859465</v>
      </c>
      <c r="AY38">
        <v>0.36634018451056299</v>
      </c>
      <c r="AZ38" s="486"/>
      <c r="BA38">
        <v>0.31132366097262393</v>
      </c>
      <c r="BB38">
        <v>0.30390079668575903</v>
      </c>
      <c r="BD38">
        <v>0.13361155716356657</v>
      </c>
    </row>
    <row r="39" spans="1:56">
      <c r="A39">
        <v>35</v>
      </c>
      <c r="B39" s="205" t="s">
        <v>753</v>
      </c>
      <c r="C39" s="57" t="s">
        <v>747</v>
      </c>
      <c r="D39" s="231">
        <v>92.77</v>
      </c>
      <c r="E39" s="231">
        <v>80.400000000000006</v>
      </c>
      <c r="F39" s="231">
        <v>80.23</v>
      </c>
      <c r="G39" s="231">
        <v>79.42</v>
      </c>
      <c r="H39" s="231">
        <v>78.78</v>
      </c>
      <c r="I39" s="231">
        <v>77.75</v>
      </c>
      <c r="J39" s="231">
        <v>76.959999999999994</v>
      </c>
      <c r="K39" s="231">
        <v>74.900000000000006</v>
      </c>
      <c r="L39" s="231">
        <v>73.819999999999993</v>
      </c>
      <c r="M39" s="231">
        <v>74.12</v>
      </c>
      <c r="N39" s="235"/>
      <c r="O39" s="231">
        <v>73.040000000000006</v>
      </c>
      <c r="P39" s="471"/>
      <c r="Q39" s="472"/>
      <c r="R39" s="471"/>
      <c r="S39" s="473"/>
      <c r="T39" s="474"/>
      <c r="U39" s="473"/>
      <c r="Y39">
        <v>35</v>
      </c>
      <c r="Z39" s="205" t="s">
        <v>753</v>
      </c>
      <c r="AA39" s="57" t="s">
        <v>747</v>
      </c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5"/>
      <c r="AM39" s="471"/>
      <c r="AN39" s="471"/>
      <c r="AO39" s="474"/>
      <c r="AQ39" t="s">
        <v>709</v>
      </c>
      <c r="AR39" t="s">
        <v>744</v>
      </c>
      <c r="AS39">
        <v>0.65146550094131073</v>
      </c>
      <c r="AT39">
        <v>0.46720381099678476</v>
      </c>
      <c r="AU39">
        <v>0.42092006897280415</v>
      </c>
      <c r="AV39">
        <v>0.40301786686918883</v>
      </c>
      <c r="AW39">
        <v>0.3925385290524388</v>
      </c>
      <c r="AX39">
        <v>0.38205919123568838</v>
      </c>
      <c r="AY39">
        <v>0.372453131570334</v>
      </c>
      <c r="AZ39">
        <v>0.34450823072566644</v>
      </c>
      <c r="BA39">
        <v>0.31263357819971777</v>
      </c>
      <c r="BB39">
        <v>0.32092972063797831</v>
      </c>
      <c r="BD39">
        <v>0.15020384204008769</v>
      </c>
    </row>
    <row r="40" spans="1:56">
      <c r="A40">
        <v>36</v>
      </c>
      <c r="B40" s="205" t="s">
        <v>753</v>
      </c>
      <c r="C40" s="57" t="s">
        <v>745</v>
      </c>
      <c r="D40" s="231">
        <v>98.76</v>
      </c>
      <c r="E40" s="231">
        <v>90.82</v>
      </c>
      <c r="F40" s="231">
        <v>90.59</v>
      </c>
      <c r="G40" s="231">
        <v>90.12</v>
      </c>
      <c r="H40" s="231">
        <v>89.45</v>
      </c>
      <c r="I40" s="231">
        <v>88.88</v>
      </c>
      <c r="J40" s="231">
        <v>88.02</v>
      </c>
      <c r="K40" s="231">
        <v>86.15</v>
      </c>
      <c r="L40" s="231">
        <v>85.07</v>
      </c>
      <c r="M40" s="231">
        <v>85.22</v>
      </c>
      <c r="N40" s="235"/>
      <c r="O40" s="231">
        <v>84.66</v>
      </c>
      <c r="P40" s="471"/>
      <c r="Q40" s="472"/>
      <c r="R40" s="471"/>
      <c r="S40" s="473"/>
      <c r="T40" s="474"/>
      <c r="U40" s="473"/>
      <c r="Y40">
        <v>36</v>
      </c>
      <c r="Z40" s="205" t="s">
        <v>753</v>
      </c>
      <c r="AA40" s="57" t="s">
        <v>745</v>
      </c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5"/>
      <c r="AM40" s="471"/>
      <c r="AN40" s="471"/>
      <c r="AO40" s="474"/>
      <c r="AQ40" t="s">
        <v>709</v>
      </c>
      <c r="AR40" t="s">
        <v>747</v>
      </c>
      <c r="AS40">
        <v>0.54291612244069631</v>
      </c>
      <c r="AT40">
        <v>0.32819821105044683</v>
      </c>
      <c r="AU40">
        <v>0.29971041798222275</v>
      </c>
      <c r="AV40">
        <v>0.28746773005207704</v>
      </c>
      <c r="AW40">
        <v>0.53632390586292533</v>
      </c>
      <c r="AX40">
        <v>0.27004544338225434</v>
      </c>
      <c r="AY40">
        <v>0.25497751977592104</v>
      </c>
      <c r="AZ40">
        <v>0.22813778085213987</v>
      </c>
      <c r="BA40">
        <v>0.18552380940297847</v>
      </c>
      <c r="BB40">
        <v>0.18010877435695252</v>
      </c>
      <c r="BD40">
        <v>7.8635726320551741E-2</v>
      </c>
    </row>
    <row r="41" spans="1:56">
      <c r="A41">
        <v>37</v>
      </c>
      <c r="B41" s="205" t="s">
        <v>753</v>
      </c>
      <c r="C41" s="57" t="s">
        <v>744</v>
      </c>
      <c r="D41" s="231">
        <v>70.06</v>
      </c>
      <c r="E41" s="231">
        <v>64.23</v>
      </c>
      <c r="F41" s="231">
        <v>64.23</v>
      </c>
      <c r="G41" s="231">
        <v>63.87</v>
      </c>
      <c r="H41" s="231">
        <v>63.5</v>
      </c>
      <c r="I41" s="231">
        <v>63.11</v>
      </c>
      <c r="J41" s="231">
        <v>62.61</v>
      </c>
      <c r="K41" s="231">
        <v>61.86</v>
      </c>
      <c r="L41" s="231">
        <v>60.83</v>
      </c>
      <c r="M41" s="231">
        <v>60.97</v>
      </c>
      <c r="N41" s="235"/>
      <c r="O41" s="231">
        <v>59.88</v>
      </c>
      <c r="P41" s="471"/>
      <c r="Q41" s="472"/>
      <c r="R41" s="471"/>
      <c r="S41" s="473"/>
      <c r="T41" s="474"/>
      <c r="U41" s="473"/>
      <c r="Y41">
        <v>37</v>
      </c>
      <c r="Z41" s="205" t="s">
        <v>753</v>
      </c>
      <c r="AA41" s="57" t="s">
        <v>744</v>
      </c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5"/>
      <c r="AM41" s="471"/>
      <c r="AN41" s="471"/>
      <c r="AO41" s="474"/>
      <c r="AQ41" t="s">
        <v>709</v>
      </c>
      <c r="AR41" t="s">
        <v>745</v>
      </c>
      <c r="AS41">
        <v>0.55162726577560761</v>
      </c>
      <c r="AT41">
        <v>0.36257191177739467</v>
      </c>
      <c r="AU41">
        <v>0.33172975564568113</v>
      </c>
      <c r="AV41">
        <v>0.32560841168060844</v>
      </c>
      <c r="AW41">
        <v>6.7099347309452939E-2</v>
      </c>
      <c r="AX41">
        <v>0.31713270465204602</v>
      </c>
      <c r="AY41">
        <v>0.29453081924254587</v>
      </c>
      <c r="AZ41">
        <v>0.26133430004734298</v>
      </c>
      <c r="BA41">
        <v>0.2191912012108794</v>
      </c>
      <c r="BB41">
        <v>0.21212811202041074</v>
      </c>
      <c r="BD41">
        <v>0.13066715002367157</v>
      </c>
    </row>
    <row r="42" spans="1:56" s="15" customFormat="1">
      <c r="A42" s="213">
        <v>38</v>
      </c>
      <c r="B42" s="214" t="s">
        <v>754</v>
      </c>
      <c r="C42" s="240" t="s">
        <v>747</v>
      </c>
      <c r="D42" s="230">
        <v>84.02</v>
      </c>
      <c r="E42" s="230">
        <v>70.150000000000006</v>
      </c>
      <c r="F42" s="230">
        <v>70.010000000000005</v>
      </c>
      <c r="G42" s="230">
        <v>69.239999999999995</v>
      </c>
      <c r="H42" s="230">
        <v>69.17</v>
      </c>
      <c r="I42" s="230">
        <v>67.680000000000007</v>
      </c>
      <c r="J42" s="230">
        <v>66.760000000000005</v>
      </c>
      <c r="K42" s="243">
        <v>67.28</v>
      </c>
      <c r="L42" s="230">
        <v>64.91</v>
      </c>
      <c r="M42" s="230">
        <v>64.8</v>
      </c>
      <c r="N42" s="230">
        <v>62.44</v>
      </c>
      <c r="O42" s="216"/>
      <c r="P42" s="230">
        <v>61.89</v>
      </c>
      <c r="Q42" s="239"/>
      <c r="R42" s="230">
        <v>55.61</v>
      </c>
      <c r="S42" s="216"/>
      <c r="T42" s="215">
        <v>20.23</v>
      </c>
      <c r="U42" s="216"/>
      <c r="X42" s="243">
        <f>(R42-T42)/W5</f>
        <v>0.83297365186261185</v>
      </c>
      <c r="Y42" s="213">
        <v>38</v>
      </c>
      <c r="Z42" s="214" t="s">
        <v>754</v>
      </c>
      <c r="AA42" s="240" t="s">
        <v>747</v>
      </c>
      <c r="AB42" s="230">
        <f>(D42-R42)/(R42-T42)*X42</f>
        <v>0.66887454633738841</v>
      </c>
      <c r="AC42" s="230">
        <f>(E42-R42)/(R42-T42)*X42</f>
        <v>0.34232438943138449</v>
      </c>
      <c r="AD42" s="230">
        <f>(F42-R42)/(R42-T42)*X42</f>
        <v>0.33902828114249906</v>
      </c>
      <c r="AE42" s="230">
        <f>(G42-R42)/(R42-T42)*X42</f>
        <v>0.32089968555362908</v>
      </c>
      <c r="AF42" s="230">
        <f>(H42-R42)/(R42-T42)*X42</f>
        <v>0.31925163140918655</v>
      </c>
      <c r="AG42" s="230">
        <f>(I42-R42)/(R42-T42)*X42</f>
        <v>0.28417162176319199</v>
      </c>
      <c r="AH42" s="230">
        <f>(J42-R42)/(R42-T42)*X42</f>
        <v>0.26251148157908782</v>
      </c>
      <c r="AI42" s="243">
        <f>(K42-R42-0.9)/(R42-T42)*X42</f>
        <v>0.25356490193782733</v>
      </c>
      <c r="AJ42" s="230">
        <f>(L42-R42-0.9)/(R42-T42)*X42</f>
        <v>0.19776649733312429</v>
      </c>
      <c r="AK42" s="230">
        <f>(M42-R42-0.9)/(R42-T42)*X42</f>
        <v>0.19517669796328577</v>
      </c>
      <c r="AL42" s="478">
        <f>(N42-R42-0.9)/(R42-T42)*X42</f>
        <v>0.1396137296649318</v>
      </c>
      <c r="AM42" s="230">
        <f>(P42-R42-0.9)/(R42-T42)*X42</f>
        <v>0.1266647328157392</v>
      </c>
      <c r="AN42" s="230">
        <v>55.61</v>
      </c>
      <c r="AO42" s="215">
        <v>20.23</v>
      </c>
      <c r="AP42" s="5"/>
      <c r="AQ42" s="15" t="s">
        <v>771</v>
      </c>
      <c r="AR42" s="15" t="s">
        <v>744</v>
      </c>
      <c r="AS42" s="15">
        <v>0.60037872908465317</v>
      </c>
      <c r="AT42" s="15">
        <v>0.51872722192914011</v>
      </c>
      <c r="AU42" s="15">
        <v>0.50955780133948392</v>
      </c>
      <c r="AV42" s="15">
        <v>0.49995174167412948</v>
      </c>
      <c r="AW42" s="15">
        <v>0.47375339713225334</v>
      </c>
      <c r="AX42" s="15">
        <v>0.45497791687724271</v>
      </c>
      <c r="AY42" s="15">
        <v>0.4217933471241998</v>
      </c>
      <c r="AZ42" s="15">
        <v>0.39210188997674095</v>
      </c>
      <c r="BA42" s="15">
        <v>0.34363495257427079</v>
      </c>
      <c r="BB42" s="15">
        <v>0.30128096223157169</v>
      </c>
      <c r="BD42" s="15">
        <v>0.28599859458214377</v>
      </c>
    </row>
    <row r="43" spans="1:56" s="15" customFormat="1">
      <c r="A43" s="213">
        <v>39</v>
      </c>
      <c r="B43" s="214" t="s">
        <v>754</v>
      </c>
      <c r="C43" s="240" t="s">
        <v>745</v>
      </c>
      <c r="D43" s="230">
        <v>82.53</v>
      </c>
      <c r="E43" s="230">
        <v>69</v>
      </c>
      <c r="F43" s="230">
        <v>68.540000000000006</v>
      </c>
      <c r="G43" s="230">
        <v>67.790000000000006</v>
      </c>
      <c r="H43" s="230">
        <v>67.81</v>
      </c>
      <c r="I43" s="230">
        <v>66.3</v>
      </c>
      <c r="J43" s="230">
        <v>65.11</v>
      </c>
      <c r="K43" s="230">
        <v>64.569999999999993</v>
      </c>
      <c r="L43" s="230">
        <v>63.28</v>
      </c>
      <c r="M43" s="230">
        <v>63.05</v>
      </c>
      <c r="N43" s="230">
        <v>61.2</v>
      </c>
      <c r="O43" s="216"/>
      <c r="P43" s="230">
        <v>60.25</v>
      </c>
      <c r="Q43" s="239"/>
      <c r="R43" s="230">
        <v>53.78</v>
      </c>
      <c r="S43" s="216"/>
      <c r="T43" s="215">
        <v>20.52</v>
      </c>
      <c r="U43" s="216"/>
      <c r="X43" s="243">
        <f>(R43-T43)/W5</f>
        <v>0.78306115491663308</v>
      </c>
      <c r="Y43" s="213">
        <v>39</v>
      </c>
      <c r="Z43" s="214" t="s">
        <v>754</v>
      </c>
      <c r="AA43" s="240" t="s">
        <v>745</v>
      </c>
      <c r="AB43" s="230">
        <f>(D43-R43)/(R43-T43)*X43</f>
        <v>0.67687938075325316</v>
      </c>
      <c r="AC43" s="230">
        <f>(E43-R43)/(R43-T43)*X43</f>
        <v>0.35833405826311343</v>
      </c>
      <c r="AD43" s="230">
        <f>(F43-R43)/(R43-T43)*X43</f>
        <v>0.34750398817106154</v>
      </c>
      <c r="AE43" s="230">
        <f>(G43-R43)/(R43-T43)*X43</f>
        <v>0.32984626519488969</v>
      </c>
      <c r="AF43" s="230">
        <f>(H43-R43)/(R43-T43)*X43</f>
        <v>0.33031713780758754</v>
      </c>
      <c r="AG43" s="230">
        <f>(I43-R43)/(R43-T43)*X43</f>
        <v>0.29476625554889485</v>
      </c>
      <c r="AH43" s="230">
        <f>(J43-R43)/(R43-T43)*X43</f>
        <v>0.2667493350933689</v>
      </c>
      <c r="AI43" s="230">
        <f>(K43-R43)/(R43-T43)*X43</f>
        <v>0.25403577455052506</v>
      </c>
      <c r="AJ43" s="230">
        <f>(L43-R43)/(R43-T43)*X43</f>
        <v>0.2236644910315097</v>
      </c>
      <c r="AK43" s="230">
        <f>(M43-R43)/(R43-T43)*X43</f>
        <v>0.21824945598548359</v>
      </c>
      <c r="AL43" s="478">
        <f>(N43-R43)/(R43-T43)*X43</f>
        <v>0.17469373931092658</v>
      </c>
      <c r="AM43" s="230">
        <f>(P43-R43)/(R43-T43)*X43</f>
        <v>0.15232729020777552</v>
      </c>
      <c r="AN43" s="230">
        <v>53.78</v>
      </c>
      <c r="AO43" s="215">
        <v>20.52</v>
      </c>
      <c r="AP43" s="5"/>
      <c r="AQ43" s="15" t="s">
        <v>771</v>
      </c>
      <c r="AR43" s="15" t="s">
        <v>747</v>
      </c>
      <c r="AS43" s="15">
        <v>0.53208605234864426</v>
      </c>
      <c r="AT43" s="15">
        <v>0.40283152016306661</v>
      </c>
      <c r="AU43" s="15">
        <v>0.38446748826784788</v>
      </c>
      <c r="AV43" s="15">
        <v>0.37505003601388942</v>
      </c>
      <c r="AW43" s="15">
        <v>0.36445540222818629</v>
      </c>
      <c r="AX43" s="15">
        <v>0.3559796951996238</v>
      </c>
      <c r="AY43" s="15">
        <v>0.34444331618852503</v>
      </c>
      <c r="AZ43" s="15">
        <v>0.32443123014886344</v>
      </c>
      <c r="BA43" s="15">
        <v>0.26745564401241595</v>
      </c>
      <c r="BB43" s="15">
        <v>0.22437079995055645</v>
      </c>
      <c r="BD43" s="15">
        <v>0.20906744003787442</v>
      </c>
    </row>
    <row r="44" spans="1:56" s="15" customFormat="1" ht="90" customHeight="1">
      <c r="A44" s="213">
        <v>40</v>
      </c>
      <c r="B44" s="214" t="s">
        <v>754</v>
      </c>
      <c r="C44" s="240" t="s">
        <v>744</v>
      </c>
      <c r="D44" s="479">
        <v>64.400000000000006</v>
      </c>
      <c r="E44" s="479">
        <v>56.69</v>
      </c>
      <c r="F44" s="479">
        <v>56.5</v>
      </c>
      <c r="G44" s="479">
        <v>55.56</v>
      </c>
      <c r="H44" s="479">
        <v>55.27</v>
      </c>
      <c r="I44" s="479">
        <v>54.15</v>
      </c>
      <c r="J44" s="479">
        <v>53.49</v>
      </c>
      <c r="K44" s="479">
        <v>51.38</v>
      </c>
      <c r="L44" s="479">
        <v>51.49</v>
      </c>
      <c r="M44" s="479">
        <v>51.56</v>
      </c>
      <c r="N44" s="243">
        <v>50.34</v>
      </c>
      <c r="O44" s="216"/>
      <c r="P44" s="230">
        <v>49.94</v>
      </c>
      <c r="Q44" s="239"/>
      <c r="R44" s="230">
        <v>38.22</v>
      </c>
      <c r="S44" s="216"/>
      <c r="T44" s="215">
        <v>23.99</v>
      </c>
      <c r="U44" s="216"/>
      <c r="V44" s="520" t="s">
        <v>984</v>
      </c>
      <c r="X44" s="243">
        <f>(R44-T44)/W6</f>
        <v>0.6213374047181538</v>
      </c>
      <c r="Y44" s="213">
        <v>40</v>
      </c>
      <c r="Z44" s="214" t="s">
        <v>754</v>
      </c>
      <c r="AA44" s="240" t="s">
        <v>744</v>
      </c>
      <c r="AB44" s="479">
        <f>(D44-R44)/(R44-T44)*X44</f>
        <v>1.1431211001771799</v>
      </c>
      <c r="AC44" s="479">
        <f>(E44-R44)/(R44-T44)*X44</f>
        <v>0.8064723728140758</v>
      </c>
      <c r="AD44" s="479">
        <f>(F44-R44)/(R44-T44)*X44</f>
        <v>0.79817623037581531</v>
      </c>
      <c r="AE44" s="479">
        <f>(G44-R44)/(R44-T44)*X44</f>
        <v>0.75713215726020999</v>
      </c>
      <c r="AF44" s="479">
        <f>(H44-R44)/(R44-T44)*X44</f>
        <v>0.74446962406497019</v>
      </c>
      <c r="AG44" s="479">
        <f>(I44-R44)/(R44-T44)*X44</f>
        <v>0.69556604758680174</v>
      </c>
      <c r="AH44" s="479">
        <f>(J44-R44)/(R44-T44)*X44</f>
        <v>0.66674786859073853</v>
      </c>
      <c r="AI44" s="479">
        <f>(K44-R44)/(R44-T44)*X44</f>
        <v>0.57461702361847555</v>
      </c>
      <c r="AJ44" s="479">
        <f>(L44-R44)/(R44-T44)*X44</f>
        <v>0.57942005345115266</v>
      </c>
      <c r="AK44" s="479">
        <f>(M44-R44)/(R44-T44)*X44</f>
        <v>0.58247652698103825</v>
      </c>
      <c r="AL44" s="479">
        <f>(N44-R44-0.8)/(R44-T44)*X44</f>
        <v>0.49427543369005644</v>
      </c>
      <c r="AM44" s="479">
        <f>(P44-R44-0.8)/(R44-T44)*X44</f>
        <v>0.47680987066213898</v>
      </c>
      <c r="AN44" s="230">
        <v>38.22</v>
      </c>
      <c r="AO44" s="215">
        <v>23.99</v>
      </c>
      <c r="AP44" s="5"/>
      <c r="AQ44" s="15" t="s">
        <v>771</v>
      </c>
      <c r="AR44" s="15" t="s">
        <v>745</v>
      </c>
      <c r="AS44" s="15">
        <v>0.5332632338803891</v>
      </c>
      <c r="AT44" s="15">
        <v>0.46121972413760803</v>
      </c>
      <c r="AU44" s="15">
        <v>0.45015421773920705</v>
      </c>
      <c r="AV44" s="15">
        <v>0.44003045656620204</v>
      </c>
      <c r="AW44" s="15">
        <v>0.42354991512177492</v>
      </c>
      <c r="AX44" s="15">
        <v>0.40471501061385812</v>
      </c>
      <c r="AY44" s="15">
        <v>0.40871742782179049</v>
      </c>
      <c r="AZ44" s="15">
        <v>0.38941165070117578</v>
      </c>
      <c r="BA44" s="15">
        <v>0.35621513150597284</v>
      </c>
      <c r="BB44" s="15">
        <v>0.33149431933933238</v>
      </c>
      <c r="BD44" s="15">
        <v>0.2820526950060514</v>
      </c>
    </row>
    <row r="45" spans="1:56">
      <c r="A45">
        <v>41</v>
      </c>
      <c r="B45" s="205" t="s">
        <v>755</v>
      </c>
      <c r="C45" s="57" t="s">
        <v>745</v>
      </c>
      <c r="D45" s="231">
        <v>80.09</v>
      </c>
      <c r="E45" s="231">
        <v>65.5</v>
      </c>
      <c r="F45" s="231">
        <v>65.19</v>
      </c>
      <c r="G45" s="231">
        <v>64.03</v>
      </c>
      <c r="H45" s="231">
        <v>63.11</v>
      </c>
      <c r="I45" s="231">
        <v>61.96</v>
      </c>
      <c r="J45" s="231">
        <v>61.08</v>
      </c>
      <c r="K45" s="231">
        <v>59.38</v>
      </c>
      <c r="L45" s="231">
        <v>59.76</v>
      </c>
      <c r="M45" s="231">
        <v>59.48</v>
      </c>
      <c r="N45" s="235"/>
      <c r="O45" s="231">
        <v>58.37</v>
      </c>
      <c r="P45" s="471"/>
      <c r="Q45" s="472"/>
      <c r="R45" s="471"/>
      <c r="S45" s="473"/>
      <c r="T45" s="474"/>
      <c r="U45" s="473"/>
      <c r="Y45">
        <v>41</v>
      </c>
      <c r="Z45" s="205" t="s">
        <v>755</v>
      </c>
      <c r="AA45" s="57" t="s">
        <v>745</v>
      </c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5"/>
      <c r="AM45" s="471"/>
      <c r="AN45" s="471"/>
      <c r="AO45" s="474"/>
      <c r="AQ45" t="s">
        <v>772</v>
      </c>
      <c r="AR45" t="s">
        <v>747</v>
      </c>
      <c r="AS45">
        <v>0.56975586136447764</v>
      </c>
      <c r="AT45">
        <v>0.33714479069170733</v>
      </c>
      <c r="AU45">
        <v>0.29052840203461394</v>
      </c>
      <c r="AV45">
        <v>0.24814986689180152</v>
      </c>
      <c r="AW45">
        <v>0.24814986689180152</v>
      </c>
      <c r="AX45">
        <v>0.23449456112356185</v>
      </c>
      <c r="AY45">
        <v>0.2203683827426243</v>
      </c>
      <c r="AZ45">
        <v>0.21942663751722852</v>
      </c>
      <c r="BA45">
        <v>0.19140971706170259</v>
      </c>
      <c r="BB45">
        <v>0.17304568516648389</v>
      </c>
      <c r="BD45">
        <v>0.12266231560780694</v>
      </c>
    </row>
    <row r="46" spans="1:56">
      <c r="A46">
        <v>42</v>
      </c>
      <c r="B46" s="205" t="s">
        <v>755</v>
      </c>
      <c r="C46" s="57" t="s">
        <v>744</v>
      </c>
      <c r="D46" s="231">
        <v>60.23</v>
      </c>
      <c r="E46" s="231">
        <v>52.74</v>
      </c>
      <c r="F46" s="231">
        <v>52.6</v>
      </c>
      <c r="G46" s="231">
        <v>51.84</v>
      </c>
      <c r="H46" s="231">
        <v>51.27</v>
      </c>
      <c r="I46" s="231">
        <v>50.55</v>
      </c>
      <c r="J46" s="231">
        <v>49.99</v>
      </c>
      <c r="K46" s="231">
        <v>48.63</v>
      </c>
      <c r="L46" s="231">
        <v>48.35</v>
      </c>
      <c r="M46" s="231">
        <v>48.09</v>
      </c>
      <c r="N46" s="235"/>
      <c r="O46" s="231">
        <v>47.35</v>
      </c>
      <c r="P46" s="471"/>
      <c r="Q46" s="472"/>
      <c r="R46" s="471"/>
      <c r="S46" s="473"/>
      <c r="T46" s="474"/>
      <c r="U46" s="473"/>
      <c r="Y46">
        <v>42</v>
      </c>
      <c r="Z46" s="205" t="s">
        <v>755</v>
      </c>
      <c r="AA46" s="57" t="s">
        <v>744</v>
      </c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5"/>
      <c r="AM46" s="471"/>
      <c r="AN46" s="471"/>
      <c r="AO46" s="474"/>
      <c r="AQ46" t="s">
        <v>772</v>
      </c>
      <c r="AR46" t="s">
        <v>745</v>
      </c>
      <c r="AS46">
        <v>0.55845491865972763</v>
      </c>
      <c r="AT46">
        <v>0.35174184168534278</v>
      </c>
      <c r="AU46">
        <v>0.30912787023618143</v>
      </c>
      <c r="AV46">
        <v>0.28393618545684279</v>
      </c>
      <c r="AW46">
        <v>0.25591926500131684</v>
      </c>
      <c r="AX46">
        <v>0.24391201337752022</v>
      </c>
      <c r="AY46">
        <v>0.22013294643627529</v>
      </c>
      <c r="AZ46">
        <v>0.21330529355215569</v>
      </c>
      <c r="BA46">
        <v>0.17257481255378593</v>
      </c>
      <c r="BB46">
        <v>0.1525627265141245</v>
      </c>
      <c r="BD46">
        <v>0.11112593659670796</v>
      </c>
    </row>
    <row r="47" spans="1:56"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04"/>
      <c r="P47" s="231"/>
      <c r="Q47" s="231"/>
      <c r="R47" s="231"/>
      <c r="AQ47" t="s">
        <v>772</v>
      </c>
      <c r="AR47" t="s">
        <v>744</v>
      </c>
      <c r="AS47">
        <v>0.67679056733179088</v>
      </c>
      <c r="AT47">
        <v>0.39341180720383445</v>
      </c>
      <c r="AU47">
        <v>0.33446553198461387</v>
      </c>
      <c r="AV47">
        <v>0.31263357819971743</v>
      </c>
      <c r="AW47">
        <v>0.27682917399248719</v>
      </c>
      <c r="AX47">
        <v>0.26416664079724728</v>
      </c>
      <c r="AY47">
        <v>0.23665837902827791</v>
      </c>
      <c r="AZ47">
        <v>0.20740356095651655</v>
      </c>
      <c r="BA47">
        <v>0.14714736851020216</v>
      </c>
      <c r="BB47">
        <v>0.1292451664065872</v>
      </c>
      <c r="BD47">
        <v>9.780715295633631E-2</v>
      </c>
    </row>
    <row r="48" spans="1:56">
      <c r="A48" t="s">
        <v>761</v>
      </c>
      <c r="B48" t="s">
        <v>63</v>
      </c>
      <c r="C48" s="217" t="s">
        <v>563</v>
      </c>
      <c r="D48" s="248">
        <v>44260</v>
      </c>
      <c r="E48" s="249">
        <v>44262</v>
      </c>
      <c r="F48" s="249">
        <v>44264</v>
      </c>
      <c r="G48" s="248">
        <v>44274</v>
      </c>
      <c r="H48" s="248">
        <v>44279</v>
      </c>
      <c r="I48" s="248">
        <v>44285</v>
      </c>
      <c r="J48" s="248">
        <v>44289</v>
      </c>
      <c r="K48" s="248">
        <v>44292</v>
      </c>
      <c r="L48" s="248">
        <v>44296</v>
      </c>
      <c r="M48" s="248">
        <v>44300</v>
      </c>
      <c r="N48" s="248">
        <v>44314</v>
      </c>
      <c r="O48" s="218">
        <v>44382</v>
      </c>
      <c r="P48" s="208">
        <v>44382</v>
      </c>
      <c r="Q48" s="522"/>
      <c r="R48" s="522"/>
      <c r="S48" s="523"/>
      <c r="T48" s="523"/>
      <c r="U48" s="523"/>
      <c r="V48" s="473"/>
      <c r="W48" s="473"/>
      <c r="Y48" t="s">
        <v>761</v>
      </c>
      <c r="Z48" t="s">
        <v>63</v>
      </c>
      <c r="AA48" s="445" t="s">
        <v>563</v>
      </c>
      <c r="AB48" s="248"/>
      <c r="AC48" s="249"/>
      <c r="AD48" s="249"/>
      <c r="AE48" s="248"/>
      <c r="AF48" s="248"/>
      <c r="AG48" s="248"/>
      <c r="AH48" s="248"/>
      <c r="AI48" s="248"/>
      <c r="AJ48" s="248"/>
      <c r="AK48" s="248"/>
      <c r="AL48" s="248"/>
      <c r="AM48" s="208"/>
      <c r="AQ48" t="s">
        <v>773</v>
      </c>
      <c r="AR48" t="s">
        <v>747</v>
      </c>
      <c r="AS48">
        <v>0.61872661308506072</v>
      </c>
      <c r="AT48">
        <v>0.31218854221871789</v>
      </c>
      <c r="AU48">
        <v>0.28158182239335328</v>
      </c>
      <c r="AV48">
        <v>0.26910369815685869</v>
      </c>
      <c r="AW48">
        <v>0.25262315671243163</v>
      </c>
      <c r="AX48">
        <v>0.24038046878228575</v>
      </c>
      <c r="AY48">
        <v>0.21966207382357758</v>
      </c>
      <c r="AZ48">
        <v>0.20223978715375465</v>
      </c>
      <c r="BA48">
        <v>0.16786608642680684</v>
      </c>
      <c r="BB48">
        <v>0.15115010867603082</v>
      </c>
      <c r="BD48">
        <v>9.4174522539583042E-2</v>
      </c>
    </row>
    <row r="49" spans="1:56">
      <c r="C49" s="217" t="s">
        <v>730</v>
      </c>
      <c r="D49" s="208" t="s">
        <v>729</v>
      </c>
      <c r="E49" s="246" t="s">
        <v>732</v>
      </c>
      <c r="F49" s="246" t="s">
        <v>733</v>
      </c>
      <c r="G49" s="217" t="s">
        <v>734</v>
      </c>
      <c r="H49" s="217" t="s">
        <v>735</v>
      </c>
      <c r="I49" s="217" t="s">
        <v>736</v>
      </c>
      <c r="J49" s="217" t="s">
        <v>737</v>
      </c>
      <c r="K49" s="217" t="s">
        <v>732</v>
      </c>
      <c r="L49" s="217" t="s">
        <v>733</v>
      </c>
      <c r="M49" s="217" t="s">
        <v>734</v>
      </c>
      <c r="N49" s="470" t="s">
        <v>765</v>
      </c>
      <c r="O49" s="251" t="s">
        <v>758</v>
      </c>
      <c r="P49" s="251" t="s">
        <v>759</v>
      </c>
      <c r="Q49" s="472" t="s">
        <v>735</v>
      </c>
      <c r="R49" s="524" t="s">
        <v>736</v>
      </c>
      <c r="S49" s="524" t="s">
        <v>737</v>
      </c>
      <c r="T49" s="524" t="s">
        <v>880</v>
      </c>
      <c r="U49" s="524" t="s">
        <v>881</v>
      </c>
      <c r="V49" s="524" t="s">
        <v>882</v>
      </c>
      <c r="W49" s="473" t="s">
        <v>765</v>
      </c>
      <c r="AA49" s="445" t="s">
        <v>730</v>
      </c>
      <c r="AB49" s="208"/>
      <c r="AC49" s="246"/>
      <c r="AD49" s="246"/>
      <c r="AE49" s="445"/>
      <c r="AF49" s="445"/>
      <c r="AG49" s="445"/>
      <c r="AH49" s="445"/>
      <c r="AI49" s="445"/>
      <c r="AJ49" s="445"/>
      <c r="AK49" s="445"/>
      <c r="AL49" s="445"/>
      <c r="AM49" s="251"/>
      <c r="AQ49" t="s">
        <v>773</v>
      </c>
      <c r="AR49" t="s">
        <v>745</v>
      </c>
      <c r="AS49">
        <v>0.5808213677628784</v>
      </c>
      <c r="AT49">
        <v>0.35268358691073826</v>
      </c>
      <c r="AU49">
        <v>0.32325404861711854</v>
      </c>
      <c r="AV49">
        <v>0.3119531059123688</v>
      </c>
      <c r="AW49">
        <v>0.29076383834096248</v>
      </c>
      <c r="AX49">
        <v>0.28417162176319166</v>
      </c>
      <c r="AY49">
        <v>0.26981000707590524</v>
      </c>
      <c r="AZ49">
        <v>0.25144597518068651</v>
      </c>
      <c r="BA49">
        <v>0.21518878400294705</v>
      </c>
      <c r="BB49">
        <v>0.19823736994582217</v>
      </c>
      <c r="BD49">
        <v>0.1071235193887756</v>
      </c>
    </row>
    <row r="50" spans="1:56">
      <c r="A50" s="207" t="s">
        <v>757</v>
      </c>
      <c r="B50" s="206" t="s">
        <v>119</v>
      </c>
      <c r="C50" s="217" t="s">
        <v>728</v>
      </c>
      <c r="D50" s="217" t="s">
        <v>731</v>
      </c>
      <c r="E50" s="246" t="s">
        <v>731</v>
      </c>
      <c r="F50" s="246" t="s">
        <v>731</v>
      </c>
      <c r="G50" s="217" t="s">
        <v>731</v>
      </c>
      <c r="H50" s="217" t="s">
        <v>731</v>
      </c>
      <c r="I50" s="217" t="s">
        <v>731</v>
      </c>
      <c r="J50" s="217" t="s">
        <v>731</v>
      </c>
      <c r="K50" s="217" t="s">
        <v>731</v>
      </c>
      <c r="L50" s="217" t="s">
        <v>731</v>
      </c>
      <c r="M50" s="217" t="s">
        <v>731</v>
      </c>
      <c r="N50" s="470" t="s">
        <v>731</v>
      </c>
      <c r="O50" s="251" t="s">
        <v>731</v>
      </c>
      <c r="P50" s="251" t="s">
        <v>731</v>
      </c>
      <c r="Q50" s="472"/>
      <c r="R50" s="525"/>
      <c r="S50" s="525"/>
      <c r="T50" s="525"/>
      <c r="U50" s="525"/>
      <c r="V50" s="473"/>
      <c r="W50" s="473"/>
      <c r="Y50" s="207" t="s">
        <v>757</v>
      </c>
      <c r="Z50" s="206" t="s">
        <v>119</v>
      </c>
      <c r="AA50" s="445" t="s">
        <v>728</v>
      </c>
      <c r="AB50" s="445"/>
      <c r="AC50" s="246"/>
      <c r="AD50" s="246"/>
      <c r="AE50" s="445"/>
      <c r="AF50" s="445"/>
      <c r="AG50" s="445"/>
      <c r="AH50" s="445"/>
      <c r="AI50" s="445"/>
      <c r="AJ50" s="445"/>
      <c r="AK50" s="445"/>
      <c r="AL50" s="445"/>
      <c r="AM50" s="251"/>
      <c r="AQ50" t="s">
        <v>773</v>
      </c>
      <c r="AR50" t="s">
        <v>744</v>
      </c>
      <c r="AS50">
        <v>0.633126659761998</v>
      </c>
      <c r="AT50">
        <v>0.42528645972978352</v>
      </c>
      <c r="AU50">
        <v>0.39297516812813665</v>
      </c>
      <c r="AV50">
        <v>0.372453131570334</v>
      </c>
      <c r="AW50">
        <v>0.34669142610415632</v>
      </c>
      <c r="AX50">
        <v>0.3357754492117081</v>
      </c>
      <c r="AY50">
        <v>0.30739390929134236</v>
      </c>
      <c r="AZ50">
        <v>0.28294212105225858</v>
      </c>
      <c r="BA50">
        <v>0.24451788239084066</v>
      </c>
      <c r="BB50">
        <v>0.21264322986489193</v>
      </c>
      <c r="BD50">
        <v>0.10828649077308664</v>
      </c>
    </row>
    <row r="51" spans="1:56" s="15" customFormat="1">
      <c r="A51" s="213">
        <v>1</v>
      </c>
      <c r="B51" s="213" t="s">
        <v>762</v>
      </c>
      <c r="C51" s="240" t="s">
        <v>744</v>
      </c>
      <c r="D51" s="230">
        <v>68.17</v>
      </c>
      <c r="E51" s="244">
        <v>62.12</v>
      </c>
      <c r="F51" s="244">
        <v>61.12</v>
      </c>
      <c r="G51" s="230">
        <v>61.75</v>
      </c>
      <c r="H51" s="230">
        <v>60.85</v>
      </c>
      <c r="I51" s="230">
        <v>60.05</v>
      </c>
      <c r="J51" s="230">
        <v>59.6</v>
      </c>
      <c r="K51" s="230">
        <v>62.45</v>
      </c>
      <c r="L51" s="230">
        <v>61.87</v>
      </c>
      <c r="M51" s="230">
        <v>61.27</v>
      </c>
      <c r="N51" s="230">
        <v>56.69</v>
      </c>
      <c r="O51" s="215">
        <v>54.76</v>
      </c>
      <c r="P51" s="215">
        <v>24.76</v>
      </c>
      <c r="Q51" s="475"/>
      <c r="R51" s="475"/>
      <c r="S51" s="473"/>
      <c r="T51" s="473"/>
      <c r="U51" s="473"/>
      <c r="V51" s="473"/>
      <c r="W51" s="473"/>
      <c r="X51" s="243"/>
      <c r="Y51" s="213">
        <v>1</v>
      </c>
      <c r="Z51" s="213" t="s">
        <v>762</v>
      </c>
      <c r="AA51" s="240" t="s">
        <v>744</v>
      </c>
      <c r="AB51" s="230"/>
      <c r="AC51" s="244"/>
      <c r="AD51" s="244"/>
      <c r="AE51" s="230"/>
      <c r="AF51" s="230"/>
      <c r="AG51" s="230"/>
      <c r="AH51" s="230"/>
      <c r="AI51" s="230"/>
      <c r="AJ51" s="230"/>
      <c r="AK51" s="230"/>
      <c r="AL51" s="215"/>
      <c r="AM51" s="215"/>
      <c r="AP51" s="5"/>
      <c r="AQ51" s="15" t="s">
        <v>10</v>
      </c>
      <c r="AR51" s="15" t="s">
        <v>744</v>
      </c>
      <c r="AS51" s="15">
        <v>0.51741730470204661</v>
      </c>
      <c r="AT51" s="15">
        <v>0.41786359544291835</v>
      </c>
      <c r="AU51" s="15">
        <v>0.4012713105663972</v>
      </c>
      <c r="AV51" s="15">
        <v>0.38860877737115729</v>
      </c>
      <c r="AW51" s="15">
        <v>0.37245313157033372</v>
      </c>
      <c r="AX51" s="15">
        <v>0.36634018451056266</v>
      </c>
      <c r="AY51" s="15">
        <v>0.35629748576951037</v>
      </c>
      <c r="AZ51" s="15">
        <v>0.36110051560218759</v>
      </c>
      <c r="BA51" s="15">
        <v>0.30433743576145683</v>
      </c>
      <c r="BB51" s="15">
        <v>0.26547655802434111</v>
      </c>
      <c r="BD51" s="15">
        <v>0.19998069666965168</v>
      </c>
    </row>
    <row r="52" spans="1:56" s="15" customFormat="1">
      <c r="A52" s="213">
        <v>2</v>
      </c>
      <c r="B52" s="213" t="s">
        <v>762</v>
      </c>
      <c r="C52" s="240" t="s">
        <v>745</v>
      </c>
      <c r="D52" s="230">
        <v>86.94</v>
      </c>
      <c r="E52" s="244">
        <v>76.88</v>
      </c>
      <c r="F52" s="244">
        <v>75.739999999999995</v>
      </c>
      <c r="G52" s="230">
        <v>74.069999999999993</v>
      </c>
      <c r="H52" s="230">
        <v>73.34</v>
      </c>
      <c r="I52" s="230">
        <v>72.55</v>
      </c>
      <c r="J52" s="230">
        <v>72.14</v>
      </c>
      <c r="K52" s="230">
        <v>77.569999999999993</v>
      </c>
      <c r="L52" s="230">
        <v>76.64</v>
      </c>
      <c r="M52" s="230">
        <v>75.53</v>
      </c>
      <c r="N52" s="230">
        <v>67.63</v>
      </c>
      <c r="O52" s="215">
        <v>64.3</v>
      </c>
      <c r="P52" s="215">
        <v>24.15</v>
      </c>
      <c r="Q52" s="475"/>
      <c r="R52" s="475"/>
      <c r="S52" s="473"/>
      <c r="T52" s="473"/>
      <c r="U52" s="473"/>
      <c r="V52" s="473"/>
      <c r="W52" s="473"/>
      <c r="X52" s="243"/>
      <c r="Y52" s="213">
        <v>2</v>
      </c>
      <c r="Z52" s="213" t="s">
        <v>762</v>
      </c>
      <c r="AA52" s="240" t="s">
        <v>745</v>
      </c>
      <c r="AB52" s="230"/>
      <c r="AC52" s="244"/>
      <c r="AD52" s="244"/>
      <c r="AE52" s="230"/>
      <c r="AF52" s="230"/>
      <c r="AG52" s="230"/>
      <c r="AH52" s="230"/>
      <c r="AI52" s="230"/>
      <c r="AJ52" s="230"/>
      <c r="AK52" s="230"/>
      <c r="AL52" s="215"/>
      <c r="AM52" s="215"/>
      <c r="AP52" s="5"/>
      <c r="AQ52" s="15" t="s">
        <v>10</v>
      </c>
      <c r="AR52" s="15" t="s">
        <v>747</v>
      </c>
      <c r="AS52" s="15">
        <v>0.53867826892641524</v>
      </c>
      <c r="AT52" s="15">
        <v>0.37763983538372814</v>
      </c>
      <c r="AU52" s="15">
        <v>0.35597969519962397</v>
      </c>
      <c r="AV52" s="15">
        <v>0.3467976792520146</v>
      </c>
      <c r="AW52" s="15">
        <v>0.33808653591710308</v>
      </c>
      <c r="AX52" s="15">
        <v>0.3220768670853742</v>
      </c>
      <c r="AY52" s="15">
        <v>0.29170558356635851</v>
      </c>
      <c r="AZ52" s="15">
        <v>0.26298235419178567</v>
      </c>
      <c r="BA52" s="15">
        <v>0.21966207382357741</v>
      </c>
      <c r="BB52" s="15">
        <v>0.19541213426963475</v>
      </c>
      <c r="BD52" s="15">
        <v>0.19093884444900491</v>
      </c>
    </row>
    <row r="53" spans="1:56" s="15" customFormat="1">
      <c r="A53" s="213">
        <v>3</v>
      </c>
      <c r="B53" s="213" t="s">
        <v>762</v>
      </c>
      <c r="C53" s="240" t="s">
        <v>747</v>
      </c>
      <c r="D53" s="230">
        <v>88.4</v>
      </c>
      <c r="E53" s="244">
        <v>77.040000000000006</v>
      </c>
      <c r="F53" s="244">
        <v>75.95</v>
      </c>
      <c r="G53" s="230">
        <v>83.4</v>
      </c>
      <c r="H53" s="230">
        <v>82.62</v>
      </c>
      <c r="I53" s="230">
        <v>82.02</v>
      </c>
      <c r="J53" s="230">
        <v>81.42</v>
      </c>
      <c r="K53" s="230">
        <f>78.56-0.63</f>
        <v>77.930000000000007</v>
      </c>
      <c r="L53" s="230">
        <f>77.49-0.63</f>
        <v>76.86</v>
      </c>
      <c r="M53" s="230">
        <f>76.63-0.63</f>
        <v>76</v>
      </c>
      <c r="N53" s="230">
        <v>75.540000000000006</v>
      </c>
      <c r="O53" s="215">
        <v>69.38</v>
      </c>
      <c r="P53" s="215">
        <v>20.149999999999999</v>
      </c>
      <c r="Q53" s="475"/>
      <c r="R53" s="475"/>
      <c r="S53" s="473"/>
      <c r="T53" s="473"/>
      <c r="U53" s="473"/>
      <c r="V53" s="473"/>
      <c r="W53" s="473"/>
      <c r="X53" s="243"/>
      <c r="Y53" s="213">
        <v>3</v>
      </c>
      <c r="Z53" s="213" t="s">
        <v>762</v>
      </c>
      <c r="AA53" s="240" t="s">
        <v>747</v>
      </c>
      <c r="AB53" s="230"/>
      <c r="AC53" s="244"/>
      <c r="AD53" s="244"/>
      <c r="AE53" s="230"/>
      <c r="AF53" s="230"/>
      <c r="AG53" s="230"/>
      <c r="AH53" s="230"/>
      <c r="AI53" s="230"/>
      <c r="AJ53" s="230"/>
      <c r="AK53" s="230"/>
      <c r="AL53" s="215"/>
      <c r="AM53" s="215"/>
      <c r="AP53" s="5"/>
      <c r="AQ53" s="15" t="s">
        <v>10</v>
      </c>
      <c r="AR53" s="15" t="s">
        <v>745</v>
      </c>
      <c r="AS53" s="15">
        <v>0.52973168928515446</v>
      </c>
      <c r="AT53" s="15">
        <v>0.36398452961548849</v>
      </c>
      <c r="AU53" s="15">
        <v>0.34467875249487379</v>
      </c>
      <c r="AV53" s="15">
        <v>0.33267150087107683</v>
      </c>
      <c r="AW53" s="15">
        <v>0.31878075879648859</v>
      </c>
      <c r="AX53" s="15">
        <v>0.31689726834569698</v>
      </c>
      <c r="AY53" s="15">
        <v>0.30300652627110836</v>
      </c>
      <c r="AZ53" s="15">
        <v>0.2888803478901707</v>
      </c>
      <c r="BA53" s="15">
        <v>0.24603094013466059</v>
      </c>
      <c r="BB53" s="15">
        <v>0.23331737959181673</v>
      </c>
      <c r="BD53" s="15">
        <v>0.17563548453632236</v>
      </c>
    </row>
    <row r="54" spans="1:56" s="15" customFormat="1">
      <c r="A54">
        <v>4</v>
      </c>
      <c r="B54" t="s">
        <v>763</v>
      </c>
      <c r="C54" s="57" t="s">
        <v>747</v>
      </c>
      <c r="D54" s="231">
        <v>91.79</v>
      </c>
      <c r="E54" s="247">
        <v>83.84</v>
      </c>
      <c r="F54" s="247">
        <v>83.23</v>
      </c>
      <c r="G54" s="231">
        <v>76.45</v>
      </c>
      <c r="H54" s="231">
        <v>75.010000000000005</v>
      </c>
      <c r="I54" s="231">
        <v>74.040000000000006</v>
      </c>
      <c r="J54" s="231">
        <v>73.260000000000005</v>
      </c>
      <c r="K54" s="231">
        <v>83.47</v>
      </c>
      <c r="L54" s="231">
        <v>83.04</v>
      </c>
      <c r="M54" s="231">
        <v>82.52</v>
      </c>
      <c r="N54" s="231">
        <v>69.33</v>
      </c>
      <c r="O54" s="252">
        <f>66.23-0.39</f>
        <v>65.84</v>
      </c>
      <c r="P54" s="204">
        <v>19.89</v>
      </c>
      <c r="Q54" s="475"/>
      <c r="R54" s="475"/>
      <c r="S54" s="473"/>
      <c r="T54" s="473"/>
      <c r="U54" s="473"/>
      <c r="V54" s="473"/>
      <c r="W54" s="473"/>
      <c r="X54" s="243"/>
      <c r="Y54">
        <v>4</v>
      </c>
      <c r="Z54" t="s">
        <v>763</v>
      </c>
      <c r="AA54" s="57" t="s">
        <v>747</v>
      </c>
      <c r="AB54" s="231"/>
      <c r="AC54" s="247"/>
      <c r="AD54" s="247"/>
      <c r="AE54" s="231"/>
      <c r="AF54" s="231"/>
      <c r="AG54" s="231"/>
      <c r="AH54" s="231"/>
      <c r="AI54" s="231"/>
      <c r="AJ54" s="231"/>
      <c r="AK54" s="231"/>
      <c r="AL54" s="204"/>
      <c r="AM54" s="204"/>
      <c r="AP54" s="5"/>
      <c r="AQ54" s="486"/>
      <c r="AR54" s="486"/>
      <c r="AS54" s="486"/>
      <c r="AT54" s="486"/>
      <c r="AU54" s="486"/>
      <c r="AV54" s="486"/>
      <c r="AW54" s="486"/>
      <c r="AX54" s="486"/>
      <c r="AY54" s="486"/>
      <c r="AZ54" s="486"/>
      <c r="BA54" s="486"/>
      <c r="BB54" s="486"/>
      <c r="BC54" s="486"/>
      <c r="BD54" s="486"/>
    </row>
    <row r="55" spans="1:56" s="15" customFormat="1">
      <c r="A55">
        <v>5</v>
      </c>
      <c r="B55" t="s">
        <v>763</v>
      </c>
      <c r="C55" s="57" t="s">
        <v>745</v>
      </c>
      <c r="D55" s="231">
        <v>102.82</v>
      </c>
      <c r="E55" s="247">
        <v>96.07</v>
      </c>
      <c r="F55" s="247">
        <v>96.74</v>
      </c>
      <c r="G55" s="231">
        <v>64.849999999999994</v>
      </c>
      <c r="H55" s="231">
        <v>64.64</v>
      </c>
      <c r="I55" s="231">
        <v>63.33</v>
      </c>
      <c r="J55" s="231">
        <v>62.24</v>
      </c>
      <c r="K55" s="231">
        <v>95.64</v>
      </c>
      <c r="L55" s="231">
        <v>95.37</v>
      </c>
      <c r="M55" s="231">
        <v>95.05</v>
      </c>
      <c r="N55" s="231">
        <v>58.87</v>
      </c>
      <c r="O55" s="204">
        <v>56.76</v>
      </c>
      <c r="P55" s="204">
        <v>24.1</v>
      </c>
      <c r="Q55" s="475"/>
      <c r="R55" s="475"/>
      <c r="S55" s="473"/>
      <c r="T55" s="473"/>
      <c r="U55" s="473"/>
      <c r="V55" s="473"/>
      <c r="W55" s="473"/>
      <c r="X55" s="243"/>
      <c r="Y55">
        <v>5</v>
      </c>
      <c r="Z55" t="s">
        <v>763</v>
      </c>
      <c r="AA55" s="57" t="s">
        <v>745</v>
      </c>
      <c r="AB55" s="231"/>
      <c r="AC55" s="247"/>
      <c r="AD55" s="247"/>
      <c r="AE55" s="231"/>
      <c r="AF55" s="231"/>
      <c r="AG55" s="231"/>
      <c r="AH55" s="231"/>
      <c r="AI55" s="231"/>
      <c r="AJ55" s="231"/>
      <c r="AK55" s="231"/>
      <c r="AL55" s="204"/>
      <c r="AM55" s="204"/>
      <c r="AP55" s="5"/>
    </row>
    <row r="56" spans="1:56" s="15" customFormat="1">
      <c r="A56">
        <v>6</v>
      </c>
      <c r="B56" t="s">
        <v>763</v>
      </c>
      <c r="C56" s="57" t="s">
        <v>744</v>
      </c>
      <c r="D56" s="231">
        <v>76.88</v>
      </c>
      <c r="E56" s="247">
        <v>72.650000000000006</v>
      </c>
      <c r="F56" s="247">
        <v>71.63</v>
      </c>
      <c r="G56" s="231">
        <v>95.59</v>
      </c>
      <c r="H56" s="231">
        <v>95.25</v>
      </c>
      <c r="I56" s="231">
        <v>94.8</v>
      </c>
      <c r="J56" s="231">
        <v>94.24</v>
      </c>
      <c r="K56" s="231">
        <v>72.5</v>
      </c>
      <c r="L56" s="231">
        <v>72.2</v>
      </c>
      <c r="M56" s="231">
        <v>71.8</v>
      </c>
      <c r="N56" s="231">
        <v>89.23</v>
      </c>
      <c r="O56" s="204">
        <v>80.53</v>
      </c>
      <c r="P56" s="204">
        <v>20.94</v>
      </c>
      <c r="Q56" s="475"/>
      <c r="R56" s="475"/>
      <c r="S56" s="473"/>
      <c r="T56" s="473"/>
      <c r="U56" s="473"/>
      <c r="V56" s="473"/>
      <c r="W56" s="473"/>
      <c r="X56" s="243"/>
      <c r="Y56">
        <v>6</v>
      </c>
      <c r="Z56" t="s">
        <v>763</v>
      </c>
      <c r="AA56" s="57" t="s">
        <v>744</v>
      </c>
      <c r="AB56" s="231"/>
      <c r="AC56" s="247"/>
      <c r="AD56" s="247"/>
      <c r="AE56" s="231"/>
      <c r="AF56" s="231"/>
      <c r="AG56" s="231"/>
      <c r="AH56" s="231"/>
      <c r="AI56" s="231"/>
      <c r="AJ56" s="231"/>
      <c r="AK56" s="231"/>
      <c r="AL56" s="204"/>
      <c r="AM56" s="204"/>
      <c r="AP56" s="5"/>
    </row>
    <row r="57" spans="1:56" s="15" customFormat="1">
      <c r="A57" s="213">
        <v>7</v>
      </c>
      <c r="B57" s="213" t="s">
        <v>764</v>
      </c>
      <c r="C57" s="240" t="s">
        <v>747</v>
      </c>
      <c r="D57" s="230">
        <v>104.84</v>
      </c>
      <c r="E57" s="244">
        <v>96.63</v>
      </c>
      <c r="F57" s="244">
        <v>94.3</v>
      </c>
      <c r="G57" s="230">
        <v>85.69</v>
      </c>
      <c r="H57" s="230">
        <v>84.61</v>
      </c>
      <c r="I57" s="230">
        <v>83.38</v>
      </c>
      <c r="J57" s="230">
        <v>82.5</v>
      </c>
      <c r="K57" s="230">
        <v>96.04</v>
      </c>
      <c r="L57" s="230">
        <f>95.71-0.59</f>
        <v>95.11999999999999</v>
      </c>
      <c r="M57" s="230">
        <f>94.75-0.59</f>
        <v>94.16</v>
      </c>
      <c r="N57" s="230">
        <f>81.06-0.59</f>
        <v>80.47</v>
      </c>
      <c r="O57" s="215">
        <f>74.3-0.59</f>
        <v>73.709999999999994</v>
      </c>
      <c r="P57" s="215">
        <v>19.739999999999998</v>
      </c>
      <c r="Q57" s="475"/>
      <c r="R57" s="475"/>
      <c r="S57" s="473"/>
      <c r="T57" s="473"/>
      <c r="U57" s="473"/>
      <c r="V57" s="473"/>
      <c r="W57" s="473"/>
      <c r="X57" s="243"/>
      <c r="Y57" s="213">
        <v>7</v>
      </c>
      <c r="Z57" s="213" t="s">
        <v>764</v>
      </c>
      <c r="AA57" s="240" t="s">
        <v>747</v>
      </c>
      <c r="AB57" s="230"/>
      <c r="AC57" s="244"/>
      <c r="AD57" s="244"/>
      <c r="AE57" s="230"/>
      <c r="AF57" s="230"/>
      <c r="AG57" s="230"/>
      <c r="AH57" s="230"/>
      <c r="AI57" s="230"/>
      <c r="AJ57" s="230"/>
      <c r="AK57" s="230"/>
      <c r="AL57" s="215"/>
      <c r="AM57" s="215"/>
      <c r="AP57" s="5"/>
    </row>
    <row r="58" spans="1:56" s="15" customFormat="1">
      <c r="A58" s="213">
        <v>8</v>
      </c>
      <c r="B58" s="213" t="s">
        <v>764</v>
      </c>
      <c r="C58" s="240" t="s">
        <v>745</v>
      </c>
      <c r="D58" s="230">
        <v>101.97</v>
      </c>
      <c r="E58" s="244">
        <v>97.11</v>
      </c>
      <c r="F58" s="244">
        <v>94.65</v>
      </c>
      <c r="G58" s="230">
        <v>81.33</v>
      </c>
      <c r="H58" s="230">
        <v>79.8</v>
      </c>
      <c r="I58" s="230">
        <v>79.52</v>
      </c>
      <c r="J58" s="230">
        <v>78.75</v>
      </c>
      <c r="K58" s="230">
        <v>96.56</v>
      </c>
      <c r="L58" s="230">
        <v>96.43</v>
      </c>
      <c r="M58" s="230">
        <v>95.55</v>
      </c>
      <c r="N58" s="230">
        <v>74.36</v>
      </c>
      <c r="O58" s="215">
        <v>69.84</v>
      </c>
      <c r="P58" s="215">
        <v>19.940000000000001</v>
      </c>
      <c r="Q58" s="475"/>
      <c r="R58" s="475"/>
      <c r="S58" s="473"/>
      <c r="T58" s="473"/>
      <c r="U58" s="473"/>
      <c r="V58" s="473"/>
      <c r="W58" s="473"/>
      <c r="X58" s="243"/>
      <c r="Y58" s="213">
        <v>8</v>
      </c>
      <c r="Z58" s="213" t="s">
        <v>764</v>
      </c>
      <c r="AA58" s="240" t="s">
        <v>745</v>
      </c>
      <c r="AB58" s="230"/>
      <c r="AC58" s="244"/>
      <c r="AD58" s="244"/>
      <c r="AE58" s="230"/>
      <c r="AF58" s="230"/>
      <c r="AG58" s="230"/>
      <c r="AH58" s="230"/>
      <c r="AI58" s="230"/>
      <c r="AJ58" s="230"/>
      <c r="AK58" s="230"/>
      <c r="AL58" s="215"/>
      <c r="AM58" s="215"/>
      <c r="AP58" s="5"/>
    </row>
    <row r="59" spans="1:56" s="15" customFormat="1">
      <c r="A59" s="213">
        <v>9</v>
      </c>
      <c r="B59" s="213" t="s">
        <v>764</v>
      </c>
      <c r="C59" s="240" t="s">
        <v>744</v>
      </c>
      <c r="D59" s="230">
        <v>70.97</v>
      </c>
      <c r="E59" s="244">
        <v>66.56</v>
      </c>
      <c r="F59" s="244">
        <v>65.02</v>
      </c>
      <c r="G59" s="230">
        <v>72.510000000000005</v>
      </c>
      <c r="H59" s="230">
        <v>71.790000000000006</v>
      </c>
      <c r="I59" s="230">
        <v>71.17</v>
      </c>
      <c r="J59" s="230">
        <v>70.599999999999994</v>
      </c>
      <c r="K59" s="230">
        <v>66.5</v>
      </c>
      <c r="L59" s="230">
        <v>65.989999999999995</v>
      </c>
      <c r="M59" s="230">
        <v>65.02</v>
      </c>
      <c r="N59" s="230">
        <v>67.16</v>
      </c>
      <c r="O59" s="215">
        <v>62.51</v>
      </c>
      <c r="P59" s="215">
        <v>24.77</v>
      </c>
      <c r="Q59" s="475"/>
      <c r="R59" s="475"/>
      <c r="S59" s="473"/>
      <c r="T59" s="473"/>
      <c r="U59" s="473"/>
      <c r="V59" s="473"/>
      <c r="W59" s="473"/>
      <c r="X59" s="243"/>
      <c r="Y59" s="213">
        <v>9</v>
      </c>
      <c r="Z59" s="213" t="s">
        <v>764</v>
      </c>
      <c r="AA59" s="240" t="s">
        <v>744</v>
      </c>
      <c r="AB59" s="230"/>
      <c r="AC59" s="244"/>
      <c r="AD59" s="244"/>
      <c r="AE59" s="230"/>
      <c r="AF59" s="230"/>
      <c r="AG59" s="230"/>
      <c r="AH59" s="230"/>
      <c r="AI59" s="230"/>
      <c r="AJ59" s="230"/>
      <c r="AK59" s="230"/>
      <c r="AL59" s="215"/>
      <c r="AM59" s="215"/>
      <c r="AP59" s="5"/>
    </row>
    <row r="60" spans="1:56" s="15" customFormat="1">
      <c r="A60">
        <v>10</v>
      </c>
      <c r="B60" t="s">
        <v>31</v>
      </c>
      <c r="C60" s="57" t="s">
        <v>747</v>
      </c>
      <c r="D60" s="231">
        <v>90.38</v>
      </c>
      <c r="E60" s="247">
        <v>81.31</v>
      </c>
      <c r="F60" s="247">
        <v>80.53</v>
      </c>
      <c r="G60" s="231">
        <v>65.95</v>
      </c>
      <c r="H60" s="231">
        <v>64.53</v>
      </c>
      <c r="I60" s="231">
        <v>63.76</v>
      </c>
      <c r="J60" s="231">
        <v>63.08</v>
      </c>
      <c r="K60" s="231">
        <v>80.540000000000006</v>
      </c>
      <c r="L60" s="231">
        <v>80.14</v>
      </c>
      <c r="M60" s="231">
        <v>79.63</v>
      </c>
      <c r="N60" s="231">
        <v>59.83</v>
      </c>
      <c r="O60" s="204">
        <v>58.52</v>
      </c>
      <c r="P60" s="204">
        <v>24.05</v>
      </c>
      <c r="Q60" s="475"/>
      <c r="R60" s="475"/>
      <c r="S60" s="473"/>
      <c r="T60" s="473"/>
      <c r="U60" s="473"/>
      <c r="V60" s="473"/>
      <c r="W60" s="473"/>
      <c r="X60" s="243"/>
      <c r="Y60">
        <v>10</v>
      </c>
      <c r="Z60" t="s">
        <v>31</v>
      </c>
      <c r="AA60" s="57" t="s">
        <v>747</v>
      </c>
      <c r="AB60" s="231"/>
      <c r="AC60" s="247"/>
      <c r="AD60" s="247"/>
      <c r="AE60" s="231"/>
      <c r="AF60" s="231"/>
      <c r="AG60" s="231"/>
      <c r="AH60" s="231"/>
      <c r="AI60" s="231"/>
      <c r="AJ60" s="231"/>
      <c r="AK60" s="231"/>
      <c r="AL60" s="204"/>
      <c r="AM60" s="204"/>
      <c r="AP60" s="5"/>
    </row>
    <row r="61" spans="1:56" s="15" customFormat="1">
      <c r="A61" s="213">
        <v>11</v>
      </c>
      <c r="B61" s="213" t="s">
        <v>718</v>
      </c>
      <c r="C61" s="240" t="s">
        <v>744</v>
      </c>
      <c r="D61" s="230">
        <v>70.239999999999995</v>
      </c>
      <c r="E61" s="244">
        <v>65.19</v>
      </c>
      <c r="F61" s="244">
        <v>64.569999999999993</v>
      </c>
      <c r="G61" s="230">
        <v>77.16</v>
      </c>
      <c r="H61" s="230">
        <v>75.06</v>
      </c>
      <c r="I61" s="230">
        <v>74.23</v>
      </c>
      <c r="J61" s="230">
        <v>73.44</v>
      </c>
      <c r="K61" s="230">
        <v>65.489999999999995</v>
      </c>
      <c r="L61" s="230">
        <v>64.959999999999994</v>
      </c>
      <c r="M61" s="230">
        <v>64.12</v>
      </c>
      <c r="N61" s="230">
        <f>70.73-0.63</f>
        <v>70.100000000000009</v>
      </c>
      <c r="O61" s="215">
        <f>66.18-0.63</f>
        <v>65.550000000000011</v>
      </c>
      <c r="P61" s="215">
        <v>20.89</v>
      </c>
      <c r="Q61" s="475"/>
      <c r="R61" s="475"/>
      <c r="S61" s="473"/>
      <c r="T61" s="473"/>
      <c r="U61" s="473"/>
      <c r="V61" s="473"/>
      <c r="W61" s="473"/>
      <c r="X61" s="243"/>
      <c r="Y61" s="213">
        <v>11</v>
      </c>
      <c r="Z61" s="213" t="s">
        <v>718</v>
      </c>
      <c r="AA61" s="240" t="s">
        <v>744</v>
      </c>
      <c r="AB61" s="230"/>
      <c r="AC61" s="244"/>
      <c r="AD61" s="244"/>
      <c r="AE61" s="230"/>
      <c r="AF61" s="230"/>
      <c r="AG61" s="230"/>
      <c r="AH61" s="230"/>
      <c r="AI61" s="230"/>
      <c r="AJ61" s="230"/>
      <c r="AK61" s="230"/>
      <c r="AL61" s="215"/>
      <c r="AM61" s="215"/>
      <c r="AP61" s="5"/>
    </row>
    <row r="62" spans="1:56" s="15" customFormat="1">
      <c r="A62">
        <v>12</v>
      </c>
      <c r="B62" t="s">
        <v>31</v>
      </c>
      <c r="C62" s="57" t="s">
        <v>745</v>
      </c>
      <c r="D62" s="231">
        <v>90.78</v>
      </c>
      <c r="E62" s="247">
        <v>82.9</v>
      </c>
      <c r="F62" s="247">
        <v>81.91</v>
      </c>
      <c r="G62" s="231">
        <v>81</v>
      </c>
      <c r="H62" s="231">
        <v>79.58</v>
      </c>
      <c r="I62" s="231">
        <v>78.84</v>
      </c>
      <c r="J62" s="231">
        <v>77.77</v>
      </c>
      <c r="K62" s="231">
        <v>82.58</v>
      </c>
      <c r="L62" s="231">
        <v>82.12</v>
      </c>
      <c r="M62" s="231">
        <v>81.55</v>
      </c>
      <c r="N62" s="231">
        <v>73.31</v>
      </c>
      <c r="O62" s="204">
        <v>68.5</v>
      </c>
      <c r="P62" s="204">
        <v>19.829999999999998</v>
      </c>
      <c r="Q62" s="475"/>
      <c r="R62" s="475"/>
      <c r="S62" s="473"/>
      <c r="T62" s="473"/>
      <c r="U62" s="473"/>
      <c r="V62" s="473"/>
      <c r="W62" s="473"/>
      <c r="X62" s="243"/>
      <c r="Y62">
        <v>12</v>
      </c>
      <c r="Z62" t="s">
        <v>31</v>
      </c>
      <c r="AA62" s="57" t="s">
        <v>745</v>
      </c>
      <c r="AB62" s="231"/>
      <c r="AC62" s="247"/>
      <c r="AD62" s="247"/>
      <c r="AE62" s="231"/>
      <c r="AF62" s="231"/>
      <c r="AG62" s="231"/>
      <c r="AH62" s="231"/>
      <c r="AI62" s="231"/>
      <c r="AJ62" s="231"/>
      <c r="AK62" s="231"/>
      <c r="AL62" s="204"/>
      <c r="AM62" s="204"/>
      <c r="AP62" s="5"/>
    </row>
    <row r="63" spans="1:56" s="15" customFormat="1">
      <c r="A63">
        <v>13</v>
      </c>
      <c r="B63" t="s">
        <v>31</v>
      </c>
      <c r="C63" s="57" t="s">
        <v>744</v>
      </c>
      <c r="D63" s="231">
        <v>79.73</v>
      </c>
      <c r="E63" s="247">
        <v>74.66</v>
      </c>
      <c r="F63" s="247">
        <v>74.44</v>
      </c>
      <c r="G63" s="231">
        <v>82.61</v>
      </c>
      <c r="H63" s="231">
        <v>81.819999999999993</v>
      </c>
      <c r="I63" s="231">
        <v>80.7</v>
      </c>
      <c r="J63" s="231">
        <v>79.98</v>
      </c>
      <c r="K63" s="231">
        <v>80.540000000000006</v>
      </c>
      <c r="L63" s="231">
        <v>73.86</v>
      </c>
      <c r="M63" s="231">
        <v>73.33</v>
      </c>
      <c r="N63" s="231">
        <v>75.709999999999994</v>
      </c>
      <c r="O63" s="204">
        <v>69.209999999999994</v>
      </c>
      <c r="P63" s="204">
        <v>20.45</v>
      </c>
      <c r="Q63" s="475"/>
      <c r="R63" s="475"/>
      <c r="S63" s="473"/>
      <c r="T63" s="473"/>
      <c r="U63" s="473"/>
      <c r="V63" s="473"/>
      <c r="W63" s="473"/>
      <c r="X63" s="243"/>
      <c r="Y63">
        <v>13</v>
      </c>
      <c r="Z63" t="s">
        <v>31</v>
      </c>
      <c r="AA63" s="57" t="s">
        <v>744</v>
      </c>
      <c r="AB63" s="231"/>
      <c r="AC63" s="247"/>
      <c r="AD63" s="247"/>
      <c r="AE63" s="231"/>
      <c r="AF63" s="231"/>
      <c r="AG63" s="231"/>
      <c r="AH63" s="231"/>
      <c r="AI63" s="231"/>
      <c r="AJ63" s="231"/>
      <c r="AK63" s="231"/>
      <c r="AL63" s="204"/>
      <c r="AM63" s="204"/>
      <c r="AP63" s="5"/>
    </row>
    <row r="64" spans="1:56" s="15" customFormat="1">
      <c r="A64" s="213">
        <v>14</v>
      </c>
      <c r="B64" s="213" t="s">
        <v>718</v>
      </c>
      <c r="C64" s="240" t="s">
        <v>747</v>
      </c>
      <c r="D64" s="230">
        <v>93.98</v>
      </c>
      <c r="E64" s="244">
        <v>83.75</v>
      </c>
      <c r="F64" s="244">
        <v>76.28</v>
      </c>
      <c r="G64" s="230">
        <v>95.96</v>
      </c>
      <c r="H64" s="230">
        <v>94.67</v>
      </c>
      <c r="I64" s="230">
        <v>92.93</v>
      </c>
      <c r="J64" s="230">
        <v>91.94</v>
      </c>
      <c r="K64" s="230">
        <v>83.05</v>
      </c>
      <c r="L64" s="230">
        <v>82.42</v>
      </c>
      <c r="M64" s="230">
        <v>81.459999999999994</v>
      </c>
      <c r="N64" s="230">
        <v>88.13</v>
      </c>
      <c r="O64" s="215">
        <v>84.39</v>
      </c>
      <c r="P64" s="215">
        <v>20.43</v>
      </c>
      <c r="Q64" s="475"/>
      <c r="R64" s="475"/>
      <c r="S64" s="473"/>
      <c r="T64" s="473"/>
      <c r="U64" s="473"/>
      <c r="V64" s="473"/>
      <c r="W64" s="473"/>
      <c r="X64" s="243"/>
      <c r="Y64" s="213">
        <v>14</v>
      </c>
      <c r="Z64" s="213" t="s">
        <v>718</v>
      </c>
      <c r="AA64" s="240" t="s">
        <v>747</v>
      </c>
      <c r="AB64" s="230"/>
      <c r="AC64" s="244"/>
      <c r="AD64" s="244"/>
      <c r="AE64" s="230"/>
      <c r="AF64" s="230"/>
      <c r="AG64" s="230"/>
      <c r="AH64" s="230"/>
      <c r="AI64" s="230"/>
      <c r="AJ64" s="230"/>
      <c r="AK64" s="230"/>
      <c r="AL64" s="215"/>
      <c r="AM64" s="215"/>
      <c r="AP64" s="5"/>
    </row>
    <row r="65" spans="1:42" s="15" customFormat="1">
      <c r="A65" s="213">
        <v>15</v>
      </c>
      <c r="B65" s="213" t="s">
        <v>718</v>
      </c>
      <c r="C65" s="240" t="s">
        <v>745</v>
      </c>
      <c r="D65" s="230">
        <v>95.81</v>
      </c>
      <c r="E65" s="244">
        <v>87.92</v>
      </c>
      <c r="F65" s="244">
        <v>83.74</v>
      </c>
      <c r="G65" s="230">
        <v>96.84</v>
      </c>
      <c r="H65" s="230">
        <v>95.95</v>
      </c>
      <c r="I65" s="230">
        <v>93.63</v>
      </c>
      <c r="J65" s="230">
        <v>92.39</v>
      </c>
      <c r="K65" s="230">
        <v>86.67</v>
      </c>
      <c r="L65" s="230">
        <v>86.53</v>
      </c>
      <c r="M65" s="230">
        <v>85.93</v>
      </c>
      <c r="N65" s="230">
        <v>88.27</v>
      </c>
      <c r="O65" s="215">
        <v>84.54</v>
      </c>
      <c r="P65" s="215">
        <v>19.79</v>
      </c>
      <c r="Q65" s="475"/>
      <c r="R65" s="475"/>
      <c r="S65" s="473"/>
      <c r="T65" s="473"/>
      <c r="U65" s="473"/>
      <c r="V65" s="473"/>
      <c r="W65" s="473"/>
      <c r="X65" s="243"/>
      <c r="Y65" s="213">
        <v>15</v>
      </c>
      <c r="Z65" s="213" t="s">
        <v>718</v>
      </c>
      <c r="AA65" s="240" t="s">
        <v>745</v>
      </c>
      <c r="AB65" s="230"/>
      <c r="AC65" s="244"/>
      <c r="AD65" s="244"/>
      <c r="AE65" s="230"/>
      <c r="AF65" s="230"/>
      <c r="AG65" s="230"/>
      <c r="AH65" s="230"/>
      <c r="AI65" s="230"/>
      <c r="AJ65" s="230"/>
      <c r="AK65" s="230"/>
      <c r="AL65" s="215"/>
      <c r="AM65" s="215"/>
      <c r="AP65" s="5"/>
    </row>
    <row r="66" spans="1:42"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04"/>
      <c r="P66" s="231"/>
      <c r="Q66" s="231"/>
      <c r="R66" s="231"/>
    </row>
    <row r="67" spans="1:42"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04"/>
      <c r="P67" s="231"/>
      <c r="Q67" s="231"/>
      <c r="R67" s="231"/>
    </row>
    <row r="68" spans="1:42">
      <c r="A68" t="s">
        <v>761</v>
      </c>
      <c r="B68" t="s">
        <v>100</v>
      </c>
      <c r="C68" s="217" t="s">
        <v>563</v>
      </c>
      <c r="D68" s="208" t="s">
        <v>767</v>
      </c>
      <c r="E68" s="208" t="s">
        <v>766</v>
      </c>
      <c r="F68" s="248">
        <v>44309</v>
      </c>
      <c r="G68" s="248">
        <v>44312</v>
      </c>
      <c r="H68" s="248">
        <v>44315</v>
      </c>
      <c r="I68" s="208">
        <v>44291</v>
      </c>
      <c r="J68" s="208">
        <v>44474</v>
      </c>
      <c r="K68" s="208" t="s">
        <v>842</v>
      </c>
      <c r="L68" s="208" t="s">
        <v>848</v>
      </c>
      <c r="M68" s="208">
        <v>44202</v>
      </c>
      <c r="N68" s="208" t="s">
        <v>849</v>
      </c>
      <c r="O68" s="208" t="s">
        <v>850</v>
      </c>
      <c r="P68" s="208" t="s">
        <v>852</v>
      </c>
      <c r="Q68" s="218">
        <v>44384</v>
      </c>
      <c r="R68" s="208">
        <v>44384</v>
      </c>
      <c r="Y68" t="s">
        <v>761</v>
      </c>
      <c r="Z68" t="s">
        <v>100</v>
      </c>
      <c r="AA68" s="445" t="s">
        <v>563</v>
      </c>
      <c r="AB68" s="208" t="s">
        <v>767</v>
      </c>
      <c r="AC68" s="208" t="s">
        <v>766</v>
      </c>
      <c r="AD68" s="248">
        <v>44309</v>
      </c>
      <c r="AE68" s="248">
        <v>44312</v>
      </c>
      <c r="AF68" s="248">
        <v>44315</v>
      </c>
      <c r="AG68" s="208">
        <v>44291</v>
      </c>
      <c r="AH68" s="208">
        <v>44474</v>
      </c>
      <c r="AI68" s="208" t="s">
        <v>842</v>
      </c>
      <c r="AJ68" s="208" t="s">
        <v>848</v>
      </c>
      <c r="AK68" s="208">
        <v>44202</v>
      </c>
      <c r="AL68" s="208" t="s">
        <v>849</v>
      </c>
      <c r="AM68" s="208" t="s">
        <v>852</v>
      </c>
      <c r="AN68" s="218">
        <v>44384</v>
      </c>
      <c r="AO68" s="208">
        <v>44384</v>
      </c>
    </row>
    <row r="69" spans="1:42" ht="75">
      <c r="B69" t="s">
        <v>104</v>
      </c>
      <c r="C69" s="217" t="s">
        <v>730</v>
      </c>
      <c r="D69" s="208" t="s">
        <v>729</v>
      </c>
      <c r="E69" s="217" t="s">
        <v>732</v>
      </c>
      <c r="F69" s="241" t="s">
        <v>733</v>
      </c>
      <c r="G69" s="241" t="s">
        <v>734</v>
      </c>
      <c r="H69" s="241" t="s">
        <v>735</v>
      </c>
      <c r="I69" s="217" t="s">
        <v>736</v>
      </c>
      <c r="J69" s="217" t="s">
        <v>737</v>
      </c>
      <c r="K69" s="217" t="s">
        <v>740</v>
      </c>
      <c r="L69" s="217" t="s">
        <v>739</v>
      </c>
      <c r="M69" s="217" t="s">
        <v>738</v>
      </c>
      <c r="N69" s="469" t="s">
        <v>851</v>
      </c>
      <c r="O69" s="217" t="s">
        <v>741</v>
      </c>
      <c r="P69" s="217" t="s">
        <v>742</v>
      </c>
      <c r="Q69" s="209" t="s">
        <v>758</v>
      </c>
      <c r="R69" s="219" t="s">
        <v>759</v>
      </c>
      <c r="U69" s="209"/>
      <c r="Z69" t="s">
        <v>104</v>
      </c>
      <c r="AA69" s="445" t="s">
        <v>730</v>
      </c>
      <c r="AB69" s="208" t="s">
        <v>729</v>
      </c>
      <c r="AC69" s="445" t="s">
        <v>732</v>
      </c>
      <c r="AD69" s="445" t="s">
        <v>733</v>
      </c>
      <c r="AE69" s="445" t="s">
        <v>734</v>
      </c>
      <c r="AF69" s="445" t="s">
        <v>735</v>
      </c>
      <c r="AG69" s="445" t="s">
        <v>736</v>
      </c>
      <c r="AH69" s="445" t="s">
        <v>737</v>
      </c>
      <c r="AI69" s="445" t="s">
        <v>740</v>
      </c>
      <c r="AJ69" s="445" t="s">
        <v>739</v>
      </c>
      <c r="AK69" s="445" t="s">
        <v>738</v>
      </c>
      <c r="AL69" s="444" t="s">
        <v>851</v>
      </c>
      <c r="AM69" s="445" t="s">
        <v>742</v>
      </c>
      <c r="AN69" s="209" t="s">
        <v>758</v>
      </c>
      <c r="AO69" s="219" t="s">
        <v>759</v>
      </c>
    </row>
    <row r="70" spans="1:42">
      <c r="A70" s="207" t="s">
        <v>757</v>
      </c>
      <c r="B70" s="206" t="s">
        <v>119</v>
      </c>
      <c r="C70" s="217" t="s">
        <v>728</v>
      </c>
      <c r="D70" s="217" t="s">
        <v>731</v>
      </c>
      <c r="E70" s="217" t="s">
        <v>731</v>
      </c>
      <c r="F70" s="241" t="s">
        <v>731</v>
      </c>
      <c r="G70" s="241" t="s">
        <v>731</v>
      </c>
      <c r="H70" s="241" t="s">
        <v>731</v>
      </c>
      <c r="I70" s="217" t="s">
        <v>731</v>
      </c>
      <c r="J70" s="217" t="s">
        <v>731</v>
      </c>
      <c r="K70" s="217" t="s">
        <v>731</v>
      </c>
      <c r="L70" s="217" t="s">
        <v>731</v>
      </c>
      <c r="M70" s="217" t="s">
        <v>731</v>
      </c>
      <c r="N70" s="470" t="s">
        <v>731</v>
      </c>
      <c r="O70" s="217" t="s">
        <v>731</v>
      </c>
      <c r="P70" s="217" t="s">
        <v>731</v>
      </c>
      <c r="Q70" s="209" t="s">
        <v>731</v>
      </c>
      <c r="R70" s="209" t="s">
        <v>731</v>
      </c>
      <c r="U70" s="209"/>
      <c r="Y70" s="207" t="s">
        <v>757</v>
      </c>
      <c r="Z70" s="206" t="s">
        <v>119</v>
      </c>
      <c r="AA70" s="445" t="s">
        <v>728</v>
      </c>
      <c r="AB70" s="445" t="s">
        <v>731</v>
      </c>
      <c r="AC70" s="445" t="s">
        <v>731</v>
      </c>
      <c r="AD70" s="445" t="s">
        <v>731</v>
      </c>
      <c r="AE70" s="445" t="s">
        <v>731</v>
      </c>
      <c r="AF70" s="445" t="s">
        <v>731</v>
      </c>
      <c r="AG70" s="445" t="s">
        <v>731</v>
      </c>
      <c r="AH70" s="445" t="s">
        <v>731</v>
      </c>
      <c r="AI70" s="445" t="s">
        <v>731</v>
      </c>
      <c r="AJ70" s="445" t="s">
        <v>731</v>
      </c>
      <c r="AK70" s="445" t="s">
        <v>731</v>
      </c>
      <c r="AL70" s="445" t="s">
        <v>731</v>
      </c>
      <c r="AM70" s="445" t="s">
        <v>731</v>
      </c>
      <c r="AN70" s="209" t="s">
        <v>731</v>
      </c>
      <c r="AO70" s="209" t="s">
        <v>731</v>
      </c>
    </row>
    <row r="71" spans="1:42">
      <c r="A71" s="213">
        <v>1</v>
      </c>
      <c r="B71" s="5" t="s">
        <v>768</v>
      </c>
      <c r="C71" s="240" t="s">
        <v>744</v>
      </c>
      <c r="D71" s="230">
        <v>62.34</v>
      </c>
      <c r="E71" s="230">
        <v>58.17</v>
      </c>
      <c r="F71" s="215">
        <v>57.35</v>
      </c>
      <c r="G71" s="297">
        <v>56.5</v>
      </c>
      <c r="H71" s="297">
        <v>56.62</v>
      </c>
      <c r="I71" s="230">
        <v>55.74</v>
      </c>
      <c r="J71" s="230">
        <v>54.34</v>
      </c>
      <c r="K71" s="230">
        <v>53.26</v>
      </c>
      <c r="L71" s="230">
        <v>52.47</v>
      </c>
      <c r="M71" s="230">
        <v>52.68</v>
      </c>
      <c r="N71" s="230">
        <v>62.14</v>
      </c>
      <c r="O71" s="230">
        <v>49.5</v>
      </c>
      <c r="P71" s="230">
        <v>48.62</v>
      </c>
      <c r="Q71" s="230">
        <v>46.5</v>
      </c>
      <c r="R71" s="213">
        <v>24.55</v>
      </c>
      <c r="X71" s="243">
        <f>(Q71-R71)/W6</f>
        <v>0.9584227711569554</v>
      </c>
      <c r="Y71" s="213">
        <v>1</v>
      </c>
      <c r="Z71" s="5" t="s">
        <v>768</v>
      </c>
      <c r="AA71" s="240" t="s">
        <v>744</v>
      </c>
      <c r="AB71" s="230">
        <f t="shared" ref="AB71:AB94" si="7">(D71-Q71)/(Q71-R71)*X71</f>
        <v>0.69163629590552067</v>
      </c>
      <c r="AC71" s="230">
        <f t="shared" ref="AC71:AC94" si="8">(E71-Q71)/(Q71-R71)*X71</f>
        <v>0.50955780133948381</v>
      </c>
      <c r="AD71" s="230">
        <f t="shared" ref="AD71:AD94" si="9">(F71-Q71)/(Q71-R71)*X71</f>
        <v>0.47375339713225362</v>
      </c>
      <c r="AE71" s="230">
        <f>(G71-Q71)/(Q71-R71)*X71</f>
        <v>0.43663907569792954</v>
      </c>
      <c r="AF71" s="230">
        <f>(H71-Q71)/(Q71-R71)*X71</f>
        <v>0.44187874460630461</v>
      </c>
      <c r="AG71" s="230">
        <f>(I71-Q71)/(Q71-R71)*X71</f>
        <v>0.40345450594488702</v>
      </c>
      <c r="AH71" s="230">
        <f>(J71-Q71)/(Q71-R71)*X71</f>
        <v>0.34232503534717695</v>
      </c>
      <c r="AI71" s="230">
        <f>(K71-Q71)/(Q71-R71)*X71</f>
        <v>0.2951680151718003</v>
      </c>
      <c r="AJ71" s="230">
        <f>(L71-Q71)/(Q71-R71)*X71</f>
        <v>0.26067352819166395</v>
      </c>
      <c r="AK71" s="230">
        <f>(M71-Q71)/(Q71-R71)*X71</f>
        <v>0.26984294878132042</v>
      </c>
      <c r="AL71" s="215">
        <v>62.14</v>
      </c>
      <c r="AM71" s="230">
        <f>(P71-Q71)/(Q71-R71)*X71</f>
        <v>9.256748404796096E-2</v>
      </c>
      <c r="AN71" s="230">
        <v>46.5</v>
      </c>
      <c r="AO71" s="213">
        <v>24.55</v>
      </c>
    </row>
    <row r="72" spans="1:42">
      <c r="A72" s="213">
        <v>2</v>
      </c>
      <c r="B72" s="5" t="s">
        <v>768</v>
      </c>
      <c r="C72" s="240" t="s">
        <v>747</v>
      </c>
      <c r="D72" s="230">
        <v>75.69</v>
      </c>
      <c r="E72" s="230">
        <v>64.67</v>
      </c>
      <c r="F72" s="215">
        <v>63.49</v>
      </c>
      <c r="G72" s="252">
        <v>62.57</v>
      </c>
      <c r="H72" s="215">
        <f>62.21-0.36</f>
        <v>61.85</v>
      </c>
      <c r="I72" s="230">
        <f>62.08-0.36</f>
        <v>61.72</v>
      </c>
      <c r="J72" s="230">
        <f>61.49-0.36</f>
        <v>61.13</v>
      </c>
      <c r="K72" s="230">
        <f>60.51-0.36</f>
        <v>60.15</v>
      </c>
      <c r="L72" s="230">
        <f>59.77-0.36</f>
        <v>59.410000000000004</v>
      </c>
      <c r="M72" s="230">
        <f>59.53-0.36</f>
        <v>59.17</v>
      </c>
      <c r="N72" s="230">
        <f>81.56-0.36</f>
        <v>81.2</v>
      </c>
      <c r="O72" s="230">
        <f>55.43-0.36</f>
        <v>55.07</v>
      </c>
      <c r="P72" s="230">
        <f>54.46-0.36</f>
        <v>54.1</v>
      </c>
      <c r="Q72" s="230">
        <f>50.46-0.36</f>
        <v>50.1</v>
      </c>
      <c r="R72" s="213">
        <v>20.92</v>
      </c>
      <c r="X72" s="243">
        <f>(Q72-R72)/W5</f>
        <v>0.68700314192625822</v>
      </c>
      <c r="Y72" s="213">
        <v>2</v>
      </c>
      <c r="Z72" s="5" t="s">
        <v>768</v>
      </c>
      <c r="AA72" s="240" t="s">
        <v>747</v>
      </c>
      <c r="AB72" s="230">
        <f t="shared" si="7"/>
        <v>0.60248150794698241</v>
      </c>
      <c r="AC72" s="230">
        <f t="shared" si="8"/>
        <v>0.34303069835043121</v>
      </c>
      <c r="AD72" s="230">
        <f t="shared" si="9"/>
        <v>0.31524921420125418</v>
      </c>
      <c r="AE72" s="252">
        <f>(G72-Q72-0.36)/(Q72-R72)*X72</f>
        <v>0.28511336698858764</v>
      </c>
      <c r="AF72" s="230">
        <f>(H72-Q72-0.36)/(Q72-R72)*X72</f>
        <v>0.26816195293146272</v>
      </c>
      <c r="AG72" s="230">
        <f>(I72-Q72-0.36)/(Q72-R72)*X72</f>
        <v>0.26510128094892621</v>
      </c>
      <c r="AH72" s="230">
        <f>(J72-Q72-0.36)/(Q72-R72)*X72</f>
        <v>0.25121053887433775</v>
      </c>
      <c r="AI72" s="230">
        <f>(K72-Q72-0.36)/(Q72-R72)*X72</f>
        <v>0.22813778085213984</v>
      </c>
      <c r="AJ72" s="230">
        <f>(L72-Q72-0.36)/(Q72-R72)*X72</f>
        <v>0.21071549418231711</v>
      </c>
      <c r="AK72" s="230">
        <f>(M72-Q72-0.36)/(Q72-R72)*X72</f>
        <v>0.20506502282994207</v>
      </c>
      <c r="AL72" s="215">
        <f>81.56-0.36</f>
        <v>81.2</v>
      </c>
      <c r="AM72" s="230">
        <f>(P72-Q72-0.36)/(Q72-R72)*X72</f>
        <v>8.5698815511020557E-2</v>
      </c>
      <c r="AN72" s="230">
        <f>50.46-0.36</f>
        <v>50.1</v>
      </c>
      <c r="AO72" s="213">
        <v>20.92</v>
      </c>
    </row>
    <row r="73" spans="1:42">
      <c r="A73" s="213">
        <v>3</v>
      </c>
      <c r="B73" s="5" t="s">
        <v>768</v>
      </c>
      <c r="C73" s="240" t="s">
        <v>745</v>
      </c>
      <c r="D73" s="230">
        <v>70.14</v>
      </c>
      <c r="E73" s="230">
        <v>61.83</v>
      </c>
      <c r="F73" s="215">
        <v>60.58</v>
      </c>
      <c r="G73" s="215">
        <v>59.89</v>
      </c>
      <c r="H73" s="215">
        <v>59.48</v>
      </c>
      <c r="I73" s="230">
        <v>59.12</v>
      </c>
      <c r="J73" s="230">
        <v>58.91</v>
      </c>
      <c r="K73" s="230">
        <v>58.34</v>
      </c>
      <c r="L73" s="230">
        <v>56.7</v>
      </c>
      <c r="M73" s="230">
        <v>56.63</v>
      </c>
      <c r="N73" s="243">
        <v>77.13</v>
      </c>
      <c r="O73" s="230">
        <f>55.23-0.33</f>
        <v>54.9</v>
      </c>
      <c r="P73" s="230">
        <f>53.65-0.33</f>
        <v>53.32</v>
      </c>
      <c r="Q73" s="230">
        <f>49.48-0.33</f>
        <v>49.15</v>
      </c>
      <c r="R73" s="213">
        <v>19.75</v>
      </c>
      <c r="X73" s="243">
        <f>(Q73-R73)/W5</f>
        <v>0.69218274066593533</v>
      </c>
      <c r="Y73" s="213">
        <v>3</v>
      </c>
      <c r="Z73" s="5" t="s">
        <v>768</v>
      </c>
      <c r="AA73" s="240" t="s">
        <v>745</v>
      </c>
      <c r="AB73" s="230">
        <f t="shared" si="7"/>
        <v>0.494180807026462</v>
      </c>
      <c r="AC73" s="230">
        <f t="shared" si="8"/>
        <v>0.29853323645047825</v>
      </c>
      <c r="AD73" s="230">
        <f t="shared" si="9"/>
        <v>0.26910369815685853</v>
      </c>
      <c r="AE73" s="230">
        <f t="shared" ref="AE73:AE85" si="10">(G73-Q73)/(Q73-R73)*X73</f>
        <v>0.25285859301878055</v>
      </c>
      <c r="AF73" s="230">
        <f t="shared" ref="AF73:AF85" si="11">(H73-Q73)/(Q73-R73)*X73</f>
        <v>0.24320570445847317</v>
      </c>
      <c r="AG73" s="230">
        <f t="shared" ref="AG73:AG84" si="12">(I73-Q73)/(Q73-R73)*X73</f>
        <v>0.23472999742991071</v>
      </c>
      <c r="AH73" s="230">
        <f t="shared" ref="AH73:AH84" si="13">(J73-Q73)/(Q73-R73)*X73</f>
        <v>0.22978583499658256</v>
      </c>
      <c r="AI73" s="230">
        <f t="shared" ref="AI73:AI84" si="14">(K73-Q73)/(Q73-R73)*X73</f>
        <v>0.21636596553469215</v>
      </c>
      <c r="AJ73" s="230">
        <f t="shared" ref="AJ73:AJ84" si="15">(L73-Q73)/(Q73-R73)*X73</f>
        <v>0.17775441129346312</v>
      </c>
      <c r="AK73" s="230">
        <f t="shared" ref="AK73:AK84" si="16">(M73-Q73)/(Q73-R73)*X73</f>
        <v>0.17610635714902037</v>
      </c>
      <c r="AL73" s="252">
        <v>77.13</v>
      </c>
      <c r="AM73" s="230">
        <f>(P73-Q73-0.33)/(Q73-R73)*X73</f>
        <v>9.0407541637999758E-2</v>
      </c>
      <c r="AN73" s="230">
        <f>49.48-0.33</f>
        <v>49.15</v>
      </c>
      <c r="AO73" s="213">
        <v>19.75</v>
      </c>
    </row>
    <row r="74" spans="1:42">
      <c r="A74">
        <v>4</v>
      </c>
      <c r="B74" s="5" t="s">
        <v>769</v>
      </c>
      <c r="C74" s="57" t="s">
        <v>747</v>
      </c>
      <c r="D74" s="231">
        <v>105.22</v>
      </c>
      <c r="E74" s="231">
        <v>99.55</v>
      </c>
      <c r="F74" s="204">
        <v>98.9</v>
      </c>
      <c r="G74" s="204">
        <v>98.44</v>
      </c>
      <c r="H74" s="204">
        <v>98.09</v>
      </c>
      <c r="I74" s="231">
        <v>97.56</v>
      </c>
      <c r="J74" s="231">
        <v>96.77</v>
      </c>
      <c r="K74" s="231">
        <v>95.8</v>
      </c>
      <c r="L74" s="231">
        <f>93.17-0.36</f>
        <v>92.81</v>
      </c>
      <c r="M74" s="231">
        <v>92.55</v>
      </c>
      <c r="N74" s="231">
        <v>105.26</v>
      </c>
      <c r="O74" s="231">
        <v>92.9</v>
      </c>
      <c r="P74" s="231">
        <v>91.41</v>
      </c>
      <c r="Q74" s="231">
        <v>85</v>
      </c>
      <c r="R74" s="15">
        <v>22.14</v>
      </c>
      <c r="X74" s="243">
        <f>(Q74-R74)/W5</f>
        <v>1.4799526217095476</v>
      </c>
      <c r="Y74">
        <v>4</v>
      </c>
      <c r="Z74" s="5" t="s">
        <v>769</v>
      </c>
      <c r="AA74" s="57" t="s">
        <v>747</v>
      </c>
      <c r="AB74" s="230">
        <f t="shared" si="7"/>
        <v>0.4760522114375923</v>
      </c>
      <c r="AC74" s="230">
        <f t="shared" si="8"/>
        <v>0.34255982573773325</v>
      </c>
      <c r="AD74" s="230">
        <f t="shared" si="9"/>
        <v>0.32725646582505125</v>
      </c>
      <c r="AE74" s="230">
        <f t="shared" si="10"/>
        <v>0.31642639573299902</v>
      </c>
      <c r="AF74" s="230">
        <f t="shared" si="11"/>
        <v>0.30818612501078557</v>
      </c>
      <c r="AG74" s="230">
        <f t="shared" si="12"/>
        <v>0.29570800077429082</v>
      </c>
      <c r="AH74" s="230">
        <f t="shared" si="13"/>
        <v>0.277108532572723</v>
      </c>
      <c r="AI74" s="230">
        <f t="shared" si="14"/>
        <v>0.25427121085687415</v>
      </c>
      <c r="AJ74" s="230">
        <f t="shared" si="15"/>
        <v>0.18387575525853594</v>
      </c>
      <c r="AK74" s="230">
        <f t="shared" si="16"/>
        <v>0.17775441129346295</v>
      </c>
      <c r="AL74" s="204">
        <v>105.26</v>
      </c>
      <c r="AM74" s="230">
        <f t="shared" ref="AM74:AM80" si="17">(P74-Q74)/(Q74-R74)*X74</f>
        <v>0.15091467236968176</v>
      </c>
      <c r="AN74" s="231">
        <v>85</v>
      </c>
      <c r="AO74" s="15">
        <v>22.14</v>
      </c>
    </row>
    <row r="75" spans="1:42">
      <c r="A75">
        <v>5</v>
      </c>
      <c r="B75" s="5" t="s">
        <v>769</v>
      </c>
      <c r="C75" s="57" t="s">
        <v>745</v>
      </c>
      <c r="D75" s="231">
        <v>102.91</v>
      </c>
      <c r="E75" s="231">
        <v>99.21</v>
      </c>
      <c r="F75" s="204">
        <v>98.47</v>
      </c>
      <c r="G75" s="204">
        <v>97.92</v>
      </c>
      <c r="H75" s="204">
        <v>97.6</v>
      </c>
      <c r="I75" s="231">
        <v>97.13</v>
      </c>
      <c r="J75" s="231">
        <v>96.11</v>
      </c>
      <c r="K75" s="231">
        <v>95.16</v>
      </c>
      <c r="L75" s="231">
        <v>93.64</v>
      </c>
      <c r="M75" s="231">
        <v>97.5</v>
      </c>
      <c r="N75" s="231">
        <v>101.94</v>
      </c>
      <c r="O75" s="231">
        <v>90.28</v>
      </c>
      <c r="P75" s="231">
        <v>89.24</v>
      </c>
      <c r="Q75" s="231">
        <v>84.16</v>
      </c>
      <c r="R75" s="15">
        <v>21.14</v>
      </c>
      <c r="X75" s="243">
        <f>(Q75-R75)/W5</f>
        <v>1.4837196026111308</v>
      </c>
      <c r="Y75">
        <v>5</v>
      </c>
      <c r="Z75" s="5" t="s">
        <v>769</v>
      </c>
      <c r="AA75" s="57" t="s">
        <v>745</v>
      </c>
      <c r="AB75" s="230">
        <f t="shared" si="7"/>
        <v>0.44144307440429548</v>
      </c>
      <c r="AC75" s="230">
        <f t="shared" si="8"/>
        <v>0.35433164105518117</v>
      </c>
      <c r="AD75" s="230">
        <f t="shared" si="9"/>
        <v>0.33690935438535841</v>
      </c>
      <c r="AE75" s="230">
        <f t="shared" si="10"/>
        <v>0.32396035753616581</v>
      </c>
      <c r="AF75" s="230">
        <f t="shared" si="11"/>
        <v>0.31642639573299897</v>
      </c>
      <c r="AG75" s="230">
        <f t="shared" si="12"/>
        <v>0.30536088933459798</v>
      </c>
      <c r="AH75" s="230">
        <f t="shared" si="13"/>
        <v>0.28134638608700441</v>
      </c>
      <c r="AI75" s="230">
        <f t="shared" si="14"/>
        <v>0.25897993698385335</v>
      </c>
      <c r="AJ75" s="230">
        <f t="shared" si="15"/>
        <v>0.22319361841881188</v>
      </c>
      <c r="AK75" s="230">
        <f t="shared" si="16"/>
        <v>0.31407203266950956</v>
      </c>
      <c r="AL75" s="204">
        <v>101.94</v>
      </c>
      <c r="AM75" s="230">
        <f t="shared" si="17"/>
        <v>0.11960164362527043</v>
      </c>
      <c r="AN75" s="231">
        <v>84.16</v>
      </c>
      <c r="AO75" s="15">
        <v>21.14</v>
      </c>
    </row>
    <row r="76" spans="1:42">
      <c r="A76">
        <v>6</v>
      </c>
      <c r="B76" s="5" t="s">
        <v>769</v>
      </c>
      <c r="C76" s="57" t="s">
        <v>744</v>
      </c>
      <c r="D76" s="231">
        <v>71.84</v>
      </c>
      <c r="E76" s="231">
        <v>69.86</v>
      </c>
      <c r="F76" s="204">
        <v>69.290000000000006</v>
      </c>
      <c r="G76" s="204">
        <v>68.959999999999994</v>
      </c>
      <c r="H76" s="204">
        <v>68.64</v>
      </c>
      <c r="I76" s="231">
        <v>68.319999999999993</v>
      </c>
      <c r="J76" s="231">
        <v>67.680000000000007</v>
      </c>
      <c r="K76" s="231">
        <v>66.63</v>
      </c>
      <c r="L76" s="231">
        <v>65.31</v>
      </c>
      <c r="M76" s="231">
        <v>65.37</v>
      </c>
      <c r="N76" s="231">
        <v>74.510000000000005</v>
      </c>
      <c r="O76" s="231">
        <v>65.14</v>
      </c>
      <c r="P76" s="231">
        <v>63.81</v>
      </c>
      <c r="Q76" s="231">
        <v>60.88</v>
      </c>
      <c r="R76" s="15">
        <v>24.4</v>
      </c>
      <c r="X76" s="243">
        <f>(Q76-R76)/W6</f>
        <v>1.5928593481460473</v>
      </c>
      <c r="Y76">
        <v>6</v>
      </c>
      <c r="Z76" s="5" t="s">
        <v>769</v>
      </c>
      <c r="AA76" s="57" t="s">
        <v>744</v>
      </c>
      <c r="AB76" s="230">
        <f t="shared" si="7"/>
        <v>0.47855642696493089</v>
      </c>
      <c r="AC76" s="230">
        <f t="shared" si="8"/>
        <v>0.39210188997674067</v>
      </c>
      <c r="AD76" s="230">
        <f t="shared" si="9"/>
        <v>0.36721346266195898</v>
      </c>
      <c r="AE76" s="230">
        <f t="shared" si="10"/>
        <v>0.35280437316392677</v>
      </c>
      <c r="AF76" s="230">
        <f t="shared" si="11"/>
        <v>0.33883192274159324</v>
      </c>
      <c r="AG76" s="230">
        <f t="shared" si="12"/>
        <v>0.32485947231925921</v>
      </c>
      <c r="AH76" s="230">
        <f t="shared" si="13"/>
        <v>0.29691457147459233</v>
      </c>
      <c r="AI76" s="230">
        <f t="shared" si="14"/>
        <v>0.25106746852630923</v>
      </c>
      <c r="AJ76" s="230">
        <f t="shared" si="15"/>
        <v>0.1934311105341828</v>
      </c>
      <c r="AK76" s="230">
        <f t="shared" si="16"/>
        <v>0.19605094498837047</v>
      </c>
      <c r="AL76" s="204">
        <v>74.510000000000005</v>
      </c>
      <c r="AM76" s="230">
        <f t="shared" si="17"/>
        <v>0.12793524917949337</v>
      </c>
      <c r="AN76" s="231">
        <v>60.88</v>
      </c>
      <c r="AO76" s="15">
        <v>24.4</v>
      </c>
    </row>
    <row r="77" spans="1:42">
      <c r="A77" s="213">
        <v>7</v>
      </c>
      <c r="B77" s="5" t="s">
        <v>770</v>
      </c>
      <c r="C77" s="240" t="s">
        <v>747</v>
      </c>
      <c r="D77" s="230">
        <v>86.34</v>
      </c>
      <c r="E77" s="230">
        <v>77.38</v>
      </c>
      <c r="F77" s="215">
        <v>76.22</v>
      </c>
      <c r="G77" s="215">
        <v>74.69</v>
      </c>
      <c r="H77" s="215">
        <v>75.39</v>
      </c>
      <c r="I77" s="230">
        <v>74.98</v>
      </c>
      <c r="J77" s="230">
        <v>74.31</v>
      </c>
      <c r="K77" s="230">
        <v>73.42</v>
      </c>
      <c r="L77" s="230">
        <v>72.23</v>
      </c>
      <c r="M77" s="230">
        <v>71.36</v>
      </c>
      <c r="N77" s="230">
        <v>83.53</v>
      </c>
      <c r="O77" s="230">
        <v>71.8</v>
      </c>
      <c r="P77" s="230">
        <v>66.260000000000005</v>
      </c>
      <c r="Q77" s="230">
        <v>61.13</v>
      </c>
      <c r="R77" s="213">
        <v>19.829999999999998</v>
      </c>
      <c r="X77" s="243">
        <f>(Q77-R77)/W5</f>
        <v>0.97235194522119495</v>
      </c>
      <c r="Y77" s="213">
        <v>7</v>
      </c>
      <c r="Z77" s="5" t="s">
        <v>770</v>
      </c>
      <c r="AA77" s="240" t="s">
        <v>747</v>
      </c>
      <c r="AB77" s="230">
        <f t="shared" si="7"/>
        <v>0.59353492830572208</v>
      </c>
      <c r="AC77" s="230">
        <f t="shared" si="8"/>
        <v>0.38258399781705593</v>
      </c>
      <c r="AD77" s="230">
        <f t="shared" si="9"/>
        <v>0.35527338628057692</v>
      </c>
      <c r="AE77" s="230">
        <f t="shared" si="10"/>
        <v>0.31925163140918639</v>
      </c>
      <c r="AF77" s="230">
        <f t="shared" si="11"/>
        <v>0.33573217285361345</v>
      </c>
      <c r="AG77" s="230">
        <f t="shared" si="12"/>
        <v>0.32607928429330629</v>
      </c>
      <c r="AH77" s="230">
        <f t="shared" si="13"/>
        <v>0.31030505176792605</v>
      </c>
      <c r="AI77" s="230">
        <f t="shared" si="14"/>
        <v>0.28935122050286888</v>
      </c>
      <c r="AJ77" s="230">
        <f t="shared" si="15"/>
        <v>0.26133430004734298</v>
      </c>
      <c r="AK77" s="230">
        <f t="shared" si="16"/>
        <v>0.24085134139498354</v>
      </c>
      <c r="AL77" s="215">
        <v>83.53</v>
      </c>
      <c r="AM77" s="230">
        <f t="shared" si="17"/>
        <v>0.12077882515701531</v>
      </c>
      <c r="AN77" s="230">
        <v>61.13</v>
      </c>
      <c r="AO77" s="213">
        <v>19.829999999999998</v>
      </c>
    </row>
    <row r="78" spans="1:42">
      <c r="A78" s="213">
        <v>8</v>
      </c>
      <c r="B78" s="5" t="s">
        <v>770</v>
      </c>
      <c r="C78" s="240" t="s">
        <v>745</v>
      </c>
      <c r="D78" s="230">
        <v>86.14</v>
      </c>
      <c r="E78" s="230">
        <v>77.7</v>
      </c>
      <c r="F78" s="215">
        <v>76.8</v>
      </c>
      <c r="G78" s="215">
        <v>76.16</v>
      </c>
      <c r="H78" s="215">
        <v>75.739999999999995</v>
      </c>
      <c r="I78" s="230">
        <v>75.430000000000007</v>
      </c>
      <c r="J78" s="230">
        <v>74.650000000000006</v>
      </c>
      <c r="K78" s="230">
        <v>74.790000000000006</v>
      </c>
      <c r="L78" s="230">
        <v>73.53</v>
      </c>
      <c r="M78" s="230">
        <v>72.8</v>
      </c>
      <c r="N78" s="243">
        <f>85.75-0.38</f>
        <v>85.37</v>
      </c>
      <c r="O78" s="230">
        <f>68.52-0.38</f>
        <v>68.14</v>
      </c>
      <c r="P78" s="230">
        <f>70-0.38</f>
        <v>69.62</v>
      </c>
      <c r="Q78" s="230">
        <f>61.23-0.38</f>
        <v>60.849999999999994</v>
      </c>
      <c r="R78" s="213">
        <v>20.329999999999998</v>
      </c>
      <c r="X78" s="243">
        <f>(Q78-R78)/W5</f>
        <v>0.9539879133259761</v>
      </c>
      <c r="Y78" s="213">
        <v>8</v>
      </c>
      <c r="Z78" s="5" t="s">
        <v>770</v>
      </c>
      <c r="AA78" s="240" t="s">
        <v>745</v>
      </c>
      <c r="AB78" s="230">
        <f t="shared" si="7"/>
        <v>0.59541841875651391</v>
      </c>
      <c r="AC78" s="230">
        <f t="shared" si="8"/>
        <v>0.39671017619799376</v>
      </c>
      <c r="AD78" s="230">
        <f t="shared" si="9"/>
        <v>0.37552090862658744</v>
      </c>
      <c r="AE78" s="230">
        <f t="shared" si="10"/>
        <v>0.36045298502025414</v>
      </c>
      <c r="AF78" s="230">
        <f t="shared" si="11"/>
        <v>0.35056466015359788</v>
      </c>
      <c r="AG78" s="230">
        <f t="shared" si="12"/>
        <v>0.34326613465678046</v>
      </c>
      <c r="AH78" s="230">
        <f t="shared" si="13"/>
        <v>0.32490210276156173</v>
      </c>
      <c r="AI78" s="230">
        <f t="shared" si="14"/>
        <v>0.32819821105044716</v>
      </c>
      <c r="AJ78" s="230">
        <f t="shared" si="15"/>
        <v>0.29853323645047836</v>
      </c>
      <c r="AK78" s="230">
        <f t="shared" si="16"/>
        <v>0.28134638608700441</v>
      </c>
      <c r="AL78" s="252">
        <f>85.75-0.38</f>
        <v>85.37</v>
      </c>
      <c r="AM78" s="230">
        <f t="shared" si="17"/>
        <v>0.20647764066803606</v>
      </c>
      <c r="AN78" s="230">
        <f>61.23-0.38</f>
        <v>60.849999999999994</v>
      </c>
      <c r="AO78" s="213">
        <v>20.329999999999998</v>
      </c>
    </row>
    <row r="79" spans="1:42">
      <c r="A79" s="213">
        <v>9</v>
      </c>
      <c r="B79" s="5" t="s">
        <v>770</v>
      </c>
      <c r="C79" s="240" t="s">
        <v>744</v>
      </c>
      <c r="D79" s="230">
        <v>64.78</v>
      </c>
      <c r="E79" s="230">
        <v>60.36</v>
      </c>
      <c r="F79" s="215">
        <v>59.77</v>
      </c>
      <c r="G79" s="215">
        <v>59.19</v>
      </c>
      <c r="H79" s="215">
        <v>59.03</v>
      </c>
      <c r="I79" s="230">
        <v>58.73</v>
      </c>
      <c r="J79" s="230">
        <v>58.4</v>
      </c>
      <c r="K79" s="479">
        <v>47.76</v>
      </c>
      <c r="L79" s="230">
        <v>57.14</v>
      </c>
      <c r="M79" s="230">
        <v>56.97</v>
      </c>
      <c r="N79" s="230">
        <v>65.510000000000005</v>
      </c>
      <c r="O79" s="230">
        <v>54.23</v>
      </c>
      <c r="P79" s="230">
        <v>53.07</v>
      </c>
      <c r="Q79" s="230">
        <v>50.01</v>
      </c>
      <c r="R79" s="213">
        <v>25.13</v>
      </c>
      <c r="X79" s="243">
        <f>(Q79-R79)/W6</f>
        <v>1.0863580203364489</v>
      </c>
      <c r="Y79" s="213">
        <v>9</v>
      </c>
      <c r="Z79" s="5" t="s">
        <v>770</v>
      </c>
      <c r="AA79" s="240" t="s">
        <v>744</v>
      </c>
      <c r="AB79" s="230">
        <f t="shared" si="7"/>
        <v>0.64491591480584221</v>
      </c>
      <c r="AC79" s="230">
        <f t="shared" si="8"/>
        <v>0.45192144334735723</v>
      </c>
      <c r="AD79" s="230">
        <f t="shared" si="9"/>
        <v>0.42615973788117956</v>
      </c>
      <c r="AE79" s="230">
        <f t="shared" si="10"/>
        <v>0.40083467149069935</v>
      </c>
      <c r="AF79" s="230">
        <f t="shared" si="11"/>
        <v>0.39384844627953269</v>
      </c>
      <c r="AG79" s="230">
        <f t="shared" si="12"/>
        <v>0.38074927400859465</v>
      </c>
      <c r="AH79" s="230">
        <f t="shared" si="13"/>
        <v>0.36634018451056299</v>
      </c>
      <c r="AI79" s="479">
        <f t="shared" si="14"/>
        <v>-9.8243792032034163E-2</v>
      </c>
      <c r="AJ79" s="230">
        <f t="shared" si="15"/>
        <v>0.31132366097262393</v>
      </c>
      <c r="AK79" s="230">
        <f t="shared" si="16"/>
        <v>0.30390079668575903</v>
      </c>
      <c r="AL79" s="215">
        <v>65.510000000000005</v>
      </c>
      <c r="AM79" s="230">
        <f t="shared" si="17"/>
        <v>0.13361155716356657</v>
      </c>
      <c r="AN79" s="230">
        <v>50.01</v>
      </c>
      <c r="AO79" s="213">
        <v>25.13</v>
      </c>
    </row>
    <row r="80" spans="1:42">
      <c r="A80">
        <v>10</v>
      </c>
      <c r="B80" s="5" t="s">
        <v>709</v>
      </c>
      <c r="C80" s="57" t="s">
        <v>744</v>
      </c>
      <c r="D80" s="231">
        <v>64.599999999999994</v>
      </c>
      <c r="E80" s="231">
        <v>60.38</v>
      </c>
      <c r="F80" s="204">
        <v>59.32</v>
      </c>
      <c r="G80" s="204">
        <v>58.91</v>
      </c>
      <c r="H80" s="204">
        <v>58.67</v>
      </c>
      <c r="I80" s="231">
        <v>58.43</v>
      </c>
      <c r="J80" s="231">
        <v>58.21</v>
      </c>
      <c r="K80" s="231">
        <v>57.57</v>
      </c>
      <c r="L80" s="231">
        <v>56.84</v>
      </c>
      <c r="M80" s="231">
        <v>57.03</v>
      </c>
      <c r="N80" s="243">
        <f>63.64-0.36</f>
        <v>63.28</v>
      </c>
      <c r="O80" s="231">
        <f>54.85-0.36</f>
        <v>54.49</v>
      </c>
      <c r="P80" s="231">
        <f>53.48-0.36</f>
        <v>53.12</v>
      </c>
      <c r="Q80" s="231">
        <f>50.04-0.36</f>
        <v>49.68</v>
      </c>
      <c r="R80" s="15">
        <v>24.56</v>
      </c>
      <c r="X80" s="243">
        <f>(Q80-R80)/W6</f>
        <v>1.0968373581531992</v>
      </c>
      <c r="Y80">
        <v>10</v>
      </c>
      <c r="Z80" s="5" t="s">
        <v>709</v>
      </c>
      <c r="AA80" s="57" t="s">
        <v>744</v>
      </c>
      <c r="AB80" s="230">
        <f t="shared" si="7"/>
        <v>0.65146550094131073</v>
      </c>
      <c r="AC80" s="230">
        <f t="shared" si="8"/>
        <v>0.46720381099678476</v>
      </c>
      <c r="AD80" s="230">
        <f t="shared" si="9"/>
        <v>0.42092006897280415</v>
      </c>
      <c r="AE80" s="230">
        <f t="shared" si="10"/>
        <v>0.40301786686918883</v>
      </c>
      <c r="AF80" s="230">
        <f t="shared" si="11"/>
        <v>0.3925385290524388</v>
      </c>
      <c r="AG80" s="230">
        <f t="shared" si="12"/>
        <v>0.38205919123568838</v>
      </c>
      <c r="AH80" s="230">
        <f t="shared" si="13"/>
        <v>0.372453131570334</v>
      </c>
      <c r="AI80" s="230">
        <f t="shared" si="14"/>
        <v>0.34450823072566644</v>
      </c>
      <c r="AJ80" s="230">
        <f t="shared" si="15"/>
        <v>0.31263357819971777</v>
      </c>
      <c r="AK80" s="230">
        <f t="shared" si="16"/>
        <v>0.32092972063797831</v>
      </c>
      <c r="AL80" s="252">
        <f>63.64-0.36</f>
        <v>63.28</v>
      </c>
      <c r="AM80" s="230">
        <f t="shared" si="17"/>
        <v>0.15020384204008769</v>
      </c>
      <c r="AN80" s="231">
        <f>50.04-0.36</f>
        <v>49.68</v>
      </c>
      <c r="AO80" s="15">
        <v>24.56</v>
      </c>
    </row>
    <row r="81" spans="1:41">
      <c r="A81">
        <v>11</v>
      </c>
      <c r="B81" s="5" t="s">
        <v>709</v>
      </c>
      <c r="C81" s="57" t="s">
        <v>747</v>
      </c>
      <c r="D81" s="231">
        <v>77.540000000000006</v>
      </c>
      <c r="E81" s="231">
        <v>68.42</v>
      </c>
      <c r="F81" s="204">
        <v>67.209999999999994</v>
      </c>
      <c r="G81" s="204">
        <v>66.69</v>
      </c>
      <c r="H81" s="204">
        <v>77.260000000000005</v>
      </c>
      <c r="I81" s="231">
        <v>65.95</v>
      </c>
      <c r="J81" s="231">
        <v>65.31</v>
      </c>
      <c r="K81" s="231">
        <v>64.17</v>
      </c>
      <c r="L81" s="231">
        <v>62.36</v>
      </c>
      <c r="M81" s="231">
        <v>62.13</v>
      </c>
      <c r="N81" s="243">
        <v>77.38</v>
      </c>
      <c r="O81" s="231">
        <f>59.66-0.36</f>
        <v>59.3</v>
      </c>
      <c r="P81" s="231">
        <f>58.54-0.36</f>
        <v>58.18</v>
      </c>
      <c r="Q81" s="231">
        <f>54.84-0.36</f>
        <v>54.480000000000004</v>
      </c>
      <c r="R81" s="15">
        <v>19.329999999999998</v>
      </c>
      <c r="X81" s="243">
        <f>(Q81-R81)/W5</f>
        <v>0.82755861681658605</v>
      </c>
      <c r="Y81">
        <v>11</v>
      </c>
      <c r="Z81" s="5" t="s">
        <v>709</v>
      </c>
      <c r="AA81" s="57" t="s">
        <v>747</v>
      </c>
      <c r="AB81" s="230">
        <f t="shared" si="7"/>
        <v>0.54291612244069631</v>
      </c>
      <c r="AC81" s="230">
        <f t="shared" si="8"/>
        <v>0.32819821105044683</v>
      </c>
      <c r="AD81" s="230">
        <f t="shared" si="9"/>
        <v>0.29971041798222275</v>
      </c>
      <c r="AE81" s="230">
        <f t="shared" si="10"/>
        <v>0.28746773005207704</v>
      </c>
      <c r="AF81" s="230">
        <f t="shared" si="11"/>
        <v>0.53632390586292533</v>
      </c>
      <c r="AG81" s="230">
        <f t="shared" si="12"/>
        <v>0.27004544338225434</v>
      </c>
      <c r="AH81" s="230">
        <f t="shared" si="13"/>
        <v>0.25497751977592104</v>
      </c>
      <c r="AI81" s="230">
        <f t="shared" si="14"/>
        <v>0.22813778085213987</v>
      </c>
      <c r="AJ81" s="230">
        <f t="shared" si="15"/>
        <v>0.18552380940297847</v>
      </c>
      <c r="AK81" s="230">
        <f t="shared" si="16"/>
        <v>0.18010877435695252</v>
      </c>
      <c r="AL81" s="252">
        <v>77.38</v>
      </c>
      <c r="AM81" s="230">
        <f>(P81-Q81-0.36)/(Q81-R81)*X81</f>
        <v>7.8635726320551741E-2</v>
      </c>
      <c r="AN81" s="231">
        <f>54.84-0.36</f>
        <v>54.480000000000004</v>
      </c>
      <c r="AO81" s="15">
        <v>19.329999999999998</v>
      </c>
    </row>
    <row r="82" spans="1:41">
      <c r="A82">
        <v>12</v>
      </c>
      <c r="B82" s="5" t="s">
        <v>709</v>
      </c>
      <c r="C82" s="57" t="s">
        <v>745</v>
      </c>
      <c r="D82" s="231">
        <v>87.11</v>
      </c>
      <c r="E82" s="231">
        <v>79.08</v>
      </c>
      <c r="F82" s="204">
        <v>77.77</v>
      </c>
      <c r="G82" s="204">
        <v>77.510000000000005</v>
      </c>
      <c r="H82" s="204">
        <v>66.53</v>
      </c>
      <c r="I82" s="231">
        <v>77.150000000000006</v>
      </c>
      <c r="J82" s="231">
        <v>76.19</v>
      </c>
      <c r="K82" s="231">
        <v>74.78</v>
      </c>
      <c r="L82" s="231">
        <v>72.989999999999995</v>
      </c>
      <c r="M82" s="231">
        <v>72.69</v>
      </c>
      <c r="N82" s="231">
        <v>88.1</v>
      </c>
      <c r="O82" s="231">
        <v>70.88</v>
      </c>
      <c r="P82" s="231">
        <v>69.23</v>
      </c>
      <c r="Q82" s="231">
        <v>63.68</v>
      </c>
      <c r="R82" s="15">
        <v>20.67</v>
      </c>
      <c r="X82" s="243">
        <f>(Q82-R82)/W5</f>
        <v>1.0126115536068665</v>
      </c>
      <c r="Y82">
        <v>12</v>
      </c>
      <c r="Z82" s="5" t="s">
        <v>709</v>
      </c>
      <c r="AA82" s="57" t="s">
        <v>745</v>
      </c>
      <c r="AB82" s="230">
        <f t="shared" si="7"/>
        <v>0.55162726577560761</v>
      </c>
      <c r="AC82" s="230">
        <f t="shared" si="8"/>
        <v>0.36257191177739467</v>
      </c>
      <c r="AD82" s="230">
        <f t="shared" si="9"/>
        <v>0.33172975564568113</v>
      </c>
      <c r="AE82" s="230">
        <f t="shared" si="10"/>
        <v>0.32560841168060844</v>
      </c>
      <c r="AF82" s="230">
        <f t="shared" si="11"/>
        <v>6.7099347309452939E-2</v>
      </c>
      <c r="AG82" s="230">
        <f t="shared" si="12"/>
        <v>0.31713270465204602</v>
      </c>
      <c r="AH82" s="230">
        <f t="shared" si="13"/>
        <v>0.29453081924254587</v>
      </c>
      <c r="AI82" s="230">
        <f t="shared" si="14"/>
        <v>0.26133430004734298</v>
      </c>
      <c r="AJ82" s="230">
        <f t="shared" si="15"/>
        <v>0.2191912012108794</v>
      </c>
      <c r="AK82" s="230">
        <f t="shared" si="16"/>
        <v>0.21212811202041074</v>
      </c>
      <c r="AL82" s="204">
        <v>88.1</v>
      </c>
      <c r="AM82" s="230">
        <f>(P82-Q82)/(Q82-R82)*X82</f>
        <v>0.13066715002367157</v>
      </c>
      <c r="AN82" s="231">
        <v>63.68</v>
      </c>
      <c r="AO82" s="15">
        <v>20.67</v>
      </c>
    </row>
    <row r="83" spans="1:41">
      <c r="A83" s="213">
        <v>13</v>
      </c>
      <c r="B83" s="5" t="s">
        <v>771</v>
      </c>
      <c r="C83" s="240" t="s">
        <v>744</v>
      </c>
      <c r="D83" s="230">
        <v>73.11</v>
      </c>
      <c r="E83" s="230">
        <v>71.239999999999995</v>
      </c>
      <c r="F83" s="215">
        <v>71.03</v>
      </c>
      <c r="G83" s="215">
        <v>70.81</v>
      </c>
      <c r="H83" s="215">
        <v>70.209999999999994</v>
      </c>
      <c r="I83" s="230">
        <v>69.78</v>
      </c>
      <c r="J83" s="230">
        <v>69.02</v>
      </c>
      <c r="K83" s="230">
        <v>68.34</v>
      </c>
      <c r="L83" s="230">
        <v>67.23</v>
      </c>
      <c r="M83" s="230">
        <v>66.260000000000005</v>
      </c>
      <c r="N83" s="230">
        <v>71.7</v>
      </c>
      <c r="O83" s="230">
        <v>66.92</v>
      </c>
      <c r="P83" s="230">
        <v>65.91</v>
      </c>
      <c r="Q83" s="230">
        <v>59.36</v>
      </c>
      <c r="R83" s="213">
        <v>24.23</v>
      </c>
      <c r="X83" s="243">
        <f>(Q83-R83)/W6</f>
        <v>1.5339130729268264</v>
      </c>
      <c r="Y83" s="213">
        <v>13</v>
      </c>
      <c r="Z83" s="5" t="s">
        <v>771</v>
      </c>
      <c r="AA83" s="240" t="s">
        <v>744</v>
      </c>
      <c r="AB83" s="230">
        <f t="shared" si="7"/>
        <v>0.60037872908465317</v>
      </c>
      <c r="AC83" s="230">
        <f t="shared" si="8"/>
        <v>0.51872722192914011</v>
      </c>
      <c r="AD83" s="230">
        <f t="shared" si="9"/>
        <v>0.50955780133948392</v>
      </c>
      <c r="AE83" s="230">
        <f t="shared" si="10"/>
        <v>0.49995174167412948</v>
      </c>
      <c r="AF83" s="230">
        <f t="shared" si="11"/>
        <v>0.47375339713225334</v>
      </c>
      <c r="AG83" s="230">
        <f t="shared" si="12"/>
        <v>0.45497791687724271</v>
      </c>
      <c r="AH83" s="230">
        <f t="shared" si="13"/>
        <v>0.4217933471241998</v>
      </c>
      <c r="AI83" s="230">
        <f t="shared" si="14"/>
        <v>0.39210188997674095</v>
      </c>
      <c r="AJ83" s="230">
        <f t="shared" si="15"/>
        <v>0.34363495257427079</v>
      </c>
      <c r="AK83" s="230">
        <f t="shared" si="16"/>
        <v>0.30128096223157169</v>
      </c>
      <c r="AL83" s="215">
        <v>71.7</v>
      </c>
      <c r="AM83" s="230">
        <f>(P83-Q83)/(Q83-R83)*X83</f>
        <v>0.28599859458214377</v>
      </c>
      <c r="AN83" s="230">
        <v>59.36</v>
      </c>
      <c r="AO83" s="213">
        <v>24.23</v>
      </c>
    </row>
    <row r="84" spans="1:41">
      <c r="A84" s="213">
        <v>14</v>
      </c>
      <c r="B84" s="5" t="s">
        <v>771</v>
      </c>
      <c r="C84" s="240" t="s">
        <v>747</v>
      </c>
      <c r="D84" s="230">
        <v>82.03</v>
      </c>
      <c r="E84" s="230">
        <v>76.540000000000006</v>
      </c>
      <c r="F84" s="215">
        <v>75.760000000000005</v>
      </c>
      <c r="G84" s="215">
        <v>75.36</v>
      </c>
      <c r="H84" s="215">
        <v>74.91</v>
      </c>
      <c r="I84" s="230">
        <v>74.55</v>
      </c>
      <c r="J84" s="230">
        <v>74.06</v>
      </c>
      <c r="K84" s="230">
        <v>73.209999999999994</v>
      </c>
      <c r="L84" s="230">
        <v>70.790000000000006</v>
      </c>
      <c r="M84" s="230">
        <v>68.959999999999994</v>
      </c>
      <c r="N84" s="243">
        <f>83.59-0.33</f>
        <v>83.26</v>
      </c>
      <c r="O84" s="230">
        <f>69.79-0.33</f>
        <v>69.460000000000008</v>
      </c>
      <c r="P84" s="230">
        <f>68.64-0.33</f>
        <v>68.31</v>
      </c>
      <c r="Q84" s="230">
        <f>59.76-0.33</f>
        <v>59.43</v>
      </c>
      <c r="R84" s="213">
        <v>20.239999999999998</v>
      </c>
      <c r="X84" s="243">
        <f>(Q84-R84)/W5</f>
        <v>0.92267488458156477</v>
      </c>
      <c r="Y84" s="213">
        <v>14</v>
      </c>
      <c r="Z84" s="5" t="s">
        <v>771</v>
      </c>
      <c r="AA84" s="240" t="s">
        <v>747</v>
      </c>
      <c r="AB84" s="230">
        <f t="shared" si="7"/>
        <v>0.53208605234864426</v>
      </c>
      <c r="AC84" s="230">
        <f t="shared" si="8"/>
        <v>0.40283152016306661</v>
      </c>
      <c r="AD84" s="230">
        <f t="shared" si="9"/>
        <v>0.38446748826784788</v>
      </c>
      <c r="AE84" s="230">
        <f t="shared" si="10"/>
        <v>0.37505003601388942</v>
      </c>
      <c r="AF84" s="230">
        <f t="shared" si="11"/>
        <v>0.36445540222818629</v>
      </c>
      <c r="AG84" s="230">
        <f t="shared" si="12"/>
        <v>0.3559796951996238</v>
      </c>
      <c r="AH84" s="230">
        <f t="shared" si="13"/>
        <v>0.34444331618852503</v>
      </c>
      <c r="AI84" s="230">
        <f t="shared" si="14"/>
        <v>0.32443123014886344</v>
      </c>
      <c r="AJ84" s="230">
        <f t="shared" si="15"/>
        <v>0.26745564401241595</v>
      </c>
      <c r="AK84" s="230">
        <f t="shared" si="16"/>
        <v>0.22437079995055645</v>
      </c>
      <c r="AL84" s="252">
        <f>83.59-0.33</f>
        <v>83.26</v>
      </c>
      <c r="AM84" s="230">
        <f>(P84-Q84)/(Q84-R84)*X84</f>
        <v>0.20906744003787442</v>
      </c>
      <c r="AN84" s="230">
        <f>59.76-0.33</f>
        <v>59.43</v>
      </c>
      <c r="AO84" s="213">
        <v>20.239999999999998</v>
      </c>
    </row>
    <row r="85" spans="1:41">
      <c r="A85" s="213">
        <v>15</v>
      </c>
      <c r="B85" s="5" t="s">
        <v>771</v>
      </c>
      <c r="C85" s="240" t="s">
        <v>745</v>
      </c>
      <c r="D85" s="230">
        <v>91.25</v>
      </c>
      <c r="E85" s="230">
        <v>88.19</v>
      </c>
      <c r="F85" s="215">
        <v>87.72</v>
      </c>
      <c r="G85" s="215">
        <v>87.29</v>
      </c>
      <c r="H85" s="215">
        <v>86.59</v>
      </c>
      <c r="I85" s="243">
        <v>86.13</v>
      </c>
      <c r="J85" s="230">
        <f>86.64-0.34</f>
        <v>86.3</v>
      </c>
      <c r="K85" s="230">
        <f>85.82-0.34</f>
        <v>85.47999999999999</v>
      </c>
      <c r="L85" s="230">
        <f>84.41-0.34</f>
        <v>84.07</v>
      </c>
      <c r="M85" s="230">
        <f>83.36-0.34</f>
        <v>83.02</v>
      </c>
      <c r="N85" s="230">
        <f>89.02-0.34</f>
        <v>88.679999999999993</v>
      </c>
      <c r="O85" s="230">
        <f>82.46-0.34</f>
        <v>82.11999999999999</v>
      </c>
      <c r="P85" s="230">
        <f>81.26-0.34</f>
        <v>80.92</v>
      </c>
      <c r="Q85" s="230">
        <f>68.94-0.34</f>
        <v>68.599999999999994</v>
      </c>
      <c r="R85" s="213">
        <v>19.82</v>
      </c>
      <c r="X85" s="243">
        <f>(Q85-R85)/W5</f>
        <v>1.1484583023702151</v>
      </c>
      <c r="Y85" s="213">
        <v>15</v>
      </c>
      <c r="Z85" s="5" t="s">
        <v>771</v>
      </c>
      <c r="AA85" s="240" t="s">
        <v>745</v>
      </c>
      <c r="AB85" s="230">
        <f t="shared" si="7"/>
        <v>0.5332632338803891</v>
      </c>
      <c r="AC85" s="230">
        <f t="shared" si="8"/>
        <v>0.46121972413760803</v>
      </c>
      <c r="AD85" s="230">
        <f t="shared" si="9"/>
        <v>0.45015421773920705</v>
      </c>
      <c r="AE85" s="230">
        <f t="shared" si="10"/>
        <v>0.44003045656620204</v>
      </c>
      <c r="AF85" s="230">
        <f t="shared" si="11"/>
        <v>0.42354991512177492</v>
      </c>
      <c r="AG85" s="243">
        <f>(I85-Q85-0.34)/(Q85-R85)*X85</f>
        <v>0.40471501061385812</v>
      </c>
      <c r="AH85" s="230">
        <f>(J85-Q85-0.34)/(Q85-R85)*X85</f>
        <v>0.40871742782179049</v>
      </c>
      <c r="AI85" s="230">
        <f>(K85-Q85-0.34)/(Q85-R85)*X85</f>
        <v>0.38941165070117578</v>
      </c>
      <c r="AJ85" s="230">
        <f>(L85-Q85-0.34)/(Q85-R85)*X85</f>
        <v>0.35621513150597284</v>
      </c>
      <c r="AK85" s="230">
        <f>(M85-Q85-0.34)/(Q85-R85)*X85</f>
        <v>0.33149431933933238</v>
      </c>
      <c r="AL85" s="215">
        <f>89.02-0.34</f>
        <v>88.679999999999993</v>
      </c>
      <c r="AM85" s="230">
        <f>(P85-Q85-0.34)/(Q85-R85)*X85</f>
        <v>0.2820526950060514</v>
      </c>
      <c r="AN85" s="230">
        <f>68.94-0.34</f>
        <v>68.599999999999994</v>
      </c>
      <c r="AO85" s="213">
        <v>19.82</v>
      </c>
    </row>
    <row r="86" spans="1:41">
      <c r="A86">
        <v>16</v>
      </c>
      <c r="B86" s="5" t="s">
        <v>772</v>
      </c>
      <c r="C86" s="57" t="s">
        <v>747</v>
      </c>
      <c r="D86" s="231">
        <v>77.760000000000005</v>
      </c>
      <c r="E86" s="231">
        <v>67.88</v>
      </c>
      <c r="F86" s="204">
        <v>65.900000000000006</v>
      </c>
      <c r="G86" s="252">
        <v>65.08</v>
      </c>
      <c r="H86" s="204">
        <f>64.8-0.35</f>
        <v>64.45</v>
      </c>
      <c r="I86" s="231">
        <f>64.22-0.35</f>
        <v>63.87</v>
      </c>
      <c r="J86" s="243">
        <f>63.61-0.35-0.34</f>
        <v>62.919999999999995</v>
      </c>
      <c r="K86" s="231">
        <f>63.57-0.35-0.34</f>
        <v>62.879999999999995</v>
      </c>
      <c r="L86" s="231">
        <f>62.38-0.35-0.34</f>
        <v>61.69</v>
      </c>
      <c r="M86" s="231">
        <f>61.6-0.35-0.34</f>
        <v>60.91</v>
      </c>
      <c r="N86" s="231">
        <f>81.84-0.35-0.34</f>
        <v>81.150000000000006</v>
      </c>
      <c r="O86" s="231">
        <f>60.37-0.35-0.34</f>
        <v>59.679999999999993</v>
      </c>
      <c r="P86" s="231">
        <f>59.46-0.35-0.34</f>
        <v>58.769999999999996</v>
      </c>
      <c r="Q86" s="231">
        <f>54.25-0.35-0.34</f>
        <v>53.559999999999995</v>
      </c>
      <c r="R86" s="15">
        <v>20.62</v>
      </c>
      <c r="X86" s="243">
        <f>(Q86-R86)/W5</f>
        <v>0.7755271931134663</v>
      </c>
      <c r="Y86">
        <v>16</v>
      </c>
      <c r="Z86" s="5" t="s">
        <v>772</v>
      </c>
      <c r="AA86" s="57" t="s">
        <v>747</v>
      </c>
      <c r="AB86" s="230">
        <f t="shared" si="7"/>
        <v>0.56975586136447764</v>
      </c>
      <c r="AC86" s="230">
        <f t="shared" si="8"/>
        <v>0.33714479069170733</v>
      </c>
      <c r="AD86" s="230">
        <f t="shared" si="9"/>
        <v>0.29052840203461394</v>
      </c>
      <c r="AE86" s="252">
        <f>(H86-Q86-0.35)/(Q86-R86)*X86</f>
        <v>0.24814986689180152</v>
      </c>
      <c r="AF86" s="230">
        <f>(H86-Q86-0.35)/(Q86-R86)*X86</f>
        <v>0.24814986689180152</v>
      </c>
      <c r="AG86" s="230">
        <f>(I86-Q86-0.35)/(Q86-R86)*X86</f>
        <v>0.23449456112356185</v>
      </c>
      <c r="AH86" s="243">
        <f>(J86-Q86)/(Q86-R86)*X86</f>
        <v>0.2203683827426243</v>
      </c>
      <c r="AI86" s="230">
        <f>(K86-Q86)/(Q86-R86)*X86</f>
        <v>0.21942663751722852</v>
      </c>
      <c r="AJ86" s="230">
        <f>(L86-Q86)/(Q86-R86)*X86</f>
        <v>0.19140971706170259</v>
      </c>
      <c r="AK86" s="230">
        <f>(M86-Q86)/(Q86-R86)*X86</f>
        <v>0.17304568516648389</v>
      </c>
      <c r="AL86" s="204">
        <f>81.84-0.35-0.34</f>
        <v>81.150000000000006</v>
      </c>
      <c r="AM86" s="230">
        <f>(P86-Q86)/(Q86-R86)*X86</f>
        <v>0.12266231560780694</v>
      </c>
      <c r="AN86" s="231">
        <f>54.25-0.35-0.34</f>
        <v>53.559999999999995</v>
      </c>
      <c r="AO86" s="15">
        <v>20.62</v>
      </c>
    </row>
    <row r="87" spans="1:41">
      <c r="A87">
        <v>17</v>
      </c>
      <c r="B87" s="5" t="s">
        <v>772</v>
      </c>
      <c r="C87" s="57" t="s">
        <v>745</v>
      </c>
      <c r="D87" s="231">
        <v>79.37</v>
      </c>
      <c r="E87" s="231">
        <v>70.59</v>
      </c>
      <c r="F87" s="204">
        <v>68.78</v>
      </c>
      <c r="G87" s="204">
        <v>67.709999999999994</v>
      </c>
      <c r="H87" s="204">
        <v>66.52</v>
      </c>
      <c r="I87" s="231">
        <v>66.010000000000005</v>
      </c>
      <c r="J87" s="243">
        <v>65.38</v>
      </c>
      <c r="K87" s="231">
        <f>65.47-0.38</f>
        <v>65.09</v>
      </c>
      <c r="L87" s="231">
        <f>63.74-0.38</f>
        <v>63.36</v>
      </c>
      <c r="M87" s="231">
        <f>62.89-0.38</f>
        <v>62.51</v>
      </c>
      <c r="N87" s="243">
        <f>84.08-0.3-0.38</f>
        <v>83.4</v>
      </c>
      <c r="O87" s="231">
        <f>61.97-0.3-0.38</f>
        <v>61.29</v>
      </c>
      <c r="P87" s="231">
        <f>61.05-0.3-0.38</f>
        <v>60.37</v>
      </c>
      <c r="Q87" s="231">
        <f>56.33-0.3-0.38</f>
        <v>55.65</v>
      </c>
      <c r="R87" s="15">
        <v>20.7</v>
      </c>
      <c r="X87" s="243">
        <f>(Q87-R87)/W5</f>
        <v>0.8228498906896069</v>
      </c>
      <c r="Y87">
        <v>17</v>
      </c>
      <c r="Z87" s="5" t="s">
        <v>772</v>
      </c>
      <c r="AA87" s="57" t="s">
        <v>745</v>
      </c>
      <c r="AB87" s="230">
        <f t="shared" si="7"/>
        <v>0.55845491865972763</v>
      </c>
      <c r="AC87" s="230">
        <f t="shared" si="8"/>
        <v>0.35174184168534278</v>
      </c>
      <c r="AD87" s="230">
        <f t="shared" si="9"/>
        <v>0.30912787023618143</v>
      </c>
      <c r="AE87" s="230">
        <f t="shared" ref="AE87:AE94" si="18">(G87-Q87)/(Q87-R87)*X87</f>
        <v>0.28393618545684279</v>
      </c>
      <c r="AF87" s="230">
        <f t="shared" ref="AF87:AF94" si="19">(H87-Q87)/(Q87-R87)*X87</f>
        <v>0.25591926500131684</v>
      </c>
      <c r="AG87" s="230">
        <f t="shared" ref="AG87:AG94" si="20">(I87-Q87)/(Q87-R87)*X87</f>
        <v>0.24391201337752022</v>
      </c>
      <c r="AH87" s="243">
        <f>(J87-Q87-0.38)/(Q87-R87)*X87</f>
        <v>0.22013294643627529</v>
      </c>
      <c r="AI87" s="230">
        <f>(K87-Q87-0.38)/(Q87-R87)*X87</f>
        <v>0.21330529355215569</v>
      </c>
      <c r="AJ87" s="230">
        <f>(L87-Q87-0.38)/(Q87-R87)*X87</f>
        <v>0.17257481255378593</v>
      </c>
      <c r="AK87" s="230">
        <f>(M87-Q87-0.38)/(Q87-R87)*X87</f>
        <v>0.1525627265141245</v>
      </c>
      <c r="AL87" s="252">
        <f>84.08-0.3-0.38</f>
        <v>83.4</v>
      </c>
      <c r="AM87" s="230">
        <f>(P87-Q87)/(Q87-R87)*X87</f>
        <v>0.11112593659670796</v>
      </c>
      <c r="AN87" s="231">
        <f>56.33-0.3-0.38</f>
        <v>55.65</v>
      </c>
      <c r="AO87" s="15">
        <v>20.7</v>
      </c>
    </row>
    <row r="88" spans="1:41">
      <c r="A88">
        <v>18</v>
      </c>
      <c r="B88" s="5" t="s">
        <v>772</v>
      </c>
      <c r="C88" s="57" t="s">
        <v>744</v>
      </c>
      <c r="D88" s="231">
        <v>60.85</v>
      </c>
      <c r="E88" s="231">
        <v>54.36</v>
      </c>
      <c r="F88" s="204">
        <v>53.01</v>
      </c>
      <c r="G88" s="204">
        <v>52.51</v>
      </c>
      <c r="H88" s="204">
        <v>51.69</v>
      </c>
      <c r="I88" s="231">
        <v>51.4</v>
      </c>
      <c r="J88" s="231">
        <v>50.77</v>
      </c>
      <c r="K88" s="231">
        <v>50.1</v>
      </c>
      <c r="L88" s="231">
        <v>48.72</v>
      </c>
      <c r="M88" s="231">
        <v>48.31</v>
      </c>
      <c r="N88" s="231">
        <v>60.28</v>
      </c>
      <c r="O88" s="231">
        <v>48.27</v>
      </c>
      <c r="P88" s="231">
        <v>47.59</v>
      </c>
      <c r="Q88" s="231">
        <v>45.35</v>
      </c>
      <c r="R88" s="15">
        <v>24.09</v>
      </c>
      <c r="X88" s="243">
        <f>(Q88-R88)/W6</f>
        <v>0.92829467493379836</v>
      </c>
      <c r="Y88">
        <v>18</v>
      </c>
      <c r="Z88" s="5" t="s">
        <v>772</v>
      </c>
      <c r="AA88" s="57" t="s">
        <v>744</v>
      </c>
      <c r="AB88" s="230">
        <f t="shared" si="7"/>
        <v>0.67679056733179088</v>
      </c>
      <c r="AC88" s="230">
        <f t="shared" si="8"/>
        <v>0.39341180720383445</v>
      </c>
      <c r="AD88" s="230">
        <f t="shared" si="9"/>
        <v>0.33446553198461387</v>
      </c>
      <c r="AE88" s="230">
        <f t="shared" si="18"/>
        <v>0.31263357819971743</v>
      </c>
      <c r="AF88" s="230">
        <f t="shared" si="19"/>
        <v>0.27682917399248719</v>
      </c>
      <c r="AG88" s="230">
        <f t="shared" si="20"/>
        <v>0.26416664079724728</v>
      </c>
      <c r="AH88" s="230">
        <f t="shared" ref="AH88:AH94" si="21">(J88-Q88)/(Q88-R88)*X88</f>
        <v>0.23665837902827791</v>
      </c>
      <c r="AI88" s="230">
        <f t="shared" ref="AI88:AI94" si="22">(K88-Q88)/(Q88-R88)*X88</f>
        <v>0.20740356095651655</v>
      </c>
      <c r="AJ88" s="230">
        <f t="shared" ref="AJ88:AJ94" si="23">(L88-Q88)/(Q88-R88)*X88</f>
        <v>0.14714736851020216</v>
      </c>
      <c r="AK88" s="230">
        <f t="shared" ref="AK88:AK94" si="24">(M88-Q88)/(Q88-R88)*X88</f>
        <v>0.1292451664065872</v>
      </c>
      <c r="AL88" s="204">
        <v>60.28</v>
      </c>
      <c r="AM88" s="230">
        <f>(P88-Q88)/(Q88-R88)*X88</f>
        <v>9.780715295633631E-2</v>
      </c>
      <c r="AN88" s="231">
        <v>45.35</v>
      </c>
      <c r="AO88" s="15">
        <v>24.09</v>
      </c>
    </row>
    <row r="89" spans="1:41">
      <c r="A89" s="213">
        <v>19</v>
      </c>
      <c r="B89" s="5" t="s">
        <v>773</v>
      </c>
      <c r="C89" s="240" t="s">
        <v>747</v>
      </c>
      <c r="D89" s="230">
        <v>73.12</v>
      </c>
      <c r="E89" s="230">
        <v>60.1</v>
      </c>
      <c r="F89" s="215">
        <v>58.8</v>
      </c>
      <c r="G89" s="215">
        <v>58.27</v>
      </c>
      <c r="H89" s="215">
        <v>57.57</v>
      </c>
      <c r="I89" s="230">
        <v>57.05</v>
      </c>
      <c r="J89" s="230">
        <v>56.17</v>
      </c>
      <c r="K89" s="230">
        <v>55.43</v>
      </c>
      <c r="L89" s="230">
        <v>53.97</v>
      </c>
      <c r="M89" s="230">
        <v>53.26</v>
      </c>
      <c r="N89" s="243">
        <f>72.48-0.34</f>
        <v>72.14</v>
      </c>
      <c r="O89" s="230">
        <f>51.95-0.34</f>
        <v>51.61</v>
      </c>
      <c r="P89" s="230">
        <f>51.18-0.34</f>
        <v>50.839999999999996</v>
      </c>
      <c r="Q89" s="230">
        <f>47.18-0.34</f>
        <v>46.839999999999996</v>
      </c>
      <c r="R89" s="213">
        <v>19.579999999999998</v>
      </c>
      <c r="X89" s="243">
        <f>(Q89-R89)/W5</f>
        <v>0.64179937110725838</v>
      </c>
      <c r="Y89" s="213">
        <v>19</v>
      </c>
      <c r="Z89" s="5" t="s">
        <v>773</v>
      </c>
      <c r="AA89" s="240" t="s">
        <v>747</v>
      </c>
      <c r="AB89" s="230">
        <f t="shared" si="7"/>
        <v>0.61872661308506072</v>
      </c>
      <c r="AC89" s="230">
        <f t="shared" si="8"/>
        <v>0.31218854221871789</v>
      </c>
      <c r="AD89" s="230">
        <f t="shared" si="9"/>
        <v>0.28158182239335328</v>
      </c>
      <c r="AE89" s="230">
        <f t="shared" si="18"/>
        <v>0.26910369815685869</v>
      </c>
      <c r="AF89" s="230">
        <f t="shared" si="19"/>
        <v>0.25262315671243163</v>
      </c>
      <c r="AG89" s="230">
        <f t="shared" si="20"/>
        <v>0.24038046878228575</v>
      </c>
      <c r="AH89" s="230">
        <f t="shared" si="21"/>
        <v>0.21966207382357758</v>
      </c>
      <c r="AI89" s="230">
        <f t="shared" si="22"/>
        <v>0.20223978715375465</v>
      </c>
      <c r="AJ89" s="230">
        <f t="shared" si="23"/>
        <v>0.16786608642680684</v>
      </c>
      <c r="AK89" s="230">
        <f t="shared" si="24"/>
        <v>0.15115010867603082</v>
      </c>
      <c r="AL89" s="252">
        <f>72.48-0.34</f>
        <v>72.14</v>
      </c>
      <c r="AM89" s="230">
        <f>(P89-Q89)/(Q89-R89)*X89</f>
        <v>9.4174522539583042E-2</v>
      </c>
      <c r="AN89" s="230">
        <f>47.18-0.34</f>
        <v>46.839999999999996</v>
      </c>
      <c r="AO89" s="213">
        <v>19.579999999999998</v>
      </c>
    </row>
    <row r="90" spans="1:41">
      <c r="A90" s="213">
        <v>20</v>
      </c>
      <c r="B90" s="5" t="s">
        <v>773</v>
      </c>
      <c r="C90" s="240" t="s">
        <v>745</v>
      </c>
      <c r="D90" s="230">
        <v>78.260000000000005</v>
      </c>
      <c r="E90" s="230">
        <v>68.569999999999993</v>
      </c>
      <c r="F90" s="215">
        <v>67.319999999999993</v>
      </c>
      <c r="G90" s="215">
        <v>66.84</v>
      </c>
      <c r="H90" s="215">
        <v>65.94</v>
      </c>
      <c r="I90" s="230">
        <v>65.66</v>
      </c>
      <c r="J90" s="230">
        <v>65.05</v>
      </c>
      <c r="K90" s="230">
        <v>64.27</v>
      </c>
      <c r="L90" s="230">
        <v>62.73</v>
      </c>
      <c r="M90" s="230">
        <v>62.01</v>
      </c>
      <c r="N90" s="243">
        <v>80.33</v>
      </c>
      <c r="O90" s="230">
        <f>59.77-0.33</f>
        <v>59.440000000000005</v>
      </c>
      <c r="P90" s="230">
        <f>58.8-0.33</f>
        <v>58.47</v>
      </c>
      <c r="Q90" s="230">
        <f>53.92-0.33</f>
        <v>53.59</v>
      </c>
      <c r="R90" s="213">
        <v>20.6</v>
      </c>
      <c r="X90" s="243">
        <f>(Q90-R90)/W5</f>
        <v>0.77670437464521114</v>
      </c>
      <c r="Y90" s="213">
        <v>20</v>
      </c>
      <c r="Z90" s="5" t="s">
        <v>773</v>
      </c>
      <c r="AA90" s="240" t="s">
        <v>745</v>
      </c>
      <c r="AB90" s="230">
        <f t="shared" si="7"/>
        <v>0.5808213677628784</v>
      </c>
      <c r="AC90" s="230">
        <f t="shared" si="8"/>
        <v>0.35268358691073826</v>
      </c>
      <c r="AD90" s="230">
        <f t="shared" si="9"/>
        <v>0.32325404861711854</v>
      </c>
      <c r="AE90" s="230">
        <f t="shared" si="18"/>
        <v>0.3119531059123688</v>
      </c>
      <c r="AF90" s="230">
        <f t="shared" si="19"/>
        <v>0.29076383834096248</v>
      </c>
      <c r="AG90" s="230">
        <f t="shared" si="20"/>
        <v>0.28417162176319166</v>
      </c>
      <c r="AH90" s="230">
        <f t="shared" si="21"/>
        <v>0.26981000707590524</v>
      </c>
      <c r="AI90" s="230">
        <f t="shared" si="22"/>
        <v>0.25144597518068651</v>
      </c>
      <c r="AJ90" s="230">
        <f t="shared" si="23"/>
        <v>0.21518878400294705</v>
      </c>
      <c r="AK90" s="230">
        <f t="shared" si="24"/>
        <v>0.19823736994582217</v>
      </c>
      <c r="AL90" s="252">
        <v>80.33</v>
      </c>
      <c r="AM90" s="230">
        <f>(P90-Q90-0.33)/(Q90-R90)*X90</f>
        <v>0.1071235193887756</v>
      </c>
      <c r="AN90" s="230">
        <f>53.92-0.33</f>
        <v>53.59</v>
      </c>
      <c r="AO90" s="213">
        <v>20.6</v>
      </c>
    </row>
    <row r="91" spans="1:41">
      <c r="A91" s="213">
        <v>21</v>
      </c>
      <c r="B91" s="5" t="s">
        <v>773</v>
      </c>
      <c r="C91" s="240" t="s">
        <v>744</v>
      </c>
      <c r="D91" s="230">
        <v>59.33</v>
      </c>
      <c r="E91" s="230">
        <v>54.57</v>
      </c>
      <c r="F91" s="215">
        <v>53.83</v>
      </c>
      <c r="G91" s="215">
        <v>53.36</v>
      </c>
      <c r="H91" s="215">
        <v>52.77</v>
      </c>
      <c r="I91" s="230">
        <v>52.52</v>
      </c>
      <c r="J91" s="230">
        <v>51.87</v>
      </c>
      <c r="K91" s="230">
        <v>51.31</v>
      </c>
      <c r="L91" s="230">
        <v>50.43</v>
      </c>
      <c r="M91" s="230">
        <v>49.7</v>
      </c>
      <c r="N91" s="243">
        <v>60.76</v>
      </c>
      <c r="O91" s="230">
        <f>48.74-0.33</f>
        <v>48.410000000000004</v>
      </c>
      <c r="P91" s="230">
        <f>47.97-0.33</f>
        <v>47.64</v>
      </c>
      <c r="Q91" s="230">
        <f>45.16-0.33</f>
        <v>44.83</v>
      </c>
      <c r="R91" s="213">
        <v>23.92</v>
      </c>
      <c r="X91" s="243">
        <f>(Q91-R91)/W6</f>
        <v>0.91301230728437066</v>
      </c>
      <c r="Y91" s="213">
        <v>21</v>
      </c>
      <c r="Z91" s="5" t="s">
        <v>773</v>
      </c>
      <c r="AA91" s="240" t="s">
        <v>744</v>
      </c>
      <c r="AB91" s="230">
        <f t="shared" si="7"/>
        <v>0.633126659761998</v>
      </c>
      <c r="AC91" s="230">
        <f t="shared" si="8"/>
        <v>0.42528645972978352</v>
      </c>
      <c r="AD91" s="230">
        <f t="shared" si="9"/>
        <v>0.39297516812813665</v>
      </c>
      <c r="AE91" s="230">
        <f t="shared" si="18"/>
        <v>0.372453131570334</v>
      </c>
      <c r="AF91" s="230">
        <f t="shared" si="19"/>
        <v>0.34669142610415632</v>
      </c>
      <c r="AG91" s="230">
        <f t="shared" si="20"/>
        <v>0.3357754492117081</v>
      </c>
      <c r="AH91" s="230">
        <f t="shared" si="21"/>
        <v>0.30739390929134236</v>
      </c>
      <c r="AI91" s="230">
        <f t="shared" si="22"/>
        <v>0.28294212105225858</v>
      </c>
      <c r="AJ91" s="230">
        <f t="shared" si="23"/>
        <v>0.24451788239084066</v>
      </c>
      <c r="AK91" s="230">
        <f t="shared" si="24"/>
        <v>0.21264322986489193</v>
      </c>
      <c r="AL91" s="252">
        <v>60.76</v>
      </c>
      <c r="AM91" s="230">
        <f>(P91-Q91-0.33)/(Q91-R91)*X91</f>
        <v>0.10828649077308664</v>
      </c>
      <c r="AN91" s="230">
        <f>45.16-0.33</f>
        <v>44.83</v>
      </c>
      <c r="AO91" s="213">
        <v>23.92</v>
      </c>
    </row>
    <row r="92" spans="1:41">
      <c r="A92">
        <v>22</v>
      </c>
      <c r="B92" s="5" t="s">
        <v>10</v>
      </c>
      <c r="C92" s="57" t="s">
        <v>744</v>
      </c>
      <c r="D92" s="231">
        <v>66.260000000000005</v>
      </c>
      <c r="E92" s="231">
        <v>63.98</v>
      </c>
      <c r="F92" s="204">
        <v>63.6</v>
      </c>
      <c r="G92" s="204">
        <v>63.31</v>
      </c>
      <c r="H92" s="204">
        <v>62.94</v>
      </c>
      <c r="I92" s="231">
        <v>62.8</v>
      </c>
      <c r="J92" s="243">
        <f>62.9-0.33</f>
        <v>62.57</v>
      </c>
      <c r="K92" s="231">
        <f>63.01-0.33</f>
        <v>62.68</v>
      </c>
      <c r="L92" s="217">
        <f>61.71-0.33</f>
        <v>61.38</v>
      </c>
      <c r="M92" s="231">
        <f>60.82-0.33</f>
        <v>60.49</v>
      </c>
      <c r="N92" s="231">
        <f>89.62-0.33</f>
        <v>89.29</v>
      </c>
      <c r="O92" s="237">
        <f>60.1-0.33</f>
        <v>59.77</v>
      </c>
      <c r="P92" s="231">
        <f>59.32-0.33</f>
        <v>58.99</v>
      </c>
      <c r="Q92" s="231">
        <f>54.74-0.33</f>
        <v>54.410000000000004</v>
      </c>
      <c r="R92" s="15">
        <v>24.42</v>
      </c>
      <c r="X92" s="243">
        <f>(Q92-R92)/W6</f>
        <v>1.3094805880180909</v>
      </c>
      <c r="Y92">
        <v>22</v>
      </c>
      <c r="Z92" s="5" t="s">
        <v>10</v>
      </c>
      <c r="AA92" s="57" t="s">
        <v>744</v>
      </c>
      <c r="AB92" s="230">
        <f t="shared" si="7"/>
        <v>0.51741730470204661</v>
      </c>
      <c r="AC92" s="230">
        <f t="shared" si="8"/>
        <v>0.41786359544291835</v>
      </c>
      <c r="AD92" s="230">
        <f t="shared" si="9"/>
        <v>0.4012713105663972</v>
      </c>
      <c r="AE92" s="230">
        <f t="shared" si="18"/>
        <v>0.38860877737115729</v>
      </c>
      <c r="AF92" s="230">
        <f t="shared" si="19"/>
        <v>0.37245313157033372</v>
      </c>
      <c r="AG92" s="230">
        <f t="shared" si="20"/>
        <v>0.36634018451056266</v>
      </c>
      <c r="AH92" s="243">
        <f t="shared" si="21"/>
        <v>0.35629748576951037</v>
      </c>
      <c r="AI92" s="230">
        <f t="shared" si="22"/>
        <v>0.36110051560218759</v>
      </c>
      <c r="AJ92" s="230">
        <f t="shared" si="23"/>
        <v>0.30433743576145683</v>
      </c>
      <c r="AK92" s="230">
        <f t="shared" si="24"/>
        <v>0.26547655802434111</v>
      </c>
      <c r="AL92" s="204">
        <f>89.62-0.33</f>
        <v>89.29</v>
      </c>
      <c r="AM92" s="230">
        <f>(P92-Q92)/(Q92-R92)*X92</f>
        <v>0.19998069666965168</v>
      </c>
      <c r="AN92" s="231">
        <f>54.74-0.33</f>
        <v>54.410000000000004</v>
      </c>
      <c r="AO92" s="15">
        <v>24.42</v>
      </c>
    </row>
    <row r="93" spans="1:41">
      <c r="A93">
        <v>23</v>
      </c>
      <c r="B93" s="5" t="s">
        <v>10</v>
      </c>
      <c r="C93" s="57" t="s">
        <v>747</v>
      </c>
      <c r="D93" s="231">
        <v>89.15</v>
      </c>
      <c r="E93" s="231">
        <v>82.31</v>
      </c>
      <c r="F93" s="204">
        <v>81.39</v>
      </c>
      <c r="G93" s="204">
        <v>81</v>
      </c>
      <c r="H93" s="204">
        <v>80.63</v>
      </c>
      <c r="I93" s="231">
        <v>79.95</v>
      </c>
      <c r="J93" s="231">
        <v>78.66</v>
      </c>
      <c r="K93" s="231">
        <v>77.44</v>
      </c>
      <c r="L93" s="217">
        <v>75.599999999999994</v>
      </c>
      <c r="M93" s="231">
        <v>74.569999999999993</v>
      </c>
      <c r="N93" s="243">
        <v>84.92</v>
      </c>
      <c r="O93" s="237">
        <f>76.65-0.33</f>
        <v>76.320000000000007</v>
      </c>
      <c r="P93" s="231">
        <f>75.04-0.33</f>
        <v>74.710000000000008</v>
      </c>
      <c r="Q93" s="231">
        <f>66.6-0.33</f>
        <v>66.27</v>
      </c>
      <c r="R93" s="15">
        <v>20.53</v>
      </c>
      <c r="X93" s="243">
        <f>(Q93-R93)/W5</f>
        <v>1.076885665240132</v>
      </c>
      <c r="Y93">
        <v>23</v>
      </c>
      <c r="Z93" s="5" t="s">
        <v>10</v>
      </c>
      <c r="AA93" s="57" t="s">
        <v>747</v>
      </c>
      <c r="AB93" s="230">
        <f t="shared" si="7"/>
        <v>0.53867826892641524</v>
      </c>
      <c r="AC93" s="230">
        <f t="shared" si="8"/>
        <v>0.37763983538372814</v>
      </c>
      <c r="AD93" s="230">
        <f t="shared" si="9"/>
        <v>0.35597969519962397</v>
      </c>
      <c r="AE93" s="230">
        <f t="shared" si="18"/>
        <v>0.3467976792520146</v>
      </c>
      <c r="AF93" s="230">
        <f t="shared" si="19"/>
        <v>0.33808653591710308</v>
      </c>
      <c r="AG93" s="230">
        <f t="shared" si="20"/>
        <v>0.3220768670853742</v>
      </c>
      <c r="AH93" s="230">
        <f t="shared" si="21"/>
        <v>0.29170558356635851</v>
      </c>
      <c r="AI93" s="230">
        <f t="shared" si="22"/>
        <v>0.26298235419178567</v>
      </c>
      <c r="AJ93" s="230">
        <f t="shared" si="23"/>
        <v>0.21966207382357741</v>
      </c>
      <c r="AK93" s="230">
        <f t="shared" si="24"/>
        <v>0.19541213426963475</v>
      </c>
      <c r="AL93" s="252">
        <v>84.92</v>
      </c>
      <c r="AM93" s="230">
        <f>(P93-Q93-0.33)/(Q93-R93)*X93</f>
        <v>0.19093884444900491</v>
      </c>
      <c r="AN93" s="231">
        <f>66.6-0.33</f>
        <v>66.27</v>
      </c>
      <c r="AO93" s="15">
        <v>20.53</v>
      </c>
    </row>
    <row r="94" spans="1:41">
      <c r="A94">
        <v>24</v>
      </c>
      <c r="B94" s="5" t="s">
        <v>10</v>
      </c>
      <c r="C94" s="57" t="s">
        <v>745</v>
      </c>
      <c r="D94" s="231">
        <v>84.94</v>
      </c>
      <c r="E94" s="231">
        <v>77.900000000000006</v>
      </c>
      <c r="F94" s="204">
        <v>77.08</v>
      </c>
      <c r="G94" s="204">
        <v>76.569999999999993</v>
      </c>
      <c r="H94" s="204">
        <v>75.98</v>
      </c>
      <c r="I94" s="231">
        <v>75.900000000000006</v>
      </c>
      <c r="J94" s="231">
        <v>75.31</v>
      </c>
      <c r="K94" s="231">
        <v>74.709999999999994</v>
      </c>
      <c r="L94" s="231">
        <v>72.89</v>
      </c>
      <c r="M94" s="231">
        <v>72.349999999999994</v>
      </c>
      <c r="N94" s="243">
        <v>67.959999999999994</v>
      </c>
      <c r="O94" s="237">
        <f>71.92-0.33</f>
        <v>71.59</v>
      </c>
      <c r="P94" s="231">
        <f>70.56-0.33</f>
        <v>70.23</v>
      </c>
      <c r="Q94" s="231">
        <f>62.77-0.33</f>
        <v>62.440000000000005</v>
      </c>
      <c r="R94" s="15">
        <v>20.47</v>
      </c>
      <c r="X94" s="243">
        <f>(Q94-R94)/W5</f>
        <v>0.98812617774657518</v>
      </c>
      <c r="Y94">
        <v>24</v>
      </c>
      <c r="Z94" s="5" t="s">
        <v>10</v>
      </c>
      <c r="AA94" s="57" t="s">
        <v>745</v>
      </c>
      <c r="AB94" s="230">
        <f t="shared" si="7"/>
        <v>0.52973168928515446</v>
      </c>
      <c r="AC94" s="230">
        <f t="shared" si="8"/>
        <v>0.36398452961548849</v>
      </c>
      <c r="AD94" s="230">
        <f t="shared" si="9"/>
        <v>0.34467875249487379</v>
      </c>
      <c r="AE94" s="230">
        <f t="shared" si="18"/>
        <v>0.33267150087107683</v>
      </c>
      <c r="AF94" s="230">
        <f t="shared" si="19"/>
        <v>0.31878075879648859</v>
      </c>
      <c r="AG94" s="230">
        <f t="shared" si="20"/>
        <v>0.31689726834569698</v>
      </c>
      <c r="AH94" s="230">
        <f t="shared" si="21"/>
        <v>0.30300652627110836</v>
      </c>
      <c r="AI94" s="230">
        <f t="shared" si="22"/>
        <v>0.2888803478901707</v>
      </c>
      <c r="AJ94" s="230">
        <f t="shared" si="23"/>
        <v>0.24603094013466059</v>
      </c>
      <c r="AK94" s="230">
        <f t="shared" si="24"/>
        <v>0.23331737959181673</v>
      </c>
      <c r="AL94" s="252">
        <v>67.959999999999994</v>
      </c>
      <c r="AM94" s="230">
        <f>(P94-Q94-0.33)/(Q94-R94)*X94</f>
        <v>0.17563548453632236</v>
      </c>
      <c r="AN94" s="231">
        <f>62.77-0.33</f>
        <v>62.440000000000005</v>
      </c>
      <c r="AO94" s="15">
        <v>20.47</v>
      </c>
    </row>
    <row r="95" spans="1:41">
      <c r="D95" s="231"/>
      <c r="E95" s="231"/>
      <c r="F95" s="231"/>
      <c r="G95" s="231"/>
      <c r="H95" s="231"/>
      <c r="I95" s="231"/>
      <c r="J95" s="231"/>
      <c r="K95" s="231"/>
      <c r="L95" s="231"/>
      <c r="M95" s="231"/>
      <c r="N95" s="231"/>
      <c r="O95" s="204"/>
      <c r="P95" s="231"/>
      <c r="Q95" s="231"/>
      <c r="R95" s="231"/>
    </row>
    <row r="96" spans="1:41">
      <c r="A96" t="s">
        <v>761</v>
      </c>
      <c r="B96" t="s">
        <v>100</v>
      </c>
      <c r="C96" s="279" t="s">
        <v>563</v>
      </c>
      <c r="D96" s="248">
        <v>44337</v>
      </c>
      <c r="E96" s="248" t="s">
        <v>849</v>
      </c>
      <c r="F96" s="300" t="s">
        <v>853</v>
      </c>
      <c r="G96" s="300" t="s">
        <v>852</v>
      </c>
      <c r="H96" s="248">
        <v>44383</v>
      </c>
      <c r="I96" s="248" t="s">
        <v>1007</v>
      </c>
      <c r="J96" s="248" t="s">
        <v>1008</v>
      </c>
      <c r="K96" s="248" t="s">
        <v>1009</v>
      </c>
      <c r="L96" s="208">
        <v>44324</v>
      </c>
      <c r="M96" s="248" t="s">
        <v>1010</v>
      </c>
      <c r="N96" s="248" t="s">
        <v>1011</v>
      </c>
      <c r="O96" s="784">
        <v>44452</v>
      </c>
      <c r="P96" s="784">
        <v>44446</v>
      </c>
      <c r="Q96" s="784">
        <v>44452</v>
      </c>
      <c r="R96" s="785" t="s">
        <v>1081</v>
      </c>
      <c r="S96" s="785" t="s">
        <v>1081</v>
      </c>
      <c r="T96" s="248"/>
      <c r="U96" s="250"/>
    </row>
    <row r="97" spans="1:42" ht="61.5" customHeight="1">
      <c r="B97" t="s">
        <v>104</v>
      </c>
      <c r="C97" s="279" t="s">
        <v>730</v>
      </c>
      <c r="D97" s="726" t="s">
        <v>729</v>
      </c>
      <c r="E97" s="727" t="s">
        <v>851</v>
      </c>
      <c r="F97" s="279" t="s">
        <v>732</v>
      </c>
      <c r="G97" s="279" t="s">
        <v>733</v>
      </c>
      <c r="H97" s="279" t="s">
        <v>734</v>
      </c>
      <c r="I97" s="279" t="s">
        <v>735</v>
      </c>
      <c r="J97" s="279" t="s">
        <v>736</v>
      </c>
      <c r="K97" s="279" t="s">
        <v>737</v>
      </c>
      <c r="L97" s="279" t="s">
        <v>740</v>
      </c>
      <c r="M97" s="279" t="s">
        <v>739</v>
      </c>
      <c r="N97" s="470" t="s">
        <v>738</v>
      </c>
      <c r="O97" s="551" t="s">
        <v>1012</v>
      </c>
      <c r="P97" s="217" t="s">
        <v>741</v>
      </c>
      <c r="Q97" s="279" t="s">
        <v>742</v>
      </c>
      <c r="R97" s="786" t="s">
        <v>1082</v>
      </c>
      <c r="S97" s="551" t="s">
        <v>1012</v>
      </c>
    </row>
    <row r="98" spans="1:42">
      <c r="A98" s="207" t="s">
        <v>757</v>
      </c>
      <c r="B98" s="206" t="s">
        <v>119</v>
      </c>
      <c r="C98" s="279" t="s">
        <v>728</v>
      </c>
      <c r="D98" s="279" t="s">
        <v>731</v>
      </c>
      <c r="E98" s="217" t="s">
        <v>731</v>
      </c>
      <c r="F98" s="279" t="s">
        <v>731</v>
      </c>
      <c r="G98" s="279" t="s">
        <v>731</v>
      </c>
      <c r="H98" s="279" t="s">
        <v>731</v>
      </c>
      <c r="I98" s="279" t="s">
        <v>731</v>
      </c>
      <c r="J98" s="279" t="s">
        <v>731</v>
      </c>
      <c r="K98" s="279" t="s">
        <v>731</v>
      </c>
      <c r="L98" s="279" t="s">
        <v>731</v>
      </c>
      <c r="M98" s="279" t="s">
        <v>731</v>
      </c>
      <c r="N98" s="470" t="s">
        <v>731</v>
      </c>
      <c r="O98" s="279" t="s">
        <v>731</v>
      </c>
      <c r="P98" s="279" t="s">
        <v>731</v>
      </c>
      <c r="Q98" s="283" t="s">
        <v>731</v>
      </c>
      <c r="R98" s="283" t="s">
        <v>731</v>
      </c>
      <c r="S98" s="283" t="s">
        <v>731</v>
      </c>
    </row>
    <row r="99" spans="1:42" s="213" customFormat="1">
      <c r="A99" s="213">
        <v>1</v>
      </c>
      <c r="B99" s="213" t="s">
        <v>843</v>
      </c>
      <c r="C99" s="240" t="s">
        <v>744</v>
      </c>
      <c r="D99" s="230">
        <v>51.54</v>
      </c>
      <c r="E99" s="230">
        <v>67.23</v>
      </c>
      <c r="F99" s="230">
        <v>59.16</v>
      </c>
      <c r="G99" s="230">
        <f>59.29-0.33</f>
        <v>58.96</v>
      </c>
      <c r="H99" s="230">
        <f>57.36-0.33</f>
        <v>57.03</v>
      </c>
      <c r="I99" s="230">
        <v>56.86</v>
      </c>
      <c r="J99" s="230">
        <v>55.97</v>
      </c>
      <c r="K99" s="230">
        <v>54.92</v>
      </c>
      <c r="L99" s="230">
        <v>54.55</v>
      </c>
      <c r="M99" s="230">
        <v>53.02</v>
      </c>
      <c r="N99" s="728">
        <v>51.6</v>
      </c>
      <c r="O99" s="230">
        <v>65.38</v>
      </c>
      <c r="P99" s="728">
        <v>53</v>
      </c>
      <c r="Q99" s="213">
        <v>52.05</v>
      </c>
      <c r="R99" s="213">
        <v>0.32</v>
      </c>
      <c r="S99" s="213">
        <v>65.290000000000006</v>
      </c>
      <c r="W99" s="15"/>
      <c r="X99" s="243"/>
      <c r="AP99" s="5"/>
    </row>
    <row r="100" spans="1:42" s="213" customFormat="1">
      <c r="A100" s="213">
        <v>2</v>
      </c>
      <c r="B100" s="213" t="s">
        <v>843</v>
      </c>
      <c r="C100" s="240" t="s">
        <v>745</v>
      </c>
      <c r="D100" s="230">
        <v>50.09</v>
      </c>
      <c r="E100" s="230">
        <v>73.489999999999995</v>
      </c>
      <c r="F100" s="230">
        <v>61.61</v>
      </c>
      <c r="G100" s="230">
        <f>60.91-0.33</f>
        <v>60.58</v>
      </c>
      <c r="H100" s="230">
        <f>59.23-0.33</f>
        <v>58.9</v>
      </c>
      <c r="I100" s="230">
        <v>58.58</v>
      </c>
      <c r="J100" s="230">
        <v>57.52</v>
      </c>
      <c r="K100" s="230">
        <v>56.52</v>
      </c>
      <c r="L100" s="230">
        <v>55.4</v>
      </c>
      <c r="M100" s="230">
        <v>53.96</v>
      </c>
      <c r="N100" s="728">
        <v>52.42</v>
      </c>
      <c r="O100" s="230">
        <v>70.59</v>
      </c>
      <c r="P100" s="728">
        <v>53.54</v>
      </c>
      <c r="Q100" s="213">
        <v>52.73</v>
      </c>
      <c r="R100" s="213">
        <v>0.32</v>
      </c>
      <c r="S100" s="213">
        <v>70.98</v>
      </c>
      <c r="W100" s="15"/>
      <c r="X100" s="243"/>
      <c r="AP100" s="5"/>
    </row>
    <row r="101" spans="1:42" s="213" customFormat="1">
      <c r="A101" s="213">
        <v>3</v>
      </c>
      <c r="B101" s="213" t="s">
        <v>843</v>
      </c>
      <c r="C101" s="240" t="s">
        <v>747</v>
      </c>
      <c r="D101" s="230">
        <v>48.83</v>
      </c>
      <c r="E101" s="230">
        <v>67.67</v>
      </c>
      <c r="F101" s="230">
        <v>58.45</v>
      </c>
      <c r="G101" s="230">
        <f>58.5-0.33</f>
        <v>58.17</v>
      </c>
      <c r="H101" s="230">
        <f>57.35-0.33</f>
        <v>57.02</v>
      </c>
      <c r="I101" s="230">
        <v>56.29</v>
      </c>
      <c r="J101" s="230">
        <v>55.23</v>
      </c>
      <c r="K101" s="230">
        <v>54.25</v>
      </c>
      <c r="L101" s="230">
        <v>53.41</v>
      </c>
      <c r="M101" s="230">
        <v>51.89</v>
      </c>
      <c r="N101" s="728">
        <v>49.64</v>
      </c>
      <c r="O101" s="230">
        <v>68.27</v>
      </c>
      <c r="P101" s="728">
        <v>51.64</v>
      </c>
      <c r="Q101" s="213">
        <v>50.8</v>
      </c>
      <c r="R101" s="213">
        <v>0.32</v>
      </c>
      <c r="S101" s="213">
        <v>66.930000000000007</v>
      </c>
      <c r="W101" s="15"/>
      <c r="X101" s="243"/>
      <c r="AP101" s="5"/>
    </row>
    <row r="102" spans="1:42">
      <c r="A102">
        <v>4</v>
      </c>
      <c r="B102" t="s">
        <v>803</v>
      </c>
      <c r="C102" s="57" t="s">
        <v>744</v>
      </c>
      <c r="D102" s="231">
        <v>53.24</v>
      </c>
      <c r="E102" s="231">
        <v>64.069999999999993</v>
      </c>
      <c r="F102" s="231">
        <v>58.27</v>
      </c>
      <c r="G102" s="231">
        <f>58.05-0.33</f>
        <v>57.72</v>
      </c>
      <c r="H102" s="231">
        <f>57.41-0.33</f>
        <v>57.08</v>
      </c>
      <c r="I102" s="231">
        <v>56.66</v>
      </c>
      <c r="J102" s="231">
        <v>55.64</v>
      </c>
      <c r="K102" s="231">
        <v>54.76</v>
      </c>
      <c r="L102" s="231">
        <v>53.83</v>
      </c>
      <c r="M102" s="231">
        <v>51.38</v>
      </c>
      <c r="N102" s="728">
        <v>50.61</v>
      </c>
      <c r="O102" s="231">
        <v>64.86</v>
      </c>
      <c r="P102" s="728">
        <v>51.46</v>
      </c>
      <c r="Q102">
        <v>50.9</v>
      </c>
      <c r="R102">
        <v>0.33</v>
      </c>
      <c r="S102">
        <v>64.05</v>
      </c>
    </row>
    <row r="103" spans="1:42">
      <c r="A103">
        <v>5</v>
      </c>
      <c r="B103" t="s">
        <v>803</v>
      </c>
      <c r="C103" s="57" t="s">
        <v>745</v>
      </c>
      <c r="D103" s="231">
        <v>54.64</v>
      </c>
      <c r="E103" s="231">
        <v>74.8</v>
      </c>
      <c r="F103" s="231">
        <v>62.92</v>
      </c>
      <c r="G103" s="231">
        <f>63-0.34</f>
        <v>62.66</v>
      </c>
      <c r="H103" s="231">
        <f>61.57-0.34</f>
        <v>61.23</v>
      </c>
      <c r="I103" s="231">
        <v>60.62</v>
      </c>
      <c r="J103" s="231">
        <v>59.64</v>
      </c>
      <c r="K103" s="231">
        <v>58.56</v>
      </c>
      <c r="L103" s="231">
        <v>57.6</v>
      </c>
      <c r="M103" s="231">
        <v>54.44</v>
      </c>
      <c r="N103" s="728">
        <v>52.7</v>
      </c>
      <c r="O103" s="231">
        <v>74.11</v>
      </c>
      <c r="P103" s="728">
        <v>55.77</v>
      </c>
      <c r="Q103">
        <v>54.81</v>
      </c>
      <c r="R103">
        <v>0.33</v>
      </c>
      <c r="S103">
        <v>72.05</v>
      </c>
    </row>
    <row r="104" spans="1:42">
      <c r="A104">
        <v>6</v>
      </c>
      <c r="B104" t="s">
        <v>803</v>
      </c>
      <c r="C104" s="57" t="s">
        <v>747</v>
      </c>
      <c r="D104" s="231">
        <v>45.84</v>
      </c>
      <c r="E104" s="231">
        <v>62.67</v>
      </c>
      <c r="F104" s="231">
        <v>51.93</v>
      </c>
      <c r="G104" s="231">
        <v>50.88</v>
      </c>
      <c r="H104" s="231">
        <v>49.54</v>
      </c>
      <c r="I104" s="231">
        <v>48.87</v>
      </c>
      <c r="J104" s="231">
        <v>48.11</v>
      </c>
      <c r="K104" s="231">
        <v>47.23</v>
      </c>
      <c r="L104" s="231">
        <v>46.42</v>
      </c>
      <c r="M104" s="231">
        <v>45.07</v>
      </c>
      <c r="N104" s="728">
        <v>43.03</v>
      </c>
      <c r="O104" s="231">
        <v>61.61</v>
      </c>
      <c r="P104" s="728">
        <v>44.19</v>
      </c>
      <c r="Q104">
        <v>43.48</v>
      </c>
      <c r="R104">
        <v>0.33</v>
      </c>
      <c r="S104">
        <v>58.21</v>
      </c>
    </row>
    <row r="105" spans="1:42" s="213" customFormat="1">
      <c r="A105" s="213">
        <v>7</v>
      </c>
      <c r="B105" s="213" t="s">
        <v>844</v>
      </c>
      <c r="C105" s="240" t="s">
        <v>747</v>
      </c>
      <c r="D105" s="230">
        <v>57.58</v>
      </c>
      <c r="E105" s="230">
        <v>81.64</v>
      </c>
      <c r="F105" s="230">
        <v>71.86</v>
      </c>
      <c r="G105" s="230">
        <v>71.010000000000005</v>
      </c>
      <c r="H105" s="230">
        <v>68.45</v>
      </c>
      <c r="I105" s="230">
        <v>67.36</v>
      </c>
      <c r="J105" s="230">
        <v>65.94</v>
      </c>
      <c r="K105" s="230">
        <v>64.64</v>
      </c>
      <c r="L105" s="230">
        <v>62.53</v>
      </c>
      <c r="M105" s="230">
        <v>60.62</v>
      </c>
      <c r="N105" s="728">
        <v>59</v>
      </c>
      <c r="O105" s="230">
        <v>80.66</v>
      </c>
      <c r="P105" s="728">
        <v>60.45</v>
      </c>
      <c r="Q105" s="213">
        <v>59.6</v>
      </c>
      <c r="R105" s="213">
        <v>0.32</v>
      </c>
      <c r="S105" s="213">
        <v>79.010000000000005</v>
      </c>
      <c r="W105" s="15"/>
      <c r="X105" s="243"/>
      <c r="AP105" s="5"/>
    </row>
    <row r="106" spans="1:42" s="213" customFormat="1">
      <c r="A106" s="213">
        <v>8</v>
      </c>
      <c r="B106" s="213" t="s">
        <v>844</v>
      </c>
      <c r="C106" s="240" t="s">
        <v>745</v>
      </c>
      <c r="D106" s="230">
        <v>58.16</v>
      </c>
      <c r="E106" s="230">
        <v>79.599999999999994</v>
      </c>
      <c r="F106" s="230">
        <v>71.400000000000006</v>
      </c>
      <c r="G106" s="230">
        <v>70.14</v>
      </c>
      <c r="H106" s="230">
        <v>67.540000000000006</v>
      </c>
      <c r="I106" s="230">
        <v>66.72</v>
      </c>
      <c r="J106" s="230">
        <v>65.459999999999994</v>
      </c>
      <c r="K106" s="230">
        <v>64.260000000000005</v>
      </c>
      <c r="L106" s="230">
        <v>63.08</v>
      </c>
      <c r="M106" s="230">
        <v>60.73</v>
      </c>
      <c r="N106" s="728">
        <v>59.22</v>
      </c>
      <c r="O106" s="230">
        <v>78.540000000000006</v>
      </c>
      <c r="P106" s="728">
        <v>60.28</v>
      </c>
      <c r="Q106" s="213">
        <v>59.38</v>
      </c>
      <c r="R106" s="213">
        <v>0.32</v>
      </c>
      <c r="S106" s="213">
        <v>77.69</v>
      </c>
      <c r="W106" s="15"/>
      <c r="X106" s="243"/>
      <c r="AP106" s="5"/>
    </row>
    <row r="107" spans="1:42" s="213" customFormat="1">
      <c r="A107" s="213">
        <v>9</v>
      </c>
      <c r="B107" s="213" t="s">
        <v>844</v>
      </c>
      <c r="C107" s="240" t="s">
        <v>744</v>
      </c>
      <c r="D107" s="230">
        <v>41.43</v>
      </c>
      <c r="E107" s="230">
        <v>52.34</v>
      </c>
      <c r="F107" s="230">
        <v>47.68</v>
      </c>
      <c r="G107" s="230">
        <v>46.94</v>
      </c>
      <c r="H107" s="230">
        <v>45.45</v>
      </c>
      <c r="I107" s="230">
        <v>44.73</v>
      </c>
      <c r="J107" s="230">
        <v>43.99</v>
      </c>
      <c r="K107" s="230">
        <v>43.08</v>
      </c>
      <c r="L107" s="230">
        <v>42.53</v>
      </c>
      <c r="M107" s="230">
        <v>41.38</v>
      </c>
      <c r="N107" s="728">
        <v>40.619999999999997</v>
      </c>
      <c r="O107" s="230">
        <v>51.59</v>
      </c>
      <c r="P107" s="728">
        <v>40.950000000000003</v>
      </c>
      <c r="Q107" s="213">
        <v>40.369999999999997</v>
      </c>
      <c r="R107" s="213">
        <v>0.3</v>
      </c>
      <c r="S107" s="213">
        <v>51.49</v>
      </c>
      <c r="W107" s="15"/>
      <c r="X107" s="243"/>
      <c r="AP107" s="5"/>
    </row>
    <row r="108" spans="1:42">
      <c r="A108">
        <v>10</v>
      </c>
      <c r="B108" t="s">
        <v>845</v>
      </c>
      <c r="C108" s="57" t="s">
        <v>744</v>
      </c>
      <c r="D108" s="231">
        <v>47.14</v>
      </c>
      <c r="E108" s="231">
        <v>59.68</v>
      </c>
      <c r="F108" s="231">
        <v>56.22</v>
      </c>
      <c r="G108" s="231">
        <v>56.09</v>
      </c>
      <c r="H108" s="231">
        <v>54.31</v>
      </c>
      <c r="I108" s="231">
        <v>53.84</v>
      </c>
      <c r="J108" s="231">
        <v>53.14</v>
      </c>
      <c r="K108" s="231">
        <v>52.34</v>
      </c>
      <c r="L108" s="231">
        <v>51.42</v>
      </c>
      <c r="M108" s="231">
        <v>50.22</v>
      </c>
      <c r="N108" s="728">
        <v>49.27</v>
      </c>
      <c r="O108" s="231">
        <v>60.96</v>
      </c>
      <c r="P108" s="728">
        <v>50.42</v>
      </c>
      <c r="Q108">
        <v>49.68</v>
      </c>
      <c r="R108">
        <v>0.32</v>
      </c>
      <c r="S108">
        <v>62</v>
      </c>
    </row>
    <row r="109" spans="1:42">
      <c r="A109">
        <v>11</v>
      </c>
      <c r="B109" t="s">
        <v>845</v>
      </c>
      <c r="C109" s="57" t="s">
        <v>745</v>
      </c>
      <c r="D109" s="231">
        <v>52.04</v>
      </c>
      <c r="E109" s="231">
        <v>72.72</v>
      </c>
      <c r="F109" s="231">
        <v>63.08</v>
      </c>
      <c r="G109" s="231">
        <v>62.33</v>
      </c>
      <c r="H109" s="231">
        <v>60.15</v>
      </c>
      <c r="I109" s="231">
        <v>52.95</v>
      </c>
      <c r="J109" s="231">
        <v>58.05</v>
      </c>
      <c r="K109" s="231">
        <v>57.13</v>
      </c>
      <c r="L109" s="231">
        <v>56.06</v>
      </c>
      <c r="M109" s="231">
        <v>54.6</v>
      </c>
      <c r="N109" s="728">
        <v>53.28</v>
      </c>
      <c r="O109" s="231">
        <v>63.24</v>
      </c>
      <c r="P109" s="728">
        <v>52.84</v>
      </c>
      <c r="Q109">
        <v>52.14</v>
      </c>
      <c r="R109">
        <v>0.32</v>
      </c>
      <c r="S109">
        <v>62.89</v>
      </c>
    </row>
    <row r="110" spans="1:42">
      <c r="A110" s="106">
        <v>12</v>
      </c>
      <c r="B110" s="106" t="s">
        <v>845</v>
      </c>
      <c r="C110" s="284" t="s">
        <v>747</v>
      </c>
      <c r="D110" s="286">
        <v>47.41</v>
      </c>
      <c r="E110" s="231">
        <v>64.959999999999994</v>
      </c>
      <c r="F110" s="231">
        <v>56.38</v>
      </c>
      <c r="G110" s="231">
        <v>55.89</v>
      </c>
      <c r="H110" s="231">
        <v>53.85</v>
      </c>
      <c r="I110" s="231">
        <v>59.21</v>
      </c>
      <c r="J110" s="231">
        <v>52.18</v>
      </c>
      <c r="K110" s="231">
        <v>51.41</v>
      </c>
      <c r="L110" s="231">
        <v>50.44</v>
      </c>
      <c r="M110" s="231">
        <v>49.15</v>
      </c>
      <c r="N110" s="728">
        <v>47.78</v>
      </c>
      <c r="O110" s="231">
        <v>71.41</v>
      </c>
      <c r="P110" s="728">
        <v>48.27</v>
      </c>
      <c r="Q110">
        <v>47.7</v>
      </c>
      <c r="R110">
        <v>0.33</v>
      </c>
      <c r="S110">
        <v>70.75</v>
      </c>
    </row>
    <row r="111" spans="1:42" s="213" customFormat="1">
      <c r="A111" s="213">
        <v>13</v>
      </c>
      <c r="B111" s="213" t="s">
        <v>846</v>
      </c>
      <c r="C111" s="240" t="s">
        <v>744</v>
      </c>
      <c r="D111" s="230">
        <v>39.25</v>
      </c>
      <c r="E111" s="230">
        <v>45.18</v>
      </c>
      <c r="F111" s="230">
        <v>40.98</v>
      </c>
      <c r="G111" s="230">
        <v>41.01</v>
      </c>
      <c r="H111" s="230">
        <v>39.44</v>
      </c>
      <c r="I111" s="230">
        <v>38.979999999999997</v>
      </c>
      <c r="J111" s="230">
        <v>38.44</v>
      </c>
      <c r="K111" s="230">
        <v>37.72</v>
      </c>
      <c r="L111" s="230">
        <v>37.72</v>
      </c>
      <c r="M111" s="230">
        <v>36.159999999999997</v>
      </c>
      <c r="N111" s="728">
        <v>35.14</v>
      </c>
      <c r="O111" s="230">
        <v>47.47</v>
      </c>
      <c r="P111" s="728">
        <v>36.450000000000003</v>
      </c>
      <c r="Q111" s="213">
        <v>35.92</v>
      </c>
      <c r="R111" s="213">
        <v>0.31</v>
      </c>
      <c r="S111" s="213">
        <v>45.81</v>
      </c>
      <c r="W111" s="15"/>
      <c r="X111" s="243"/>
      <c r="AP111" s="5"/>
    </row>
    <row r="112" spans="1:42" s="213" customFormat="1">
      <c r="A112" s="213">
        <v>14</v>
      </c>
      <c r="B112" s="213" t="s">
        <v>846</v>
      </c>
      <c r="C112" s="240" t="s">
        <v>745</v>
      </c>
      <c r="D112" s="230">
        <v>53.22</v>
      </c>
      <c r="E112" s="230">
        <v>74.03</v>
      </c>
      <c r="F112" s="230">
        <v>63.32</v>
      </c>
      <c r="G112" s="230">
        <v>62.27</v>
      </c>
      <c r="H112" s="230">
        <v>60.39</v>
      </c>
      <c r="I112" s="230">
        <v>59.83</v>
      </c>
      <c r="J112" s="230">
        <v>58.9</v>
      </c>
      <c r="K112" s="230">
        <v>58.05</v>
      </c>
      <c r="L112" s="230">
        <v>57.54</v>
      </c>
      <c r="M112" s="230">
        <v>54.34</v>
      </c>
      <c r="N112" s="728">
        <v>51.75</v>
      </c>
      <c r="O112" s="230">
        <v>73.67</v>
      </c>
      <c r="P112" s="728">
        <v>54.6</v>
      </c>
      <c r="Q112" s="213">
        <v>53.87</v>
      </c>
      <c r="R112" s="213">
        <v>0.32</v>
      </c>
      <c r="S112" s="213">
        <v>73.69</v>
      </c>
      <c r="W112" s="15"/>
      <c r="X112" s="243"/>
      <c r="AP112" s="5"/>
    </row>
    <row r="113" spans="1:42" s="213" customFormat="1">
      <c r="A113" s="213">
        <v>15</v>
      </c>
      <c r="B113" s="213" t="s">
        <v>846</v>
      </c>
      <c r="C113" s="298" t="s">
        <v>747</v>
      </c>
      <c r="D113" s="230">
        <v>52.12</v>
      </c>
      <c r="E113" s="230">
        <v>73.33</v>
      </c>
      <c r="F113" s="230">
        <v>62.48</v>
      </c>
      <c r="G113" s="230">
        <v>62.37</v>
      </c>
      <c r="H113" s="230">
        <v>60.05</v>
      </c>
      <c r="I113" s="230">
        <v>59.14</v>
      </c>
      <c r="J113" s="230">
        <v>58.16</v>
      </c>
      <c r="K113" s="230">
        <v>57.24</v>
      </c>
      <c r="L113" s="230">
        <v>57.02</v>
      </c>
      <c r="M113" s="230">
        <v>54.01</v>
      </c>
      <c r="N113" s="728">
        <v>51.48</v>
      </c>
      <c r="O113" s="230">
        <v>74.599999999999994</v>
      </c>
      <c r="P113" s="728">
        <v>54.26</v>
      </c>
      <c r="Q113" s="213">
        <v>53.52</v>
      </c>
      <c r="R113" s="213">
        <v>0.31</v>
      </c>
      <c r="S113" s="213">
        <v>73.540000000000006</v>
      </c>
      <c r="W113" s="15"/>
      <c r="X113" s="243"/>
      <c r="AP113" s="5"/>
    </row>
    <row r="114" spans="1:42">
      <c r="A114">
        <v>16</v>
      </c>
      <c r="B114" t="s">
        <v>806</v>
      </c>
      <c r="C114" s="285" t="s">
        <v>744</v>
      </c>
      <c r="D114" s="231">
        <v>41.27</v>
      </c>
      <c r="E114" s="231">
        <v>49.26</v>
      </c>
      <c r="F114" s="231">
        <v>45.34</v>
      </c>
      <c r="G114" s="231">
        <v>44.89</v>
      </c>
      <c r="H114" s="231">
        <v>43.7</v>
      </c>
      <c r="I114" s="231">
        <v>42.94</v>
      </c>
      <c r="J114" s="231">
        <v>42.28</v>
      </c>
      <c r="K114" s="231">
        <v>41.56</v>
      </c>
      <c r="L114" s="231">
        <v>41.4</v>
      </c>
      <c r="M114" s="231">
        <v>39.549999999999997</v>
      </c>
      <c r="N114" s="728">
        <v>38.89</v>
      </c>
      <c r="O114" s="231">
        <v>50.59</v>
      </c>
      <c r="P114" s="728">
        <v>39.979999999999997</v>
      </c>
      <c r="Q114">
        <v>39.450000000000003</v>
      </c>
      <c r="R114" s="15">
        <v>0.32</v>
      </c>
      <c r="S114">
        <v>51.8</v>
      </c>
    </row>
    <row r="115" spans="1:42">
      <c r="A115">
        <v>17</v>
      </c>
      <c r="B115" t="s">
        <v>806</v>
      </c>
      <c r="C115" s="285" t="s">
        <v>745</v>
      </c>
      <c r="D115" s="231">
        <v>43.4</v>
      </c>
      <c r="E115" s="231">
        <v>58.65</v>
      </c>
      <c r="F115" s="231">
        <v>50.86</v>
      </c>
      <c r="G115" s="231">
        <v>50.83</v>
      </c>
      <c r="H115" s="231">
        <v>48.82</v>
      </c>
      <c r="I115" s="231">
        <v>48.21</v>
      </c>
      <c r="J115" s="231">
        <v>47.42</v>
      </c>
      <c r="K115" s="231">
        <v>46.5</v>
      </c>
      <c r="L115" s="231">
        <v>46.06</v>
      </c>
      <c r="M115" s="231">
        <v>43.74</v>
      </c>
      <c r="N115" s="728">
        <v>42.39</v>
      </c>
      <c r="O115" s="231">
        <v>60.6</v>
      </c>
      <c r="P115" s="728">
        <v>44.17</v>
      </c>
      <c r="Q115">
        <v>43.56</v>
      </c>
      <c r="R115" s="15">
        <v>0.32</v>
      </c>
      <c r="S115">
        <v>60.89</v>
      </c>
    </row>
    <row r="116" spans="1:42">
      <c r="A116">
        <v>18</v>
      </c>
      <c r="B116" t="s">
        <v>806</v>
      </c>
      <c r="C116" s="285" t="s">
        <v>747</v>
      </c>
      <c r="D116" s="231">
        <v>52.87</v>
      </c>
      <c r="E116" s="231">
        <v>62.7</v>
      </c>
      <c r="F116" s="231">
        <v>55.33</v>
      </c>
      <c r="G116" s="231">
        <v>55.46</v>
      </c>
      <c r="H116" s="231">
        <v>52.89</v>
      </c>
      <c r="I116" s="231">
        <v>52.09</v>
      </c>
      <c r="J116" s="231">
        <v>51.17</v>
      </c>
      <c r="K116" s="231">
        <v>50.22</v>
      </c>
      <c r="L116" s="231">
        <v>49.59</v>
      </c>
      <c r="M116" s="231">
        <v>47.28</v>
      </c>
      <c r="N116" s="728">
        <v>45.78</v>
      </c>
      <c r="O116" s="231">
        <v>65.180000000000007</v>
      </c>
      <c r="P116" s="728">
        <v>48.01</v>
      </c>
      <c r="Q116">
        <v>47.42</v>
      </c>
      <c r="R116" s="15">
        <v>0.32</v>
      </c>
      <c r="S116">
        <v>65.849999999999994</v>
      </c>
    </row>
    <row r="117" spans="1:42" s="213" customFormat="1">
      <c r="A117" s="213">
        <v>19</v>
      </c>
      <c r="B117" s="213" t="s">
        <v>841</v>
      </c>
      <c r="C117" s="298" t="s">
        <v>744</v>
      </c>
      <c r="D117" s="230">
        <v>63.46</v>
      </c>
      <c r="E117" s="230">
        <v>73.73</v>
      </c>
      <c r="F117" s="230">
        <v>73.05</v>
      </c>
      <c r="G117" s="230">
        <v>72.72</v>
      </c>
      <c r="H117" s="230">
        <v>71.66</v>
      </c>
      <c r="I117" s="230">
        <v>70.95</v>
      </c>
      <c r="J117" s="230">
        <v>69.819999999999993</v>
      </c>
      <c r="K117" s="230">
        <v>68.61</v>
      </c>
      <c r="L117" s="230">
        <v>67.819999999999993</v>
      </c>
      <c r="M117" s="230">
        <v>64.22</v>
      </c>
      <c r="N117" s="728">
        <v>62.95</v>
      </c>
      <c r="O117" s="230">
        <v>75.3</v>
      </c>
      <c r="P117" s="728">
        <v>66.89</v>
      </c>
      <c r="Q117" s="213">
        <v>66</v>
      </c>
      <c r="R117" s="213">
        <v>0.3</v>
      </c>
      <c r="S117" s="213">
        <v>76.989999999999995</v>
      </c>
      <c r="W117" s="15"/>
      <c r="X117" s="243"/>
      <c r="AP117" s="5"/>
    </row>
    <row r="118" spans="1:42">
      <c r="A118">
        <v>20</v>
      </c>
      <c r="B118" t="s">
        <v>158</v>
      </c>
      <c r="C118" s="285" t="s">
        <v>744</v>
      </c>
      <c r="D118" s="231">
        <v>79</v>
      </c>
      <c r="E118" s="231">
        <v>62.73</v>
      </c>
      <c r="F118" s="231">
        <v>95.17</v>
      </c>
      <c r="G118" s="231">
        <v>94.78</v>
      </c>
      <c r="H118" s="231">
        <v>92.47</v>
      </c>
      <c r="I118" s="231">
        <v>91.64</v>
      </c>
      <c r="J118" s="231">
        <v>89.56</v>
      </c>
      <c r="K118" s="231">
        <v>88.08</v>
      </c>
      <c r="L118" s="231">
        <v>87.48</v>
      </c>
      <c r="M118" s="231">
        <v>81.92</v>
      </c>
      <c r="N118" s="728">
        <v>79.56</v>
      </c>
      <c r="O118" s="231">
        <v>96.89</v>
      </c>
      <c r="P118" s="728">
        <v>86.47</v>
      </c>
      <c r="Q118">
        <v>85.34</v>
      </c>
      <c r="R118">
        <v>0.33</v>
      </c>
      <c r="S118">
        <v>97.7</v>
      </c>
    </row>
    <row r="119" spans="1:42">
      <c r="A119">
        <v>21</v>
      </c>
      <c r="B119" t="s">
        <v>158</v>
      </c>
      <c r="C119" s="285" t="s">
        <v>745</v>
      </c>
      <c r="D119" s="231">
        <v>59.89</v>
      </c>
      <c r="E119" s="231">
        <v>76.42</v>
      </c>
      <c r="F119" s="231">
        <v>72.569999999999993</v>
      </c>
      <c r="G119" s="231">
        <v>71.66</v>
      </c>
      <c r="H119" s="231">
        <v>69.290000000000006</v>
      </c>
      <c r="I119" s="231">
        <v>68.849999999999994</v>
      </c>
      <c r="J119" s="231">
        <v>67.92</v>
      </c>
      <c r="K119" s="231">
        <v>66.900000000000006</v>
      </c>
      <c r="L119" s="231">
        <v>66.34</v>
      </c>
      <c r="M119" s="231">
        <v>62.77</v>
      </c>
      <c r="N119" s="728">
        <v>59.99</v>
      </c>
      <c r="O119" s="231">
        <v>79.81</v>
      </c>
      <c r="P119" s="728">
        <v>63.19</v>
      </c>
      <c r="Q119">
        <v>62.4</v>
      </c>
      <c r="R119">
        <v>0.31</v>
      </c>
      <c r="S119">
        <v>80.569999999999993</v>
      </c>
    </row>
    <row r="120" spans="1:42" s="213" customFormat="1">
      <c r="A120" s="213">
        <v>22</v>
      </c>
      <c r="B120" s="213" t="s">
        <v>841</v>
      </c>
      <c r="C120" s="298" t="s">
        <v>745</v>
      </c>
      <c r="D120" s="230">
        <v>51.89</v>
      </c>
      <c r="E120" s="230">
        <v>96.47</v>
      </c>
      <c r="F120" s="230">
        <v>61.07</v>
      </c>
      <c r="G120" s="230">
        <v>60.66</v>
      </c>
      <c r="H120" s="230">
        <v>58.98</v>
      </c>
      <c r="I120" s="230">
        <v>58.8</v>
      </c>
      <c r="J120" s="230">
        <v>58</v>
      </c>
      <c r="K120" s="230">
        <v>56.91</v>
      </c>
      <c r="L120" s="230">
        <v>56.91</v>
      </c>
      <c r="M120" s="230">
        <v>53.26</v>
      </c>
      <c r="N120" s="728">
        <v>51.36</v>
      </c>
      <c r="O120" s="230">
        <v>63.76</v>
      </c>
      <c r="P120" s="728">
        <v>54.52</v>
      </c>
      <c r="Q120" s="213">
        <v>53.71</v>
      </c>
      <c r="R120" s="213">
        <v>0.31</v>
      </c>
      <c r="S120" s="213">
        <v>65.77</v>
      </c>
      <c r="W120" s="15"/>
      <c r="X120" s="243"/>
      <c r="AP120" s="5"/>
    </row>
    <row r="121" spans="1:42" s="213" customFormat="1">
      <c r="A121" s="213">
        <v>23</v>
      </c>
      <c r="B121" s="213" t="s">
        <v>841</v>
      </c>
      <c r="C121" s="298" t="s">
        <v>747</v>
      </c>
      <c r="D121" s="230">
        <v>66.22</v>
      </c>
      <c r="E121" s="230">
        <v>83.14</v>
      </c>
      <c r="F121" s="230">
        <v>79.06</v>
      </c>
      <c r="G121" s="230">
        <v>78.28</v>
      </c>
      <c r="H121" s="230">
        <v>76.28</v>
      </c>
      <c r="I121" s="230">
        <v>75.77</v>
      </c>
      <c r="J121" s="230">
        <v>74.760000000000005</v>
      </c>
      <c r="K121" s="230">
        <v>73.849999999999994</v>
      </c>
      <c r="L121" s="230">
        <v>75.13</v>
      </c>
      <c r="M121" s="230">
        <v>70.37</v>
      </c>
      <c r="N121" s="728">
        <v>67.150000000000006</v>
      </c>
      <c r="O121" s="230">
        <v>85.19</v>
      </c>
      <c r="P121" s="728">
        <v>71.25</v>
      </c>
      <c r="Q121" s="213">
        <v>70.319999999999993</v>
      </c>
      <c r="R121" s="213">
        <v>0.31</v>
      </c>
      <c r="S121" s="213">
        <v>85.87</v>
      </c>
      <c r="W121" s="15"/>
      <c r="X121" s="243"/>
      <c r="AP121" s="5"/>
    </row>
    <row r="122" spans="1:42">
      <c r="A122" s="106">
        <v>24</v>
      </c>
      <c r="B122" s="106" t="s">
        <v>158</v>
      </c>
      <c r="C122" s="284" t="s">
        <v>747</v>
      </c>
      <c r="D122" s="231">
        <v>60.45</v>
      </c>
      <c r="E122" s="231">
        <v>80.45</v>
      </c>
      <c r="F122" s="231">
        <v>73.41</v>
      </c>
      <c r="G122" s="231">
        <v>73.16</v>
      </c>
      <c r="H122" s="231">
        <v>70.739999999999995</v>
      </c>
      <c r="I122" s="231">
        <v>69.69</v>
      </c>
      <c r="J122" s="231">
        <v>68.28</v>
      </c>
      <c r="K122" s="231">
        <v>67.42</v>
      </c>
      <c r="L122" s="231">
        <v>67.17</v>
      </c>
      <c r="M122" s="231">
        <v>63.21</v>
      </c>
      <c r="N122" s="728">
        <v>61.24</v>
      </c>
      <c r="O122" s="231">
        <v>80.290000000000006</v>
      </c>
      <c r="P122" s="728">
        <v>63.99</v>
      </c>
      <c r="Q122">
        <v>63.2</v>
      </c>
      <c r="R122" s="15">
        <v>0.32</v>
      </c>
      <c r="S122" s="15">
        <v>81.55</v>
      </c>
    </row>
    <row r="123" spans="1:42" s="213" customFormat="1">
      <c r="A123" s="213">
        <v>25</v>
      </c>
      <c r="B123" s="299" t="s">
        <v>11</v>
      </c>
      <c r="C123" s="240" t="s">
        <v>744</v>
      </c>
      <c r="D123" s="230">
        <v>49.69</v>
      </c>
      <c r="E123" s="230">
        <v>60.22</v>
      </c>
      <c r="F123" s="230">
        <v>57.93</v>
      </c>
      <c r="G123" s="230">
        <v>57.32</v>
      </c>
      <c r="H123" s="230">
        <v>56.65</v>
      </c>
      <c r="I123" s="230">
        <v>55.62</v>
      </c>
      <c r="J123" s="230">
        <v>54.56</v>
      </c>
      <c r="K123" s="230">
        <v>53.7</v>
      </c>
      <c r="L123" s="230">
        <v>53.29</v>
      </c>
      <c r="M123" s="230">
        <v>52.62</v>
      </c>
      <c r="N123" s="766">
        <v>51.32</v>
      </c>
      <c r="O123" s="230">
        <v>63.58</v>
      </c>
      <c r="P123" s="766">
        <v>53.78</v>
      </c>
      <c r="W123" s="15"/>
      <c r="X123" s="243"/>
      <c r="AP123" s="5"/>
    </row>
    <row r="124" spans="1:42" s="213" customFormat="1">
      <c r="A124" s="213">
        <v>26</v>
      </c>
      <c r="B124" s="299" t="s">
        <v>11</v>
      </c>
      <c r="C124" s="240" t="s">
        <v>745</v>
      </c>
      <c r="D124" s="230">
        <v>55.03</v>
      </c>
      <c r="E124" s="230">
        <v>73.790000000000006</v>
      </c>
      <c r="F124" s="230">
        <v>66.45</v>
      </c>
      <c r="G124" s="230">
        <v>65.7</v>
      </c>
      <c r="H124" s="230">
        <v>64.28</v>
      </c>
      <c r="I124" s="230">
        <v>63.25</v>
      </c>
      <c r="J124" s="230">
        <v>62.18</v>
      </c>
      <c r="K124" s="230">
        <v>61.33</v>
      </c>
      <c r="L124" s="230">
        <v>60.59</v>
      </c>
      <c r="M124" s="230">
        <v>59.89</v>
      </c>
      <c r="N124" s="766">
        <v>58.65</v>
      </c>
      <c r="O124" s="230">
        <v>76.83</v>
      </c>
      <c r="P124" s="766">
        <v>62.08</v>
      </c>
      <c r="W124" s="15"/>
      <c r="X124" s="243"/>
      <c r="AP124" s="5"/>
    </row>
    <row r="125" spans="1:42" s="213" customFormat="1">
      <c r="A125" s="213">
        <v>27</v>
      </c>
      <c r="B125" s="299" t="s">
        <v>11</v>
      </c>
      <c r="C125" s="240" t="s">
        <v>747</v>
      </c>
      <c r="D125" s="230">
        <v>53.4</v>
      </c>
      <c r="E125" s="230">
        <v>75.44</v>
      </c>
      <c r="F125" s="230">
        <v>64.7</v>
      </c>
      <c r="G125" s="230">
        <v>64.319999999999993</v>
      </c>
      <c r="H125" s="238">
        <v>62.06</v>
      </c>
      <c r="I125" s="230">
        <v>61.17</v>
      </c>
      <c r="J125" s="230">
        <v>60.11</v>
      </c>
      <c r="K125" s="230">
        <v>59.32</v>
      </c>
      <c r="L125" s="230">
        <v>58.2</v>
      </c>
      <c r="M125" s="230">
        <v>57.82</v>
      </c>
      <c r="N125" s="766">
        <v>56.54</v>
      </c>
      <c r="O125" s="230">
        <v>75.55</v>
      </c>
      <c r="P125" s="766">
        <v>59.08</v>
      </c>
      <c r="W125" s="15"/>
      <c r="X125" s="243"/>
      <c r="AP125" s="5"/>
    </row>
    <row r="126" spans="1:42" s="15" customFormat="1">
      <c r="A126" s="15">
        <v>28</v>
      </c>
      <c r="B126" s="287" t="s">
        <v>39</v>
      </c>
      <c r="C126" s="296" t="s">
        <v>744</v>
      </c>
      <c r="D126" s="237">
        <v>49.51</v>
      </c>
      <c r="E126" s="237">
        <v>61.49</v>
      </c>
      <c r="F126" s="237">
        <v>58.93</v>
      </c>
      <c r="G126" s="237">
        <v>58.13</v>
      </c>
      <c r="H126" s="237">
        <v>57.57</v>
      </c>
      <c r="I126" s="237">
        <v>56.77</v>
      </c>
      <c r="J126" s="237">
        <v>55.9</v>
      </c>
      <c r="K126" s="237">
        <v>55.06</v>
      </c>
      <c r="L126" s="237">
        <v>51.33</v>
      </c>
      <c r="M126" s="237">
        <v>52.32</v>
      </c>
      <c r="N126" s="766">
        <v>54.54</v>
      </c>
      <c r="O126" s="237">
        <v>64.430000000000007</v>
      </c>
      <c r="P126" s="766">
        <v>56</v>
      </c>
      <c r="X126" s="243"/>
      <c r="AP126" s="5"/>
    </row>
    <row r="127" spans="1:42" s="15" customFormat="1">
      <c r="A127" s="15">
        <v>29</v>
      </c>
      <c r="B127" s="287" t="s">
        <v>39</v>
      </c>
      <c r="C127" s="296" t="s">
        <v>745</v>
      </c>
      <c r="D127" s="237">
        <v>54.63</v>
      </c>
      <c r="E127" s="237">
        <v>74.790000000000006</v>
      </c>
      <c r="F127" s="237">
        <v>66.180000000000007</v>
      </c>
      <c r="G127" s="237">
        <v>65.36</v>
      </c>
      <c r="H127" s="237">
        <v>63.34</v>
      </c>
      <c r="I127" s="237">
        <v>62.39</v>
      </c>
      <c r="J127" s="237">
        <v>61.34</v>
      </c>
      <c r="K127" s="237">
        <v>59.97</v>
      </c>
      <c r="L127" s="237">
        <v>57.4</v>
      </c>
      <c r="M127" s="237">
        <v>57.5</v>
      </c>
      <c r="N127" s="766">
        <v>56.63</v>
      </c>
      <c r="O127" s="237">
        <v>77.66</v>
      </c>
      <c r="P127" s="766">
        <v>60.34</v>
      </c>
      <c r="X127" s="243"/>
      <c r="AP127" s="5"/>
    </row>
    <row r="128" spans="1:42" s="15" customFormat="1">
      <c r="A128" s="15">
        <v>30</v>
      </c>
      <c r="B128" s="287" t="s">
        <v>39</v>
      </c>
      <c r="C128" s="296" t="s">
        <v>747</v>
      </c>
      <c r="D128" s="237">
        <v>53.76</v>
      </c>
      <c r="E128" s="237">
        <v>69.47</v>
      </c>
      <c r="F128" s="237">
        <v>62.15</v>
      </c>
      <c r="G128" s="237">
        <v>61.02</v>
      </c>
      <c r="H128" s="301">
        <v>59.13</v>
      </c>
      <c r="I128" s="237">
        <v>58.22</v>
      </c>
      <c r="J128" s="237">
        <v>57.18</v>
      </c>
      <c r="K128" s="237">
        <v>56.38</v>
      </c>
      <c r="L128" s="237">
        <v>54.78</v>
      </c>
      <c r="M128" s="237">
        <v>54.52</v>
      </c>
      <c r="N128" s="766">
        <v>53.64</v>
      </c>
      <c r="O128" s="237">
        <v>71.91</v>
      </c>
      <c r="P128" s="766">
        <v>55.59</v>
      </c>
      <c r="X128" s="243"/>
      <c r="AP128" s="5"/>
    </row>
    <row r="129" spans="1:42" s="213" customFormat="1">
      <c r="A129" s="213">
        <v>31</v>
      </c>
      <c r="B129" s="299" t="s">
        <v>164</v>
      </c>
      <c r="C129" s="240" t="s">
        <v>744</v>
      </c>
      <c r="D129" s="230">
        <v>46.57</v>
      </c>
      <c r="E129" s="230">
        <v>57.25</v>
      </c>
      <c r="F129" s="230">
        <v>53.84</v>
      </c>
      <c r="G129" s="230">
        <v>52.7</v>
      </c>
      <c r="H129" s="230">
        <v>52.06</v>
      </c>
      <c r="I129" s="230">
        <v>51.07</v>
      </c>
      <c r="J129" s="230">
        <v>50.26</v>
      </c>
      <c r="K129" s="230">
        <v>49.42</v>
      </c>
      <c r="L129" s="230">
        <v>48.93</v>
      </c>
      <c r="M129" s="230">
        <v>48.48</v>
      </c>
      <c r="N129" s="766">
        <v>47.36</v>
      </c>
      <c r="O129" s="230">
        <v>60.74</v>
      </c>
      <c r="P129" s="766">
        <v>50.05</v>
      </c>
      <c r="W129" s="15"/>
      <c r="X129" s="243"/>
      <c r="AP129" s="5"/>
    </row>
    <row r="130" spans="1:42" s="213" customFormat="1">
      <c r="A130" s="213">
        <v>32</v>
      </c>
      <c r="B130" s="299" t="s">
        <v>164</v>
      </c>
      <c r="C130" s="240" t="s">
        <v>745</v>
      </c>
      <c r="D130" s="230">
        <v>55.73</v>
      </c>
      <c r="E130" s="230">
        <v>74.290000000000006</v>
      </c>
      <c r="F130" s="230">
        <v>65.260000000000005</v>
      </c>
      <c r="G130" s="230">
        <v>64.98</v>
      </c>
      <c r="H130" s="230">
        <v>63.44</v>
      </c>
      <c r="I130" s="230">
        <v>62.62</v>
      </c>
      <c r="J130" s="230">
        <v>61.41</v>
      </c>
      <c r="K130" s="230">
        <v>60.66</v>
      </c>
      <c r="L130" s="230">
        <v>59.58</v>
      </c>
      <c r="M130" s="230">
        <v>58.66</v>
      </c>
      <c r="N130" s="766">
        <v>57.55</v>
      </c>
      <c r="O130" s="230">
        <v>76.67</v>
      </c>
      <c r="P130" s="766">
        <v>60.34</v>
      </c>
      <c r="W130" s="15"/>
      <c r="X130" s="243"/>
      <c r="AP130" s="5"/>
    </row>
    <row r="131" spans="1:42" s="213" customFormat="1">
      <c r="A131" s="213">
        <v>33</v>
      </c>
      <c r="B131" s="299" t="s">
        <v>164</v>
      </c>
      <c r="C131" s="240" t="s">
        <v>747</v>
      </c>
      <c r="D131" s="230">
        <v>43.22</v>
      </c>
      <c r="E131" s="230">
        <v>58.11</v>
      </c>
      <c r="F131" s="230">
        <v>51.04</v>
      </c>
      <c r="G131" s="230">
        <v>50.32</v>
      </c>
      <c r="H131" s="230">
        <v>48.92</v>
      </c>
      <c r="I131" s="230">
        <v>48.7</v>
      </c>
      <c r="J131" s="230">
        <v>47.25</v>
      </c>
      <c r="K131" s="230">
        <v>46.6</v>
      </c>
      <c r="L131" s="230">
        <v>45.91</v>
      </c>
      <c r="M131" s="230">
        <v>45.2</v>
      </c>
      <c r="N131" s="766">
        <v>44.31</v>
      </c>
      <c r="O131" s="230">
        <v>61.88</v>
      </c>
      <c r="P131" s="766">
        <v>46.02</v>
      </c>
      <c r="W131" s="15"/>
      <c r="X131" s="243"/>
      <c r="AP131" s="5"/>
    </row>
    <row r="132" spans="1:42">
      <c r="A132">
        <v>34</v>
      </c>
      <c r="B132" s="287" t="s">
        <v>814</v>
      </c>
      <c r="C132" s="57" t="s">
        <v>744</v>
      </c>
      <c r="D132" s="231">
        <v>41.08</v>
      </c>
      <c r="E132" s="231">
        <v>47.59</v>
      </c>
      <c r="F132" s="231">
        <v>45</v>
      </c>
      <c r="G132" s="231">
        <v>44.19</v>
      </c>
      <c r="H132" s="237">
        <v>43.17</v>
      </c>
      <c r="I132" s="231">
        <v>42.44</v>
      </c>
      <c r="J132" s="231">
        <v>41.85</v>
      </c>
      <c r="K132" s="231">
        <v>41.33</v>
      </c>
      <c r="L132" s="231">
        <v>41.08</v>
      </c>
      <c r="M132" s="231">
        <v>40.76</v>
      </c>
      <c r="N132" s="766">
        <v>39.97</v>
      </c>
      <c r="O132" s="231">
        <v>51.85</v>
      </c>
      <c r="P132" s="766">
        <v>41.06</v>
      </c>
      <c r="Q132"/>
      <c r="R132"/>
    </row>
    <row r="133" spans="1:42">
      <c r="A133">
        <v>35</v>
      </c>
      <c r="B133" s="287" t="s">
        <v>814</v>
      </c>
      <c r="C133" s="57" t="s">
        <v>745</v>
      </c>
      <c r="D133" s="231">
        <v>51.41</v>
      </c>
      <c r="E133" s="231">
        <v>68.5</v>
      </c>
      <c r="F133" s="231">
        <v>59.93</v>
      </c>
      <c r="G133" s="231">
        <v>59.21</v>
      </c>
      <c r="H133" s="237">
        <v>57.33</v>
      </c>
      <c r="I133" s="231">
        <v>56.46</v>
      </c>
      <c r="J133" s="231">
        <v>55.39</v>
      </c>
      <c r="K133" s="231">
        <v>54.68</v>
      </c>
      <c r="L133" s="231">
        <v>54.15</v>
      </c>
      <c r="M133" s="231">
        <v>53.36</v>
      </c>
      <c r="N133" s="766">
        <v>52.32</v>
      </c>
      <c r="O133" s="231">
        <v>69.8</v>
      </c>
      <c r="P133" s="766">
        <v>55.01</v>
      </c>
      <c r="Q133"/>
      <c r="R133"/>
    </row>
    <row r="134" spans="1:42">
      <c r="A134" s="106">
        <v>36</v>
      </c>
      <c r="B134" s="36" t="s">
        <v>814</v>
      </c>
      <c r="C134" s="284" t="s">
        <v>747</v>
      </c>
      <c r="D134" s="231">
        <v>42.68</v>
      </c>
      <c r="E134" s="231">
        <v>54.02</v>
      </c>
      <c r="F134" s="231">
        <v>48.31</v>
      </c>
      <c r="G134" s="231">
        <v>46.98</v>
      </c>
      <c r="H134" s="237">
        <v>46.11</v>
      </c>
      <c r="I134" s="231">
        <v>45.22</v>
      </c>
      <c r="J134" s="231">
        <v>44.6</v>
      </c>
      <c r="K134" s="231">
        <v>44.01</v>
      </c>
      <c r="L134" s="231">
        <v>43.64</v>
      </c>
      <c r="M134" s="231">
        <v>43.1</v>
      </c>
      <c r="N134" s="766">
        <v>42.19</v>
      </c>
      <c r="O134" s="231">
        <v>57.29</v>
      </c>
      <c r="P134" s="766">
        <v>43.15</v>
      </c>
      <c r="Q134"/>
      <c r="R134"/>
    </row>
    <row r="135" spans="1:42" s="213" customFormat="1">
      <c r="A135" s="213">
        <v>37</v>
      </c>
      <c r="B135" s="299" t="s">
        <v>163</v>
      </c>
      <c r="C135" s="240" t="s">
        <v>744</v>
      </c>
      <c r="D135" s="230">
        <v>49.57</v>
      </c>
      <c r="E135" s="230">
        <v>60.5</v>
      </c>
      <c r="F135" s="475"/>
      <c r="G135" s="230">
        <v>55.93</v>
      </c>
      <c r="H135" s="230">
        <v>54.79</v>
      </c>
      <c r="I135" s="230">
        <v>53.27</v>
      </c>
      <c r="J135" s="230">
        <v>52.45</v>
      </c>
      <c r="K135" s="230">
        <v>51.7</v>
      </c>
      <c r="L135" s="230">
        <v>51.37</v>
      </c>
      <c r="M135" s="230">
        <v>51.13</v>
      </c>
      <c r="N135" s="766">
        <v>49.97</v>
      </c>
      <c r="O135" s="230">
        <v>64.510000000000005</v>
      </c>
      <c r="P135" s="766">
        <v>51.55</v>
      </c>
      <c r="W135" s="15"/>
      <c r="X135" s="243"/>
      <c r="AP135" s="5"/>
    </row>
    <row r="136" spans="1:42" s="213" customFormat="1">
      <c r="A136" s="213">
        <v>38</v>
      </c>
      <c r="B136" s="299" t="s">
        <v>163</v>
      </c>
      <c r="C136" s="240" t="s">
        <v>745</v>
      </c>
      <c r="D136" s="230">
        <v>49.74</v>
      </c>
      <c r="E136" s="230">
        <v>68.87</v>
      </c>
      <c r="F136" s="230">
        <v>58.86</v>
      </c>
      <c r="G136" s="230">
        <v>57.64</v>
      </c>
      <c r="H136" s="230">
        <v>56.47</v>
      </c>
      <c r="I136" s="230">
        <v>55.11</v>
      </c>
      <c r="J136" s="230">
        <v>54</v>
      </c>
      <c r="K136" s="230">
        <v>53.45</v>
      </c>
      <c r="L136" s="230">
        <v>53.17</v>
      </c>
      <c r="M136" s="230">
        <v>52.76</v>
      </c>
      <c r="N136" s="766">
        <v>51.66</v>
      </c>
      <c r="O136" s="230">
        <v>71.36</v>
      </c>
      <c r="P136" s="766">
        <v>52.83</v>
      </c>
      <c r="W136" s="15"/>
      <c r="X136" s="243"/>
      <c r="AP136" s="5"/>
    </row>
    <row r="137" spans="1:42" s="213" customFormat="1">
      <c r="A137" s="213">
        <v>39</v>
      </c>
      <c r="B137" s="299" t="s">
        <v>163</v>
      </c>
      <c r="C137" s="240" t="s">
        <v>747</v>
      </c>
      <c r="D137" s="230">
        <v>50.66</v>
      </c>
      <c r="E137" s="230">
        <v>70.34</v>
      </c>
      <c r="F137" s="230">
        <v>59.57</v>
      </c>
      <c r="G137" s="230">
        <v>58.27</v>
      </c>
      <c r="H137" s="230">
        <v>57.33</v>
      </c>
      <c r="I137" s="230">
        <v>55.92</v>
      </c>
      <c r="J137" s="230">
        <v>54.97</v>
      </c>
      <c r="K137" s="230">
        <v>54.36</v>
      </c>
      <c r="L137" s="230">
        <v>54.2</v>
      </c>
      <c r="M137" s="230">
        <v>53.41</v>
      </c>
      <c r="N137" s="766">
        <v>52.41</v>
      </c>
      <c r="O137" s="230">
        <v>71.2</v>
      </c>
      <c r="P137" s="766">
        <v>63.65</v>
      </c>
      <c r="W137" s="15"/>
      <c r="X137" s="243"/>
      <c r="AP137" s="5"/>
    </row>
    <row r="138" spans="1:42">
      <c r="A138">
        <v>40</v>
      </c>
      <c r="B138" s="287" t="s">
        <v>160</v>
      </c>
      <c r="C138" s="57" t="s">
        <v>744</v>
      </c>
      <c r="D138" s="231">
        <v>52.44</v>
      </c>
      <c r="E138" s="231">
        <v>63.98</v>
      </c>
      <c r="F138" s="231">
        <v>60.89</v>
      </c>
      <c r="G138" s="231">
        <v>59.98</v>
      </c>
      <c r="H138" s="237">
        <v>59.26</v>
      </c>
      <c r="I138" s="231">
        <v>58.08</v>
      </c>
      <c r="J138" s="231">
        <v>57.16</v>
      </c>
      <c r="K138" s="231">
        <v>56.43</v>
      </c>
      <c r="L138" s="231">
        <v>55.68</v>
      </c>
      <c r="M138" s="231">
        <v>55.01</v>
      </c>
      <c r="N138" s="766">
        <v>54.27</v>
      </c>
      <c r="O138" s="231">
        <v>67.400000000000006</v>
      </c>
      <c r="P138" s="766">
        <v>57.08</v>
      </c>
      <c r="Q138"/>
      <c r="R138"/>
    </row>
    <row r="139" spans="1:42">
      <c r="A139">
        <v>41</v>
      </c>
      <c r="B139" s="287" t="s">
        <v>160</v>
      </c>
      <c r="C139" s="57" t="s">
        <v>745</v>
      </c>
      <c r="D139" s="231">
        <v>53.61</v>
      </c>
      <c r="E139" s="231">
        <v>72.489999999999995</v>
      </c>
      <c r="F139" s="231">
        <v>63.76</v>
      </c>
      <c r="G139" s="231">
        <v>62.5</v>
      </c>
      <c r="H139" s="237">
        <v>61.43</v>
      </c>
      <c r="I139" s="231">
        <v>60.19</v>
      </c>
      <c r="J139" s="231">
        <v>59.16</v>
      </c>
      <c r="K139" s="217">
        <v>58.43</v>
      </c>
      <c r="L139" s="231">
        <v>57.46</v>
      </c>
      <c r="M139" s="231">
        <v>57</v>
      </c>
      <c r="N139" s="766">
        <v>55.93</v>
      </c>
      <c r="O139" s="231">
        <v>75.849999999999994</v>
      </c>
      <c r="P139" s="766">
        <v>59.09</v>
      </c>
      <c r="Q139"/>
      <c r="R139"/>
    </row>
    <row r="140" spans="1:42">
      <c r="A140">
        <v>42</v>
      </c>
      <c r="B140" s="287" t="s">
        <v>160</v>
      </c>
      <c r="C140" s="57" t="s">
        <v>747</v>
      </c>
      <c r="D140" s="231">
        <v>54.28</v>
      </c>
      <c r="E140" s="231">
        <v>74.260000000000005</v>
      </c>
      <c r="F140" s="231">
        <v>64.66</v>
      </c>
      <c r="G140" s="231">
        <v>62.9</v>
      </c>
      <c r="H140" s="237">
        <v>61.62</v>
      </c>
      <c r="I140" s="231">
        <v>60.2</v>
      </c>
      <c r="J140" s="231">
        <v>59.05</v>
      </c>
      <c r="K140" s="231">
        <v>58.42</v>
      </c>
      <c r="L140" s="231">
        <v>57.86</v>
      </c>
      <c r="M140" s="231">
        <v>57.17</v>
      </c>
      <c r="N140" s="766">
        <v>56.16</v>
      </c>
      <c r="O140" s="231">
        <v>74.86</v>
      </c>
      <c r="P140" s="766">
        <v>58.77</v>
      </c>
      <c r="Q140"/>
      <c r="R140"/>
    </row>
    <row r="141" spans="1:42" s="213" customFormat="1">
      <c r="A141" s="213">
        <v>43</v>
      </c>
      <c r="B141" s="299" t="s">
        <v>710</v>
      </c>
      <c r="C141" s="240" t="s">
        <v>744</v>
      </c>
      <c r="D141" s="230">
        <v>52.24</v>
      </c>
      <c r="E141" s="230">
        <v>65.17</v>
      </c>
      <c r="F141" s="230">
        <v>61.4</v>
      </c>
      <c r="G141" s="230">
        <v>60.41</v>
      </c>
      <c r="H141" s="230">
        <v>59.14</v>
      </c>
      <c r="I141" s="230">
        <v>57.89</v>
      </c>
      <c r="J141" s="230">
        <v>56.99</v>
      </c>
      <c r="K141" s="230">
        <v>56.13</v>
      </c>
      <c r="L141" s="230">
        <v>55.73</v>
      </c>
      <c r="M141" s="230">
        <v>55.29</v>
      </c>
      <c r="N141" s="766">
        <v>54.36</v>
      </c>
      <c r="O141" s="230">
        <v>67.5</v>
      </c>
      <c r="P141" s="766">
        <v>57.22</v>
      </c>
      <c r="W141" s="15"/>
      <c r="X141" s="243"/>
      <c r="AP141" s="5"/>
    </row>
    <row r="142" spans="1:42" s="213" customFormat="1">
      <c r="A142" s="213">
        <v>44</v>
      </c>
      <c r="B142" s="299" t="s">
        <v>710</v>
      </c>
      <c r="C142" s="240" t="s">
        <v>745</v>
      </c>
      <c r="D142" s="230">
        <v>55.81</v>
      </c>
      <c r="E142" s="230">
        <v>76.48</v>
      </c>
      <c r="F142" s="230">
        <v>65.239999999999995</v>
      </c>
      <c r="G142" s="230">
        <v>64.13</v>
      </c>
      <c r="H142" s="230">
        <v>62.75</v>
      </c>
      <c r="I142" s="230">
        <v>61.3</v>
      </c>
      <c r="J142" s="230">
        <v>60.39</v>
      </c>
      <c r="K142" s="230">
        <v>59.6</v>
      </c>
      <c r="L142" s="230">
        <v>59.06</v>
      </c>
      <c r="M142" s="230">
        <v>58.53</v>
      </c>
      <c r="N142" s="766">
        <v>57.15</v>
      </c>
      <c r="O142" s="230">
        <v>78.040000000000006</v>
      </c>
      <c r="P142" s="766">
        <v>59.32</v>
      </c>
      <c r="W142" s="15"/>
      <c r="X142" s="243"/>
      <c r="AP142" s="5"/>
    </row>
    <row r="143" spans="1:42" s="213" customFormat="1">
      <c r="A143" s="213">
        <v>45</v>
      </c>
      <c r="B143" s="299" t="s">
        <v>710</v>
      </c>
      <c r="C143" s="240" t="s">
        <v>747</v>
      </c>
      <c r="D143" s="230">
        <v>39.49</v>
      </c>
      <c r="E143" s="230">
        <v>59.19</v>
      </c>
      <c r="F143" s="230">
        <v>48.9</v>
      </c>
      <c r="G143" s="230">
        <v>47.56</v>
      </c>
      <c r="H143" s="230">
        <v>46.72</v>
      </c>
      <c r="I143" s="230">
        <v>45.78</v>
      </c>
      <c r="J143" s="230">
        <v>45.1</v>
      </c>
      <c r="K143" s="230">
        <v>44.43</v>
      </c>
      <c r="L143" s="230">
        <v>44.1</v>
      </c>
      <c r="M143" s="230">
        <v>43.55</v>
      </c>
      <c r="N143" s="766">
        <v>42.39</v>
      </c>
      <c r="O143" s="230">
        <v>62.21</v>
      </c>
      <c r="P143" s="766">
        <v>43.93</v>
      </c>
      <c r="W143" s="15"/>
      <c r="X143" s="243"/>
      <c r="AP143" s="5"/>
    </row>
    <row r="144" spans="1:42">
      <c r="A144">
        <v>46</v>
      </c>
      <c r="B144" s="287" t="s">
        <v>847</v>
      </c>
      <c r="C144" s="57" t="s">
        <v>744</v>
      </c>
      <c r="D144" s="231">
        <v>46.29</v>
      </c>
      <c r="E144" s="231">
        <v>55.16</v>
      </c>
      <c r="F144" s="231">
        <v>53.11</v>
      </c>
      <c r="G144" s="231">
        <v>52</v>
      </c>
      <c r="H144" s="237">
        <v>51.08</v>
      </c>
      <c r="I144" s="231">
        <v>50.12</v>
      </c>
      <c r="J144" s="231">
        <v>49.49</v>
      </c>
      <c r="K144" s="237">
        <v>48.83</v>
      </c>
      <c r="L144" s="231">
        <v>48.68</v>
      </c>
      <c r="M144" s="231">
        <v>48.48</v>
      </c>
      <c r="N144" s="766">
        <v>47.55</v>
      </c>
      <c r="O144" s="231">
        <v>61.21</v>
      </c>
      <c r="P144" s="766">
        <v>48.83</v>
      </c>
      <c r="Q144"/>
      <c r="R144"/>
    </row>
    <row r="145" spans="1:18">
      <c r="A145">
        <v>47</v>
      </c>
      <c r="B145" s="287" t="s">
        <v>847</v>
      </c>
      <c r="C145" s="57" t="s">
        <v>745</v>
      </c>
      <c r="D145" s="231">
        <v>57.55</v>
      </c>
      <c r="E145" s="231">
        <v>76.7</v>
      </c>
      <c r="F145" s="231">
        <v>66.739999999999995</v>
      </c>
      <c r="G145" s="231">
        <v>64.63</v>
      </c>
      <c r="H145" s="237">
        <v>64.319999999999993</v>
      </c>
      <c r="I145" s="231">
        <v>62.92</v>
      </c>
      <c r="J145" s="231">
        <v>61.9</v>
      </c>
      <c r="K145" s="231">
        <v>61.35</v>
      </c>
      <c r="L145" s="231">
        <v>60.96</v>
      </c>
      <c r="M145" s="231">
        <v>60.3</v>
      </c>
      <c r="N145" s="766">
        <v>59.29</v>
      </c>
      <c r="O145" s="231">
        <v>78.48</v>
      </c>
      <c r="P145" s="766">
        <v>61.33</v>
      </c>
      <c r="Q145"/>
      <c r="R145"/>
    </row>
    <row r="146" spans="1:18">
      <c r="A146">
        <v>48</v>
      </c>
      <c r="B146" s="287" t="s">
        <v>847</v>
      </c>
      <c r="C146" s="57" t="s">
        <v>747</v>
      </c>
      <c r="D146" s="231">
        <v>49.09</v>
      </c>
      <c r="E146" s="231">
        <v>65.400000000000006</v>
      </c>
      <c r="F146" s="231">
        <v>56.19</v>
      </c>
      <c r="G146" s="231">
        <v>55.07</v>
      </c>
      <c r="H146" s="237">
        <v>53.96</v>
      </c>
      <c r="I146" s="231">
        <v>52.81</v>
      </c>
      <c r="J146" s="231">
        <v>51.98</v>
      </c>
      <c r="K146" s="231">
        <v>51.42</v>
      </c>
      <c r="L146" s="231">
        <v>51.13</v>
      </c>
      <c r="M146" s="231">
        <v>50.59</v>
      </c>
      <c r="N146" s="766">
        <v>49.63</v>
      </c>
      <c r="O146" s="231">
        <v>66.88</v>
      </c>
      <c r="P146" s="766">
        <v>50.53</v>
      </c>
      <c r="Q146"/>
      <c r="R146"/>
    </row>
    <row r="147" spans="1:18">
      <c r="D147" s="231"/>
      <c r="E147" s="231"/>
      <c r="F147" s="231"/>
      <c r="G147" s="231"/>
      <c r="H147" s="231"/>
      <c r="I147" s="231"/>
      <c r="J147" s="231"/>
      <c r="K147" s="231"/>
      <c r="L147" s="231"/>
      <c r="M147" s="231"/>
      <c r="N147" s="231"/>
      <c r="O147" s="204"/>
      <c r="P147" s="231"/>
      <c r="Q147" s="231"/>
      <c r="R147" s="231"/>
    </row>
    <row r="148" spans="1:18">
      <c r="D148" s="231"/>
      <c r="E148" s="231"/>
      <c r="F148" s="231"/>
      <c r="G148" s="231"/>
      <c r="H148" s="231"/>
      <c r="I148" s="231"/>
      <c r="J148" s="231"/>
      <c r="K148" s="231"/>
      <c r="L148" s="231"/>
      <c r="M148" s="231"/>
      <c r="N148" s="231"/>
      <c r="O148" s="204"/>
      <c r="P148" s="231"/>
      <c r="Q148" s="231"/>
      <c r="R148" s="231"/>
    </row>
    <row r="149" spans="1:18">
      <c r="B149" s="5"/>
      <c r="C149" s="75"/>
      <c r="D149" s="243"/>
      <c r="E149" s="243"/>
      <c r="F149" s="243"/>
      <c r="G149" s="231"/>
      <c r="H149" s="231"/>
      <c r="I149" s="231"/>
      <c r="J149" s="231"/>
      <c r="K149" s="231"/>
      <c r="L149" s="231"/>
      <c r="M149" s="231"/>
      <c r="N149" s="231"/>
      <c r="O149" s="204"/>
      <c r="P149" s="231"/>
      <c r="Q149" s="231"/>
      <c r="R149" s="231"/>
    </row>
    <row r="150" spans="1:18">
      <c r="B150" s="5"/>
      <c r="C150" s="75"/>
      <c r="D150" s="243"/>
      <c r="E150" s="243"/>
      <c r="F150" s="243"/>
      <c r="G150" s="231"/>
      <c r="H150" s="231"/>
      <c r="I150" s="231"/>
      <c r="J150" s="231"/>
      <c r="K150" s="231"/>
      <c r="L150" s="231"/>
      <c r="M150" s="231"/>
      <c r="N150" s="231"/>
      <c r="O150" s="204"/>
      <c r="P150" s="231"/>
      <c r="Q150" s="231"/>
      <c r="R150" s="231"/>
    </row>
    <row r="151" spans="1:18">
      <c r="B151" s="5"/>
      <c r="C151" s="75"/>
      <c r="D151" s="243"/>
      <c r="E151" s="243"/>
      <c r="F151" s="243"/>
      <c r="G151" s="231"/>
      <c r="H151" s="231"/>
      <c r="I151" s="231"/>
      <c r="J151" s="231"/>
      <c r="K151" s="231"/>
      <c r="L151" s="231"/>
      <c r="M151" s="231"/>
      <c r="N151" s="231"/>
      <c r="O151" s="204"/>
      <c r="P151" s="231"/>
      <c r="Q151" s="231"/>
      <c r="R151" s="231"/>
    </row>
    <row r="152" spans="1:18">
      <c r="B152" s="817" t="s">
        <v>980</v>
      </c>
      <c r="C152" s="817"/>
      <c r="D152" s="817"/>
      <c r="E152" s="817"/>
      <c r="F152" s="817"/>
      <c r="G152" s="231"/>
      <c r="H152" s="231"/>
      <c r="I152" s="231"/>
      <c r="J152" s="231"/>
      <c r="K152" s="231"/>
      <c r="L152" s="231"/>
      <c r="M152" s="231"/>
      <c r="N152" s="231"/>
      <c r="O152" s="204"/>
      <c r="P152" s="231"/>
      <c r="Q152" s="231"/>
      <c r="R152" s="231"/>
    </row>
    <row r="153" spans="1:18">
      <c r="B153" s="817"/>
      <c r="C153" s="817"/>
      <c r="D153" s="817"/>
      <c r="E153" s="817"/>
      <c r="F153" s="817"/>
      <c r="G153" s="231"/>
      <c r="H153" s="231"/>
      <c r="I153" s="231"/>
      <c r="J153" s="231"/>
      <c r="K153" s="231"/>
      <c r="L153" s="231"/>
      <c r="M153" s="231"/>
      <c r="N153" s="231"/>
      <c r="O153" s="204"/>
      <c r="P153" s="231"/>
      <c r="Q153" s="231"/>
      <c r="R153" s="231"/>
    </row>
    <row r="154" spans="1:18">
      <c r="B154" s="817"/>
      <c r="C154" s="817"/>
      <c r="D154" s="817"/>
      <c r="E154" s="817"/>
      <c r="F154" s="817"/>
      <c r="G154" s="231"/>
      <c r="H154" s="231"/>
      <c r="I154" s="231"/>
      <c r="J154" s="231"/>
      <c r="K154" s="231"/>
      <c r="L154" s="231"/>
      <c r="M154" s="231"/>
      <c r="N154" s="231"/>
      <c r="O154" s="204"/>
      <c r="P154" s="231"/>
      <c r="Q154" s="231"/>
      <c r="R154" s="231"/>
    </row>
    <row r="155" spans="1:18">
      <c r="B155" s="817" t="s">
        <v>983</v>
      </c>
      <c r="C155" s="817"/>
      <c r="D155" s="817"/>
      <c r="E155" s="817"/>
      <c r="F155" s="817"/>
      <c r="G155" s="231"/>
      <c r="H155" s="231"/>
      <c r="I155" s="231"/>
      <c r="J155" s="231"/>
      <c r="K155" s="231"/>
      <c r="L155" s="231"/>
      <c r="M155" s="231"/>
      <c r="N155" s="231"/>
      <c r="O155" s="204"/>
      <c r="P155" s="231"/>
      <c r="Q155" s="231"/>
      <c r="R155" s="231"/>
    </row>
    <row r="156" spans="1:18">
      <c r="B156" s="817"/>
      <c r="C156" s="817"/>
      <c r="D156" s="817"/>
      <c r="E156" s="817"/>
      <c r="F156" s="817"/>
      <c r="G156" s="231"/>
      <c r="H156" s="231"/>
      <c r="I156" s="231"/>
      <c r="J156" s="231"/>
      <c r="K156" s="231"/>
      <c r="L156" s="231"/>
      <c r="M156" s="231"/>
      <c r="N156" s="231"/>
      <c r="O156" s="204"/>
      <c r="P156" s="231"/>
      <c r="Q156" s="231"/>
      <c r="R156" s="231"/>
    </row>
    <row r="157" spans="1:18">
      <c r="B157" s="817"/>
      <c r="C157" s="817"/>
      <c r="D157" s="817"/>
      <c r="E157" s="817"/>
      <c r="F157" s="817"/>
      <c r="G157" s="231"/>
      <c r="H157" s="231"/>
      <c r="I157" s="231"/>
      <c r="J157" s="231"/>
      <c r="K157" s="231"/>
      <c r="L157" s="231"/>
      <c r="M157" s="231"/>
      <c r="N157" s="231"/>
      <c r="O157" s="204"/>
      <c r="P157" s="231"/>
      <c r="Q157" s="231"/>
      <c r="R157" s="231"/>
    </row>
    <row r="158" spans="1:18">
      <c r="B158" s="5"/>
      <c r="C158" s="75"/>
      <c r="D158" s="243"/>
      <c r="E158" s="243"/>
      <c r="F158" s="243"/>
      <c r="G158" s="231"/>
      <c r="H158" s="231"/>
      <c r="I158" s="231"/>
      <c r="J158" s="231"/>
      <c r="K158" s="231"/>
      <c r="L158" s="231"/>
      <c r="M158" s="231"/>
      <c r="N158" s="231"/>
      <c r="O158" s="204"/>
      <c r="P158" s="231"/>
      <c r="Q158" s="231"/>
      <c r="R158" s="231"/>
    </row>
    <row r="159" spans="1:18">
      <c r="B159" s="5"/>
      <c r="C159" s="75"/>
      <c r="D159" s="243"/>
      <c r="E159" s="243"/>
      <c r="F159" s="243"/>
      <c r="G159" s="231"/>
      <c r="H159" s="231"/>
      <c r="I159" s="231"/>
      <c r="J159" s="231"/>
      <c r="K159" s="231"/>
      <c r="L159" s="231"/>
      <c r="M159" s="231"/>
      <c r="N159" s="231"/>
      <c r="O159" s="204"/>
      <c r="P159" s="231"/>
      <c r="Q159" s="231"/>
      <c r="R159" s="231"/>
    </row>
    <row r="160" spans="1:18">
      <c r="B160" s="5"/>
      <c r="C160" s="75"/>
      <c r="D160" s="243"/>
      <c r="E160" s="243"/>
      <c r="F160" s="243"/>
      <c r="G160" s="231"/>
      <c r="H160" s="231"/>
      <c r="I160" s="231"/>
      <c r="J160" s="231"/>
      <c r="K160" s="231"/>
      <c r="L160" s="231"/>
      <c r="M160" s="231"/>
      <c r="N160" s="231"/>
      <c r="O160" s="204"/>
      <c r="P160" s="231"/>
      <c r="Q160" s="231"/>
      <c r="R160" s="231"/>
    </row>
    <row r="161" spans="2:18">
      <c r="B161" s="5"/>
      <c r="C161" s="75"/>
      <c r="D161" s="243"/>
      <c r="E161" s="243"/>
      <c r="F161" s="243"/>
      <c r="G161" s="231"/>
      <c r="H161" s="231"/>
      <c r="I161" s="231"/>
      <c r="J161" s="231"/>
      <c r="K161" s="231"/>
      <c r="L161" s="231"/>
      <c r="M161" s="231"/>
      <c r="N161" s="231"/>
      <c r="O161" s="204"/>
      <c r="P161" s="231"/>
      <c r="Q161" s="231"/>
      <c r="R161" s="231"/>
    </row>
    <row r="162" spans="2:18">
      <c r="B162" s="5"/>
      <c r="C162" s="75"/>
      <c r="D162" s="243"/>
      <c r="E162" s="243"/>
      <c r="F162" s="243"/>
      <c r="G162" s="231"/>
      <c r="H162" s="231"/>
      <c r="I162" s="231"/>
      <c r="J162" s="231"/>
      <c r="K162" s="231"/>
      <c r="L162" s="231"/>
      <c r="M162" s="231"/>
      <c r="N162" s="231"/>
      <c r="O162" s="204"/>
      <c r="P162" s="231"/>
      <c r="Q162" s="231"/>
      <c r="R162" s="231"/>
    </row>
    <row r="163" spans="2:18">
      <c r="D163" s="231"/>
      <c r="E163" s="231"/>
      <c r="F163" s="231"/>
      <c r="G163" s="231"/>
      <c r="H163" s="231"/>
      <c r="I163" s="231"/>
      <c r="J163" s="231"/>
      <c r="K163" s="231"/>
      <c r="L163" s="231"/>
      <c r="M163" s="231"/>
      <c r="N163" s="231"/>
      <c r="O163" s="204"/>
      <c r="P163" s="231"/>
      <c r="Q163" s="231"/>
      <c r="R163" s="231"/>
    </row>
    <row r="164" spans="2:18">
      <c r="D164" s="231"/>
      <c r="E164" s="231"/>
      <c r="F164" s="231"/>
      <c r="G164" s="231"/>
      <c r="H164" s="231"/>
      <c r="I164" s="231"/>
      <c r="J164" s="231"/>
      <c r="K164" s="231"/>
      <c r="L164" s="231"/>
      <c r="M164" s="231"/>
      <c r="N164" s="231"/>
      <c r="O164" s="204"/>
      <c r="P164" s="231"/>
      <c r="Q164" s="231"/>
      <c r="R164" s="231"/>
    </row>
    <row r="165" spans="2:18">
      <c r="D165" s="231"/>
      <c r="E165" s="231"/>
      <c r="F165" s="231"/>
      <c r="G165" s="231"/>
      <c r="H165" s="231"/>
      <c r="I165" s="231"/>
      <c r="J165" s="231"/>
      <c r="K165" s="231"/>
      <c r="L165" s="231"/>
      <c r="M165" s="231"/>
      <c r="N165" s="231"/>
      <c r="O165" s="204"/>
      <c r="P165" s="231"/>
      <c r="Q165" s="231"/>
      <c r="R165" s="231"/>
    </row>
    <row r="166" spans="2:18">
      <c r="D166" s="231"/>
      <c r="E166" s="231"/>
      <c r="F166" s="231"/>
      <c r="G166" s="231"/>
      <c r="H166" s="231"/>
      <c r="I166" s="231"/>
      <c r="J166" s="231"/>
      <c r="K166" s="231"/>
      <c r="L166" s="231"/>
      <c r="M166" s="231"/>
      <c r="N166" s="231"/>
      <c r="O166" s="204"/>
      <c r="P166" s="231"/>
      <c r="Q166" s="231"/>
      <c r="R166" s="231"/>
    </row>
    <row r="167" spans="2:18">
      <c r="D167" s="231"/>
      <c r="E167" s="231"/>
      <c r="F167" s="231"/>
      <c r="G167" s="231"/>
      <c r="H167" s="231"/>
      <c r="I167" s="231"/>
      <c r="J167" s="231"/>
      <c r="K167" s="231"/>
      <c r="L167" s="231"/>
      <c r="M167" s="231"/>
      <c r="N167" s="231"/>
      <c r="O167" s="204"/>
      <c r="P167" s="231"/>
      <c r="Q167" s="231"/>
      <c r="R167" s="231"/>
    </row>
    <row r="168" spans="2:18">
      <c r="D168" s="231"/>
      <c r="E168" s="231"/>
      <c r="F168" s="231"/>
      <c r="G168" s="231"/>
      <c r="H168" s="231"/>
      <c r="I168" s="231"/>
      <c r="J168" s="231"/>
      <c r="K168" s="231"/>
      <c r="L168" s="231"/>
      <c r="M168" s="231"/>
      <c r="N168" s="231"/>
      <c r="O168" s="204"/>
      <c r="P168" s="231"/>
      <c r="Q168" s="231"/>
      <c r="R168" s="231"/>
    </row>
    <row r="169" spans="2:18">
      <c r="D169" s="231"/>
      <c r="E169" s="231"/>
      <c r="F169" s="231"/>
      <c r="G169" s="231"/>
      <c r="H169" s="231"/>
      <c r="I169" s="231"/>
      <c r="J169" s="231"/>
      <c r="K169" s="231"/>
      <c r="L169" s="231"/>
      <c r="M169" s="231"/>
      <c r="N169" s="231"/>
      <c r="O169" s="204"/>
      <c r="P169" s="231"/>
      <c r="Q169" s="231"/>
      <c r="R169" s="231"/>
    </row>
    <row r="170" spans="2:18">
      <c r="D170" s="231"/>
      <c r="E170" s="231"/>
      <c r="F170" s="231"/>
      <c r="G170" s="231"/>
      <c r="H170" s="231"/>
      <c r="I170" s="231"/>
      <c r="J170" s="231"/>
      <c r="K170" s="231"/>
      <c r="L170" s="231"/>
      <c r="M170" s="231"/>
      <c r="N170" s="231"/>
      <c r="O170" s="204"/>
      <c r="P170" s="231"/>
      <c r="Q170" s="231"/>
      <c r="R170" s="231"/>
    </row>
    <row r="171" spans="2:18">
      <c r="D171" s="231"/>
      <c r="E171" s="231"/>
      <c r="F171" s="231"/>
      <c r="G171" s="231"/>
      <c r="H171" s="231"/>
      <c r="I171" s="231"/>
      <c r="J171" s="231"/>
      <c r="K171" s="231"/>
      <c r="L171" s="231"/>
      <c r="M171" s="231"/>
      <c r="N171" s="231"/>
      <c r="O171" s="204"/>
      <c r="P171" s="231"/>
      <c r="Q171" s="231"/>
      <c r="R171" s="231"/>
    </row>
    <row r="172" spans="2:18"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04"/>
      <c r="P172" s="231"/>
      <c r="Q172" s="231"/>
      <c r="R172" s="231"/>
    </row>
    <row r="173" spans="2:18">
      <c r="D173" s="231"/>
      <c r="E173" s="231"/>
      <c r="F173" s="231"/>
      <c r="G173" s="231"/>
      <c r="H173" s="231"/>
      <c r="I173" s="231"/>
      <c r="J173" s="231"/>
      <c r="K173" s="231"/>
      <c r="L173" s="231"/>
      <c r="M173" s="231"/>
      <c r="N173" s="231"/>
      <c r="O173" s="204"/>
      <c r="P173" s="231"/>
      <c r="Q173" s="231"/>
      <c r="R173" s="231"/>
    </row>
    <row r="174" spans="2:18">
      <c r="D174" s="231"/>
      <c r="E174" s="231"/>
      <c r="F174" s="231"/>
      <c r="G174" s="231"/>
      <c r="H174" s="231"/>
      <c r="I174" s="231"/>
      <c r="J174" s="231"/>
      <c r="K174" s="231"/>
      <c r="L174" s="231"/>
      <c r="M174" s="231"/>
      <c r="N174" s="231"/>
      <c r="O174" s="204"/>
      <c r="P174" s="231"/>
      <c r="Q174" s="231"/>
      <c r="R174" s="231"/>
    </row>
    <row r="175" spans="2:18">
      <c r="D175" s="231"/>
      <c r="E175" s="231"/>
      <c r="F175" s="231"/>
      <c r="G175" s="231"/>
      <c r="H175" s="231"/>
      <c r="I175" s="231"/>
      <c r="J175" s="231"/>
      <c r="K175" s="231"/>
      <c r="L175" s="231"/>
      <c r="M175" s="231"/>
      <c r="N175" s="231"/>
      <c r="O175" s="204"/>
      <c r="P175" s="231"/>
      <c r="Q175" s="231"/>
      <c r="R175" s="231"/>
    </row>
    <row r="176" spans="2:18">
      <c r="D176" s="231"/>
      <c r="E176" s="231"/>
      <c r="F176" s="231"/>
      <c r="G176" s="231"/>
      <c r="H176" s="231"/>
      <c r="I176" s="231"/>
      <c r="J176" s="231"/>
      <c r="K176" s="231"/>
      <c r="L176" s="231"/>
      <c r="M176" s="231"/>
      <c r="N176" s="231"/>
      <c r="O176" s="204"/>
      <c r="P176" s="231"/>
      <c r="Q176" s="231"/>
      <c r="R176" s="231"/>
    </row>
    <row r="177" spans="4:18"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04"/>
      <c r="P177" s="231"/>
      <c r="Q177" s="231"/>
      <c r="R177" s="231"/>
    </row>
    <row r="178" spans="4:18">
      <c r="D178" s="231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04"/>
      <c r="P178" s="231"/>
      <c r="Q178" s="231"/>
      <c r="R178" s="231"/>
    </row>
    <row r="179" spans="4:18">
      <c r="D179" s="231"/>
      <c r="E179" s="231"/>
      <c r="F179" s="231"/>
      <c r="G179" s="231"/>
      <c r="H179" s="231"/>
      <c r="I179" s="231"/>
      <c r="J179" s="231"/>
      <c r="K179" s="231"/>
      <c r="L179" s="231"/>
      <c r="M179" s="231"/>
      <c r="N179" s="231"/>
      <c r="O179" s="204"/>
      <c r="P179" s="231"/>
      <c r="Q179" s="231"/>
      <c r="R179" s="231"/>
    </row>
    <row r="180" spans="4:18">
      <c r="D180" s="231"/>
      <c r="E180" s="231"/>
      <c r="F180" s="231"/>
      <c r="G180" s="231"/>
      <c r="H180" s="231"/>
      <c r="I180" s="231"/>
      <c r="J180" s="231"/>
      <c r="K180" s="231"/>
      <c r="L180" s="231"/>
      <c r="M180" s="231"/>
      <c r="N180" s="231"/>
      <c r="O180" s="204"/>
      <c r="P180" s="231"/>
      <c r="Q180" s="231"/>
      <c r="R180" s="231"/>
    </row>
    <row r="181" spans="4:18"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  <c r="N181" s="231"/>
      <c r="O181" s="204"/>
      <c r="P181" s="231"/>
      <c r="Q181" s="231"/>
      <c r="R181" s="231"/>
    </row>
    <row r="182" spans="4:18"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04"/>
      <c r="P182" s="231"/>
      <c r="Q182" s="231"/>
      <c r="R182" s="231"/>
    </row>
    <row r="183" spans="4:18">
      <c r="D183" s="231"/>
      <c r="E183" s="231"/>
      <c r="F183" s="231"/>
      <c r="G183" s="231"/>
      <c r="H183" s="231"/>
      <c r="I183" s="231"/>
      <c r="J183" s="231"/>
      <c r="K183" s="231"/>
      <c r="L183" s="231"/>
      <c r="M183" s="231"/>
      <c r="N183" s="231"/>
      <c r="O183" s="204"/>
      <c r="P183" s="231"/>
      <c r="Q183" s="231"/>
      <c r="R183" s="231"/>
    </row>
    <row r="184" spans="4:18"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04"/>
      <c r="P184" s="231"/>
      <c r="Q184" s="231"/>
      <c r="R184" s="231"/>
    </row>
    <row r="185" spans="4:18">
      <c r="D185" s="231"/>
      <c r="E185" s="231"/>
      <c r="F185" s="231"/>
      <c r="G185" s="231"/>
      <c r="H185" s="231"/>
      <c r="I185" s="231"/>
      <c r="J185" s="231"/>
      <c r="K185" s="231"/>
      <c r="L185" s="231"/>
      <c r="M185" s="231"/>
      <c r="N185" s="231"/>
      <c r="O185" s="204"/>
      <c r="P185" s="231"/>
      <c r="Q185" s="231"/>
      <c r="R185" s="231"/>
    </row>
    <row r="186" spans="4:18">
      <c r="D186" s="231"/>
      <c r="E186" s="231"/>
      <c r="F186" s="231"/>
      <c r="G186" s="231"/>
      <c r="H186" s="231"/>
      <c r="I186" s="231"/>
      <c r="J186" s="231"/>
      <c r="K186" s="231"/>
      <c r="L186" s="231"/>
      <c r="M186" s="231"/>
      <c r="N186" s="231"/>
      <c r="O186" s="204"/>
      <c r="P186" s="231"/>
      <c r="Q186" s="231"/>
      <c r="R186" s="231"/>
    </row>
    <row r="187" spans="4:18">
      <c r="D187" s="231"/>
      <c r="E187" s="231"/>
      <c r="F187" s="231"/>
      <c r="G187" s="231"/>
      <c r="H187" s="231"/>
      <c r="I187" s="231"/>
      <c r="J187" s="231"/>
      <c r="K187" s="231"/>
      <c r="L187" s="231"/>
      <c r="M187" s="231"/>
      <c r="N187" s="231"/>
      <c r="O187" s="204"/>
      <c r="P187" s="231"/>
      <c r="Q187" s="231"/>
      <c r="R187" s="231"/>
    </row>
    <row r="188" spans="4:18">
      <c r="D188" s="231"/>
      <c r="E188" s="231"/>
      <c r="F188" s="231"/>
      <c r="G188" s="231"/>
      <c r="H188" s="231"/>
      <c r="I188" s="231"/>
      <c r="J188" s="231"/>
      <c r="K188" s="231"/>
      <c r="L188" s="231"/>
      <c r="M188" s="231"/>
      <c r="N188" s="231"/>
      <c r="O188" s="204"/>
      <c r="P188" s="231"/>
      <c r="Q188" s="231"/>
      <c r="R188" s="231"/>
    </row>
    <row r="189" spans="4:18">
      <c r="D189" s="231"/>
      <c r="E189" s="231"/>
      <c r="F189" s="231"/>
      <c r="G189" s="231"/>
      <c r="H189" s="231"/>
      <c r="I189" s="231"/>
      <c r="J189" s="231"/>
      <c r="K189" s="231"/>
      <c r="L189" s="231"/>
      <c r="M189" s="231"/>
      <c r="N189" s="231"/>
      <c r="O189" s="204"/>
      <c r="P189" s="231"/>
      <c r="Q189" s="231"/>
      <c r="R189" s="231"/>
    </row>
    <row r="190" spans="4:18">
      <c r="D190" s="231"/>
      <c r="E190" s="231"/>
      <c r="F190" s="231"/>
      <c r="G190" s="231"/>
      <c r="H190" s="231"/>
      <c r="I190" s="231"/>
      <c r="J190" s="231"/>
      <c r="K190" s="231"/>
      <c r="L190" s="231"/>
      <c r="M190" s="231"/>
      <c r="N190" s="231"/>
      <c r="O190" s="204"/>
      <c r="P190" s="231"/>
      <c r="Q190" s="231"/>
      <c r="R190" s="231"/>
    </row>
    <row r="191" spans="4:18"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04"/>
      <c r="P191" s="231"/>
      <c r="Q191" s="231"/>
      <c r="R191" s="231"/>
    </row>
    <row r="192" spans="4:18">
      <c r="D192" s="231"/>
      <c r="E192" s="231"/>
      <c r="F192" s="231"/>
      <c r="G192" s="231"/>
      <c r="H192" s="231"/>
      <c r="I192" s="231"/>
      <c r="J192" s="231"/>
      <c r="K192" s="231"/>
      <c r="L192" s="231"/>
      <c r="M192" s="231"/>
      <c r="N192" s="231"/>
      <c r="O192" s="204"/>
      <c r="P192" s="231"/>
      <c r="Q192" s="231"/>
      <c r="R192" s="231"/>
    </row>
    <row r="193" spans="4:18">
      <c r="D193" s="231"/>
      <c r="E193" s="231"/>
      <c r="F193" s="231"/>
      <c r="G193" s="231"/>
      <c r="H193" s="231"/>
      <c r="I193" s="231"/>
      <c r="J193" s="231"/>
      <c r="K193" s="231"/>
      <c r="L193" s="231"/>
      <c r="M193" s="231"/>
      <c r="N193" s="231"/>
      <c r="O193" s="204"/>
      <c r="P193" s="231"/>
      <c r="Q193" s="231"/>
      <c r="R193" s="231"/>
    </row>
    <row r="194" spans="4:18">
      <c r="D194" s="231"/>
      <c r="E194" s="231"/>
      <c r="F194" s="231"/>
      <c r="G194" s="231"/>
      <c r="H194" s="231"/>
      <c r="I194" s="231"/>
      <c r="J194" s="231"/>
      <c r="K194" s="231"/>
      <c r="L194" s="231"/>
      <c r="M194" s="231"/>
      <c r="N194" s="231"/>
      <c r="O194" s="204"/>
      <c r="P194" s="231"/>
      <c r="Q194" s="231"/>
      <c r="R194" s="231"/>
    </row>
    <row r="195" spans="4:18">
      <c r="D195" s="231"/>
      <c r="E195" s="231"/>
      <c r="F195" s="231"/>
      <c r="G195" s="231"/>
      <c r="H195" s="231"/>
      <c r="I195" s="231"/>
      <c r="J195" s="231"/>
      <c r="K195" s="231"/>
      <c r="L195" s="231"/>
      <c r="M195" s="231"/>
      <c r="N195" s="231"/>
      <c r="O195" s="204"/>
      <c r="P195" s="231"/>
      <c r="Q195" s="231"/>
      <c r="R195" s="231"/>
    </row>
    <row r="196" spans="4:18"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  <c r="N196" s="231"/>
      <c r="O196" s="204"/>
      <c r="P196" s="231"/>
      <c r="Q196" s="231"/>
      <c r="R196" s="231"/>
    </row>
    <row r="197" spans="4:18"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  <c r="N197" s="231"/>
      <c r="O197" s="204"/>
      <c r="P197" s="231"/>
      <c r="Q197" s="231"/>
      <c r="R197" s="231"/>
    </row>
    <row r="198" spans="4:18">
      <c r="D198" s="231"/>
      <c r="E198" s="231"/>
      <c r="F198" s="231"/>
      <c r="G198" s="231"/>
      <c r="H198" s="231"/>
      <c r="I198" s="231"/>
      <c r="J198" s="231"/>
      <c r="K198" s="231"/>
      <c r="L198" s="231"/>
      <c r="M198" s="231"/>
      <c r="N198" s="231"/>
      <c r="O198" s="204"/>
      <c r="P198" s="231"/>
      <c r="Q198" s="231"/>
      <c r="R198" s="231"/>
    </row>
    <row r="199" spans="4:18">
      <c r="D199" s="231"/>
      <c r="E199" s="231"/>
      <c r="F199" s="231"/>
      <c r="G199" s="231"/>
      <c r="H199" s="231"/>
      <c r="I199" s="231"/>
      <c r="J199" s="231"/>
      <c r="K199" s="231"/>
      <c r="L199" s="231"/>
      <c r="M199" s="231"/>
      <c r="N199" s="231"/>
      <c r="O199" s="204"/>
      <c r="P199" s="231"/>
      <c r="Q199" s="231"/>
      <c r="R199" s="231"/>
    </row>
    <row r="200" spans="4:18">
      <c r="D200" s="231"/>
      <c r="E200" s="231"/>
      <c r="F200" s="231"/>
      <c r="G200" s="231"/>
      <c r="H200" s="231"/>
      <c r="I200" s="231"/>
      <c r="J200" s="231"/>
      <c r="K200" s="231"/>
      <c r="L200" s="231"/>
      <c r="M200" s="231"/>
      <c r="N200" s="231"/>
      <c r="O200" s="204"/>
      <c r="P200" s="231"/>
      <c r="Q200" s="231"/>
      <c r="R200" s="231"/>
    </row>
    <row r="201" spans="4:18"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04"/>
      <c r="P201" s="231"/>
      <c r="Q201" s="231"/>
      <c r="R201" s="231"/>
    </row>
    <row r="202" spans="4:18">
      <c r="D202" s="231"/>
      <c r="E202" s="231"/>
      <c r="F202" s="231"/>
      <c r="G202" s="231"/>
      <c r="H202" s="231"/>
      <c r="I202" s="231"/>
      <c r="J202" s="231"/>
      <c r="K202" s="231"/>
      <c r="L202" s="231"/>
      <c r="M202" s="231"/>
      <c r="N202" s="231"/>
      <c r="O202" s="204"/>
      <c r="P202" s="231"/>
      <c r="Q202" s="231"/>
      <c r="R202" s="231"/>
    </row>
    <row r="203" spans="4:18">
      <c r="D203" s="231"/>
      <c r="E203" s="231"/>
      <c r="F203" s="231"/>
      <c r="G203" s="231"/>
      <c r="H203" s="231"/>
      <c r="I203" s="231"/>
      <c r="J203" s="231"/>
      <c r="K203" s="231"/>
      <c r="L203" s="231"/>
      <c r="M203" s="231"/>
      <c r="N203" s="231"/>
      <c r="O203" s="204"/>
      <c r="P203" s="231"/>
      <c r="Q203" s="231"/>
      <c r="R203" s="231"/>
    </row>
    <row r="204" spans="4:18">
      <c r="D204" s="231"/>
      <c r="E204" s="231"/>
      <c r="F204" s="231"/>
      <c r="G204" s="231"/>
      <c r="H204" s="231"/>
      <c r="I204" s="231"/>
      <c r="J204" s="231"/>
      <c r="K204" s="231"/>
      <c r="L204" s="231"/>
      <c r="M204" s="231"/>
      <c r="N204" s="231"/>
      <c r="O204" s="204"/>
      <c r="P204" s="231"/>
      <c r="Q204" s="231"/>
      <c r="R204" s="231"/>
    </row>
    <row r="205" spans="4:18">
      <c r="D205" s="231"/>
      <c r="E205" s="231"/>
      <c r="F205" s="231"/>
      <c r="G205" s="231"/>
      <c r="H205" s="231"/>
      <c r="I205" s="231"/>
      <c r="J205" s="231"/>
      <c r="K205" s="231"/>
      <c r="L205" s="231"/>
      <c r="M205" s="231"/>
      <c r="N205" s="231"/>
      <c r="O205" s="204"/>
      <c r="P205" s="231"/>
      <c r="Q205" s="231"/>
      <c r="R205" s="231"/>
    </row>
    <row r="206" spans="4:18"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04"/>
      <c r="P206" s="231"/>
      <c r="Q206" s="231"/>
      <c r="R206" s="231"/>
    </row>
    <row r="207" spans="4:18">
      <c r="D207" s="231"/>
      <c r="E207" s="231"/>
      <c r="F207" s="231"/>
      <c r="G207" s="231"/>
      <c r="H207" s="231"/>
      <c r="I207" s="231"/>
      <c r="J207" s="231"/>
      <c r="K207" s="231"/>
      <c r="L207" s="231"/>
      <c r="M207" s="231"/>
      <c r="N207" s="231"/>
      <c r="O207" s="204"/>
      <c r="P207" s="231"/>
      <c r="Q207" s="231"/>
      <c r="R207" s="231"/>
    </row>
    <row r="208" spans="4:18">
      <c r="D208" s="231"/>
      <c r="E208" s="231"/>
      <c r="F208" s="231"/>
      <c r="G208" s="231"/>
      <c r="H208" s="231"/>
      <c r="I208" s="231"/>
      <c r="J208" s="231"/>
      <c r="K208" s="231"/>
      <c r="L208" s="231"/>
      <c r="M208" s="231"/>
      <c r="N208" s="231"/>
      <c r="O208" s="204"/>
      <c r="P208" s="231"/>
      <c r="Q208" s="231"/>
      <c r="R208" s="231"/>
    </row>
    <row r="209" spans="4:18">
      <c r="D209" s="231"/>
      <c r="E209" s="231"/>
      <c r="F209" s="231"/>
      <c r="G209" s="231"/>
      <c r="H209" s="231"/>
      <c r="I209" s="231"/>
      <c r="J209" s="231"/>
      <c r="K209" s="231"/>
      <c r="L209" s="231"/>
      <c r="M209" s="231"/>
      <c r="N209" s="231"/>
      <c r="O209" s="204"/>
      <c r="P209" s="231"/>
      <c r="Q209" s="231"/>
      <c r="R209" s="231"/>
    </row>
    <row r="210" spans="4:18">
      <c r="D210" s="231"/>
      <c r="E210" s="231"/>
      <c r="F210" s="231"/>
      <c r="G210" s="231"/>
      <c r="H210" s="231"/>
      <c r="I210" s="231"/>
      <c r="J210" s="231"/>
      <c r="K210" s="231"/>
      <c r="L210" s="231"/>
      <c r="M210" s="231"/>
      <c r="N210" s="231"/>
      <c r="O210" s="204"/>
      <c r="P210" s="231"/>
      <c r="Q210" s="231"/>
      <c r="R210" s="231"/>
    </row>
    <row r="211" spans="4:18">
      <c r="D211" s="231"/>
      <c r="E211" s="231"/>
      <c r="F211" s="231"/>
      <c r="G211" s="231"/>
      <c r="H211" s="231"/>
      <c r="I211" s="231"/>
      <c r="J211" s="231"/>
      <c r="K211" s="231"/>
      <c r="L211" s="231"/>
      <c r="M211" s="231"/>
      <c r="N211" s="231"/>
      <c r="O211" s="204"/>
      <c r="P211" s="231"/>
      <c r="Q211" s="231"/>
      <c r="R211" s="231"/>
    </row>
    <row r="212" spans="4:18">
      <c r="D212" s="231"/>
      <c r="E212" s="231"/>
      <c r="F212" s="231"/>
      <c r="G212" s="231"/>
      <c r="H212" s="231"/>
      <c r="I212" s="231"/>
      <c r="J212" s="231"/>
      <c r="K212" s="231"/>
      <c r="L212" s="231"/>
      <c r="M212" s="231"/>
      <c r="N212" s="231"/>
      <c r="O212" s="204"/>
      <c r="P212" s="231"/>
      <c r="Q212" s="231"/>
      <c r="R212" s="231"/>
    </row>
    <row r="213" spans="4:18">
      <c r="D213" s="231"/>
      <c r="E213" s="231"/>
      <c r="F213" s="231"/>
      <c r="G213" s="231"/>
      <c r="H213" s="231"/>
      <c r="I213" s="231"/>
      <c r="J213" s="231"/>
      <c r="K213" s="231"/>
      <c r="L213" s="231"/>
      <c r="M213" s="231"/>
      <c r="N213" s="231"/>
      <c r="O213" s="204"/>
      <c r="P213" s="231"/>
      <c r="Q213" s="231"/>
      <c r="R213" s="231"/>
    </row>
    <row r="214" spans="4:18">
      <c r="D214" s="231"/>
      <c r="E214" s="231"/>
      <c r="F214" s="231"/>
      <c r="G214" s="231"/>
      <c r="H214" s="231"/>
      <c r="I214" s="231"/>
      <c r="J214" s="231"/>
      <c r="K214" s="231"/>
      <c r="L214" s="231"/>
      <c r="M214" s="231"/>
      <c r="N214" s="231"/>
      <c r="O214" s="204"/>
      <c r="P214" s="231"/>
      <c r="Q214" s="231"/>
      <c r="R214" s="231"/>
    </row>
    <row r="215" spans="4:18">
      <c r="D215" s="231"/>
      <c r="E215" s="231"/>
      <c r="F215" s="231"/>
      <c r="G215" s="231"/>
      <c r="H215" s="231"/>
      <c r="I215" s="231"/>
      <c r="J215" s="231"/>
      <c r="K215" s="231"/>
      <c r="L215" s="231"/>
      <c r="M215" s="231"/>
      <c r="N215" s="231"/>
      <c r="O215" s="204"/>
      <c r="P215" s="231"/>
      <c r="Q215" s="231"/>
      <c r="R215" s="231"/>
    </row>
    <row r="216" spans="4:18">
      <c r="D216" s="231"/>
      <c r="E216" s="231"/>
      <c r="F216" s="231"/>
      <c r="G216" s="231"/>
      <c r="H216" s="231"/>
      <c r="I216" s="231"/>
      <c r="J216" s="231"/>
      <c r="K216" s="231"/>
      <c r="L216" s="231"/>
      <c r="M216" s="231"/>
      <c r="N216" s="231"/>
      <c r="O216" s="204"/>
      <c r="P216" s="231"/>
      <c r="Q216" s="231"/>
      <c r="R216" s="231"/>
    </row>
    <row r="217" spans="4:18">
      <c r="D217" s="231"/>
      <c r="E217" s="231"/>
      <c r="F217" s="231"/>
      <c r="G217" s="231"/>
      <c r="H217" s="231"/>
      <c r="I217" s="231"/>
      <c r="J217" s="231"/>
      <c r="K217" s="231"/>
      <c r="L217" s="231"/>
      <c r="M217" s="231"/>
      <c r="N217" s="231"/>
      <c r="O217" s="204"/>
      <c r="P217" s="231"/>
      <c r="Q217" s="231"/>
      <c r="R217" s="231"/>
    </row>
    <row r="218" spans="4:18"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04"/>
      <c r="P218" s="231"/>
      <c r="Q218" s="231"/>
      <c r="R218" s="231"/>
    </row>
    <row r="219" spans="4:18">
      <c r="D219" s="231"/>
      <c r="E219" s="231"/>
      <c r="F219" s="231"/>
      <c r="G219" s="231"/>
      <c r="H219" s="231"/>
      <c r="I219" s="231"/>
      <c r="J219" s="231"/>
      <c r="K219" s="231"/>
      <c r="L219" s="231"/>
      <c r="M219" s="231"/>
      <c r="N219" s="231"/>
      <c r="O219" s="204"/>
      <c r="P219" s="231"/>
      <c r="Q219" s="231"/>
      <c r="R219" s="231"/>
    </row>
    <row r="220" spans="4:18">
      <c r="D220" s="231"/>
      <c r="E220" s="231"/>
      <c r="F220" s="231"/>
      <c r="G220" s="231"/>
      <c r="H220" s="231"/>
      <c r="I220" s="231"/>
      <c r="J220" s="231"/>
      <c r="K220" s="231"/>
      <c r="L220" s="231"/>
      <c r="M220" s="231"/>
      <c r="N220" s="231"/>
      <c r="O220" s="204"/>
      <c r="P220" s="231"/>
      <c r="Q220" s="231"/>
      <c r="R220" s="231"/>
    </row>
    <row r="221" spans="4:18">
      <c r="D221" s="231"/>
      <c r="E221" s="231"/>
      <c r="F221" s="231"/>
      <c r="G221" s="231"/>
      <c r="H221" s="231"/>
      <c r="I221" s="231"/>
      <c r="J221" s="231"/>
      <c r="K221" s="231"/>
      <c r="L221" s="231"/>
      <c r="M221" s="231"/>
      <c r="N221" s="231"/>
      <c r="O221" s="204"/>
      <c r="P221" s="231"/>
      <c r="Q221" s="231"/>
      <c r="R221" s="231"/>
    </row>
    <row r="222" spans="4:18"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04"/>
      <c r="P222" s="231"/>
      <c r="Q222" s="231"/>
      <c r="R222" s="231"/>
    </row>
    <row r="223" spans="4:18">
      <c r="D223" s="231"/>
      <c r="E223" s="231"/>
      <c r="F223" s="231"/>
      <c r="G223" s="231"/>
      <c r="H223" s="231"/>
      <c r="I223" s="231"/>
      <c r="J223" s="231"/>
      <c r="K223" s="231"/>
      <c r="L223" s="231"/>
      <c r="M223" s="231"/>
      <c r="N223" s="231"/>
      <c r="O223" s="204"/>
      <c r="P223" s="231"/>
      <c r="Q223" s="231"/>
      <c r="R223" s="231"/>
    </row>
  </sheetData>
  <mergeCells count="5">
    <mergeCell ref="A1:B1"/>
    <mergeCell ref="Y1:Z1"/>
    <mergeCell ref="AQ1:AU1"/>
    <mergeCell ref="B152:F154"/>
    <mergeCell ref="B155:F157"/>
  </mergeCells>
  <phoneticPr fontId="47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DA7D-8CE8-4AC1-9F60-D589A50CB69B}">
  <dimension ref="A1:AA108"/>
  <sheetViews>
    <sheetView tabSelected="1" topLeftCell="A70" zoomScaleNormal="100" workbookViewId="0">
      <selection activeCell="K87" sqref="K87"/>
    </sheetView>
  </sheetViews>
  <sheetFormatPr defaultColWidth="8.85546875" defaultRowHeight="15"/>
  <cols>
    <col min="2" max="2" width="10.28515625" bestFit="1" customWidth="1"/>
    <col min="3" max="3" width="10.85546875" bestFit="1" customWidth="1"/>
    <col min="4" max="4" width="12" bestFit="1" customWidth="1"/>
    <col min="6" max="6" width="9.7109375" bestFit="1" customWidth="1"/>
    <col min="8" max="8" width="8.85546875" style="396"/>
    <col min="10" max="10" width="13.42578125" customWidth="1"/>
    <col min="16" max="16" width="10.85546875" customWidth="1"/>
    <col min="17" max="17" width="12.42578125" customWidth="1"/>
    <col min="18" max="19" width="8.85546875" style="310"/>
    <col min="20" max="20" width="8.85546875" style="396"/>
    <col min="22" max="22" width="11.42578125" customWidth="1"/>
    <col min="25" max="25" width="11.85546875" customWidth="1"/>
  </cols>
  <sheetData>
    <row r="1" spans="1:27" ht="18.75">
      <c r="A1" s="278" t="s">
        <v>812</v>
      </c>
    </row>
    <row r="2" spans="1:27">
      <c r="A2" s="270" t="s">
        <v>1018</v>
      </c>
    </row>
    <row r="3" spans="1:27">
      <c r="A3" s="397" t="s">
        <v>824</v>
      </c>
      <c r="B3" s="282">
        <v>44322</v>
      </c>
      <c r="I3" s="626" t="s">
        <v>1020</v>
      </c>
      <c r="W3" s="414" t="s">
        <v>346</v>
      </c>
    </row>
    <row r="4" spans="1:27">
      <c r="A4" s="397" t="s">
        <v>808</v>
      </c>
      <c r="B4" s="397" t="s">
        <v>119</v>
      </c>
      <c r="C4" s="397" t="s">
        <v>111</v>
      </c>
      <c r="D4" s="397" t="s">
        <v>823</v>
      </c>
      <c r="E4" s="397" t="s">
        <v>346</v>
      </c>
      <c r="F4" s="626" t="s">
        <v>1084</v>
      </c>
      <c r="I4" s="397" t="s">
        <v>808</v>
      </c>
      <c r="J4" s="397" t="s">
        <v>119</v>
      </c>
      <c r="K4" s="397" t="s">
        <v>111</v>
      </c>
      <c r="L4" s="397" t="s">
        <v>346</v>
      </c>
      <c r="M4" s="626" t="s">
        <v>1084</v>
      </c>
      <c r="O4" s="397" t="s">
        <v>808</v>
      </c>
      <c r="P4" s="397" t="s">
        <v>119</v>
      </c>
      <c r="Q4" s="397" t="s">
        <v>111</v>
      </c>
      <c r="R4" s="426" t="s">
        <v>346</v>
      </c>
      <c r="S4" s="626" t="s">
        <v>1084</v>
      </c>
      <c r="T4" s="425"/>
      <c r="U4" s="50" t="s">
        <v>99</v>
      </c>
      <c r="Y4" s="321" t="s">
        <v>100</v>
      </c>
      <c r="Z4" s="322" t="s">
        <v>51</v>
      </c>
    </row>
    <row r="5" spans="1:27" ht="15.75">
      <c r="A5" t="s">
        <v>100</v>
      </c>
      <c r="B5" t="s">
        <v>710</v>
      </c>
      <c r="C5" t="s">
        <v>4</v>
      </c>
      <c r="D5">
        <v>7.99</v>
      </c>
      <c r="E5">
        <v>7.12</v>
      </c>
      <c r="F5">
        <v>3.1389999999999998</v>
      </c>
      <c r="I5" s="350" t="s">
        <v>100</v>
      </c>
      <c r="J5" s="350" t="s">
        <v>710</v>
      </c>
      <c r="K5" s="350" t="s">
        <v>4</v>
      </c>
      <c r="L5" s="350">
        <v>7.12</v>
      </c>
      <c r="M5" s="350">
        <v>3.1389999999999998</v>
      </c>
      <c r="O5" s="401" t="s">
        <v>104</v>
      </c>
      <c r="P5" s="401" t="s">
        <v>826</v>
      </c>
      <c r="Q5" s="401" t="s">
        <v>4</v>
      </c>
      <c r="R5" s="406">
        <v>7.46</v>
      </c>
      <c r="S5" s="406">
        <v>1.1819999999999999</v>
      </c>
      <c r="T5" s="404"/>
      <c r="U5" s="321"/>
      <c r="V5" s="822" t="s">
        <v>872</v>
      </c>
      <c r="W5" s="823"/>
      <c r="X5" s="321"/>
      <c r="Y5" s="330" t="s">
        <v>873</v>
      </c>
      <c r="Z5" s="824" t="s">
        <v>874</v>
      </c>
      <c r="AA5" s="824"/>
    </row>
    <row r="6" spans="1:27">
      <c r="A6" t="s">
        <v>100</v>
      </c>
      <c r="B6" t="s">
        <v>710</v>
      </c>
      <c r="C6" s="280" t="s">
        <v>5</v>
      </c>
      <c r="D6">
        <v>8.02</v>
      </c>
      <c r="E6">
        <v>7.28</v>
      </c>
      <c r="F6">
        <v>1.7689999999999999</v>
      </c>
      <c r="I6" s="350" t="s">
        <v>100</v>
      </c>
      <c r="J6" s="350" t="s">
        <v>710</v>
      </c>
      <c r="K6" s="424" t="s">
        <v>5</v>
      </c>
      <c r="L6" s="350">
        <v>7.28</v>
      </c>
      <c r="M6" s="350">
        <v>1.7689999999999999</v>
      </c>
      <c r="O6" s="401" t="s">
        <v>104</v>
      </c>
      <c r="P6" s="401" t="s">
        <v>826</v>
      </c>
      <c r="Q6" s="401" t="s">
        <v>5</v>
      </c>
      <c r="R6" s="406">
        <v>7.69</v>
      </c>
      <c r="S6" s="406">
        <v>313.39999999999998</v>
      </c>
      <c r="T6" s="404"/>
      <c r="U6" s="353"/>
      <c r="V6" s="359" t="s">
        <v>31</v>
      </c>
      <c r="W6" s="441" t="s">
        <v>15</v>
      </c>
      <c r="X6" s="441"/>
      <c r="Y6" s="359" t="s">
        <v>28</v>
      </c>
      <c r="Z6" s="339" t="s">
        <v>15</v>
      </c>
      <c r="AA6" s="340" t="s">
        <v>28</v>
      </c>
    </row>
    <row r="7" spans="1:27" ht="15.75">
      <c r="A7" t="s">
        <v>100</v>
      </c>
      <c r="B7" t="s">
        <v>710</v>
      </c>
      <c r="C7" t="s">
        <v>45</v>
      </c>
      <c r="D7">
        <v>7.99</v>
      </c>
      <c r="E7">
        <v>7.29</v>
      </c>
      <c r="F7">
        <v>849.6</v>
      </c>
      <c r="I7" s="350" t="s">
        <v>100</v>
      </c>
      <c r="J7" s="350" t="s">
        <v>710</v>
      </c>
      <c r="K7" s="350" t="s">
        <v>45</v>
      </c>
      <c r="L7" s="350">
        <v>7.29</v>
      </c>
      <c r="M7" s="350">
        <v>849.6</v>
      </c>
      <c r="O7" s="401" t="s">
        <v>104</v>
      </c>
      <c r="P7" s="401" t="s">
        <v>826</v>
      </c>
      <c r="Q7" s="401" t="s">
        <v>45</v>
      </c>
      <c r="R7" s="406">
        <v>7.76</v>
      </c>
      <c r="S7" s="406">
        <v>214.5</v>
      </c>
      <c r="T7" s="404"/>
      <c r="U7" s="362" t="s">
        <v>4</v>
      </c>
      <c r="V7" s="443">
        <f>AVERAGE(L24,L27,L30,L33,L36,L39,L42,L45,L48,L51)</f>
        <v>6.9887500000000014</v>
      </c>
      <c r="W7" s="363">
        <f>AVERAGE(L5,L8,L11,L14,L17,L20)</f>
        <v>7.1816666666666675</v>
      </c>
      <c r="X7" s="363"/>
      <c r="Y7" s="442">
        <f>AVERAGE(L55,L60,L65)</f>
        <v>5.8233333333333333</v>
      </c>
      <c r="Z7" s="344">
        <f>AVERAGE(V7:W7)</f>
        <v>7.085208333333334</v>
      </c>
      <c r="AA7" s="344">
        <f>Y7</f>
        <v>5.8233333333333333</v>
      </c>
    </row>
    <row r="8" spans="1:27" ht="15.75">
      <c r="A8" t="s">
        <v>100</v>
      </c>
      <c r="B8" t="s">
        <v>163</v>
      </c>
      <c r="C8" t="s">
        <v>4</v>
      </c>
      <c r="D8">
        <v>7.99</v>
      </c>
      <c r="E8">
        <v>7.23</v>
      </c>
      <c r="F8">
        <v>8.3360000000000003</v>
      </c>
      <c r="I8" s="350" t="s">
        <v>100</v>
      </c>
      <c r="J8" s="350" t="s">
        <v>163</v>
      </c>
      <c r="K8" s="350" t="s">
        <v>4</v>
      </c>
      <c r="L8" s="350">
        <v>7.23</v>
      </c>
      <c r="M8" s="350">
        <v>8.3360000000000003</v>
      </c>
      <c r="O8" s="401" t="s">
        <v>104</v>
      </c>
      <c r="P8" s="401" t="s">
        <v>826</v>
      </c>
      <c r="Q8" s="402" t="s">
        <v>112</v>
      </c>
      <c r="R8" s="406">
        <v>7.22</v>
      </c>
      <c r="S8" s="421">
        <v>1.03</v>
      </c>
      <c r="T8" s="404"/>
      <c r="U8" s="366" t="s">
        <v>5</v>
      </c>
      <c r="V8" s="443">
        <f t="shared" ref="V8" si="0">AVERAGE(L25,L28,L31,L34,L37,L40,L43,L46,L49,L52)</f>
        <v>7.1150000000000011</v>
      </c>
      <c r="W8" s="363">
        <f t="shared" ref="W8" si="1">AVERAGE(L6,L9,L12,L15,L18,L21)</f>
        <v>7.3466666666666667</v>
      </c>
      <c r="X8" s="363"/>
      <c r="Y8" s="442">
        <f>AVERAGE(L56,L61,L66)</f>
        <v>5.78</v>
      </c>
      <c r="Z8" s="344">
        <f t="shared" ref="Z8" si="2">AVERAGE(V8:W8)</f>
        <v>7.2308333333333339</v>
      </c>
      <c r="AA8" s="344">
        <f>Y8</f>
        <v>5.78</v>
      </c>
    </row>
    <row r="9" spans="1:27" ht="15.75">
      <c r="A9" t="s">
        <v>100</v>
      </c>
      <c r="B9" t="s">
        <v>163</v>
      </c>
      <c r="C9" t="s">
        <v>5</v>
      </c>
      <c r="D9" s="204">
        <v>8</v>
      </c>
      <c r="E9" s="204">
        <v>7.2</v>
      </c>
      <c r="F9">
        <v>2.2149999999999999</v>
      </c>
      <c r="I9" s="350" t="s">
        <v>100</v>
      </c>
      <c r="J9" s="350" t="s">
        <v>163</v>
      </c>
      <c r="K9" s="350" t="s">
        <v>5</v>
      </c>
      <c r="L9" s="423">
        <v>7.2</v>
      </c>
      <c r="M9" s="350">
        <v>2.2149999999999999</v>
      </c>
      <c r="O9" s="401" t="s">
        <v>104</v>
      </c>
      <c r="P9" s="401" t="s">
        <v>826</v>
      </c>
      <c r="Q9" s="402" t="s">
        <v>114</v>
      </c>
      <c r="R9" s="406">
        <v>7.66</v>
      </c>
      <c r="S9" s="406">
        <v>271.5</v>
      </c>
      <c r="T9" s="404"/>
      <c r="U9" s="366" t="s">
        <v>45</v>
      </c>
      <c r="V9" s="443">
        <f>AVERAGE(L26,L29,L32,L35,L38,L41,L44,L47,L50,L53)</f>
        <v>7.232222222222223</v>
      </c>
      <c r="W9" s="363">
        <f>AVERAGE(L7,L10,L13,L16,L19,L22)</f>
        <v>7.4033333333333324</v>
      </c>
      <c r="X9" s="363"/>
      <c r="Y9" s="442">
        <f>AVERAGE(L57,L62,L67)</f>
        <v>5.99</v>
      </c>
      <c r="Z9" s="344">
        <f>AVERAGE(V9:W9)</f>
        <v>7.3177777777777777</v>
      </c>
      <c r="AA9" s="344">
        <f>Y9</f>
        <v>5.99</v>
      </c>
    </row>
    <row r="10" spans="1:27" ht="15.75">
      <c r="A10" t="s">
        <v>100</v>
      </c>
      <c r="B10" t="s">
        <v>163</v>
      </c>
      <c r="C10" t="s">
        <v>45</v>
      </c>
      <c r="D10">
        <v>7.99</v>
      </c>
      <c r="E10">
        <v>7.47</v>
      </c>
      <c r="F10">
        <v>656.5</v>
      </c>
      <c r="I10" s="350" t="s">
        <v>100</v>
      </c>
      <c r="J10" s="350" t="s">
        <v>163</v>
      </c>
      <c r="K10" s="350" t="s">
        <v>45</v>
      </c>
      <c r="L10" s="350">
        <v>7.47</v>
      </c>
      <c r="M10" s="350">
        <v>656.5</v>
      </c>
      <c r="O10" s="401"/>
      <c r="P10" s="401" t="s">
        <v>826</v>
      </c>
      <c r="Q10" s="402" t="s">
        <v>817</v>
      </c>
      <c r="R10" s="408">
        <v>7.84</v>
      </c>
      <c r="S10" s="406">
        <v>1.9870000000000001</v>
      </c>
      <c r="T10" s="404"/>
      <c r="U10" s="362" t="s">
        <v>53</v>
      </c>
      <c r="V10" s="359"/>
      <c r="W10" s="363"/>
      <c r="X10" s="363"/>
      <c r="Y10" s="442">
        <f>AVERAGE(L58,L63,L68)</f>
        <v>6.419999999999999</v>
      </c>
      <c r="Z10" s="339"/>
      <c r="AA10" s="344">
        <f>Y10</f>
        <v>6.419999999999999</v>
      </c>
    </row>
    <row r="11" spans="1:27" ht="15.75">
      <c r="A11" t="s">
        <v>100</v>
      </c>
      <c r="B11" t="s">
        <v>814</v>
      </c>
      <c r="C11" t="s">
        <v>4</v>
      </c>
      <c r="D11">
        <v>8.01</v>
      </c>
      <c r="E11">
        <v>7.19</v>
      </c>
      <c r="F11">
        <v>7.5860000000000003</v>
      </c>
      <c r="I11" s="350" t="s">
        <v>100</v>
      </c>
      <c r="J11" s="350" t="s">
        <v>814</v>
      </c>
      <c r="K11" s="350" t="s">
        <v>4</v>
      </c>
      <c r="L11" s="350">
        <v>7.19</v>
      </c>
      <c r="M11" s="350">
        <v>7.5860000000000003</v>
      </c>
      <c r="O11" s="376"/>
      <c r="P11" s="376"/>
      <c r="Q11" s="376"/>
      <c r="R11" s="422"/>
      <c r="S11" s="422"/>
      <c r="T11" s="404"/>
      <c r="U11" s="366" t="s">
        <v>792</v>
      </c>
      <c r="V11" s="359"/>
      <c r="W11" s="363"/>
      <c r="X11" s="363"/>
      <c r="Y11" s="442">
        <f>AVERAGE(L59,L64,L69)</f>
        <v>6.4633333333333338</v>
      </c>
      <c r="Z11" s="339"/>
      <c r="AA11" s="344">
        <f>Y11</f>
        <v>6.4633333333333338</v>
      </c>
    </row>
    <row r="12" spans="1:27">
      <c r="A12" t="s">
        <v>100</v>
      </c>
      <c r="B12" t="s">
        <v>814</v>
      </c>
      <c r="C12" t="s">
        <v>5</v>
      </c>
      <c r="D12">
        <v>7.99</v>
      </c>
      <c r="E12">
        <v>7.16</v>
      </c>
      <c r="F12">
        <v>3.1309999999999998</v>
      </c>
      <c r="I12" s="350" t="s">
        <v>100</v>
      </c>
      <c r="J12" s="350" t="s">
        <v>814</v>
      </c>
      <c r="K12" s="350" t="s">
        <v>5</v>
      </c>
      <c r="L12" s="350">
        <v>7.16</v>
      </c>
      <c r="M12" s="350">
        <v>3.1309999999999998</v>
      </c>
      <c r="O12" s="376"/>
      <c r="P12" s="376"/>
      <c r="Q12" s="376"/>
      <c r="R12" s="422"/>
      <c r="S12" s="422"/>
      <c r="T12" s="404"/>
      <c r="U12" s="321"/>
      <c r="V12" s="338"/>
      <c r="W12" s="338"/>
      <c r="X12" s="338"/>
      <c r="Y12" s="74"/>
      <c r="Z12" s="321"/>
      <c r="AA12" s="321"/>
    </row>
    <row r="13" spans="1:27">
      <c r="A13" t="s">
        <v>100</v>
      </c>
      <c r="B13" t="s">
        <v>814</v>
      </c>
      <c r="C13" t="s">
        <v>45</v>
      </c>
      <c r="D13">
        <v>8.01</v>
      </c>
      <c r="E13">
        <v>7.28</v>
      </c>
      <c r="F13">
        <v>1.133</v>
      </c>
      <c r="I13" s="350" t="s">
        <v>100</v>
      </c>
      <c r="J13" s="350" t="s">
        <v>814</v>
      </c>
      <c r="K13" s="350" t="s">
        <v>45</v>
      </c>
      <c r="L13" s="350">
        <v>7.28</v>
      </c>
      <c r="M13" s="350">
        <v>1.133</v>
      </c>
      <c r="O13" s="401" t="s">
        <v>100</v>
      </c>
      <c r="P13" s="401" t="s">
        <v>829</v>
      </c>
      <c r="Q13" s="401" t="s">
        <v>45</v>
      </c>
      <c r="R13" s="406">
        <v>7.93</v>
      </c>
      <c r="S13" s="406">
        <v>267.8</v>
      </c>
      <c r="T13" s="404"/>
      <c r="U13" s="337"/>
      <c r="V13" s="337"/>
      <c r="W13" s="337"/>
      <c r="X13" s="337"/>
      <c r="Y13" s="321"/>
      <c r="Z13" s="321"/>
      <c r="AA13" s="321"/>
    </row>
    <row r="14" spans="1:27">
      <c r="A14" t="s">
        <v>100</v>
      </c>
      <c r="B14" t="s">
        <v>164</v>
      </c>
      <c r="C14" t="s">
        <v>4</v>
      </c>
      <c r="D14">
        <v>8.02</v>
      </c>
      <c r="E14">
        <v>7.18</v>
      </c>
      <c r="F14">
        <v>3.6749999999999998</v>
      </c>
      <c r="I14" s="350" t="s">
        <v>100</v>
      </c>
      <c r="J14" s="350" t="s">
        <v>164</v>
      </c>
      <c r="K14" s="350" t="s">
        <v>4</v>
      </c>
      <c r="L14" s="350">
        <v>7.18</v>
      </c>
      <c r="M14" s="350">
        <v>3.6749999999999998</v>
      </c>
      <c r="O14" s="401" t="s">
        <v>104</v>
      </c>
      <c r="P14" s="401" t="s">
        <v>831</v>
      </c>
      <c r="Q14" s="402" t="s">
        <v>112</v>
      </c>
      <c r="R14" s="408">
        <v>7.5</v>
      </c>
      <c r="S14" s="421">
        <v>1.1000000000000001</v>
      </c>
      <c r="T14" s="404"/>
      <c r="U14" s="337"/>
      <c r="V14" s="337"/>
      <c r="W14" s="337"/>
      <c r="X14" s="337"/>
      <c r="Y14" s="321"/>
      <c r="Z14" s="321"/>
      <c r="AA14" s="321"/>
    </row>
    <row r="15" spans="1:27">
      <c r="A15" t="s">
        <v>100</v>
      </c>
      <c r="B15" t="s">
        <v>164</v>
      </c>
      <c r="C15" t="s">
        <v>5</v>
      </c>
      <c r="D15">
        <v>8.02</v>
      </c>
      <c r="E15">
        <v>7.34</v>
      </c>
      <c r="F15">
        <v>490.1</v>
      </c>
      <c r="I15" s="350" t="s">
        <v>100</v>
      </c>
      <c r="J15" s="350" t="s">
        <v>164</v>
      </c>
      <c r="K15" s="350" t="s">
        <v>5</v>
      </c>
      <c r="L15" s="350">
        <v>7.34</v>
      </c>
      <c r="M15" s="350">
        <v>490.1</v>
      </c>
      <c r="O15" s="401" t="s">
        <v>104</v>
      </c>
      <c r="P15" s="401" t="s">
        <v>831</v>
      </c>
      <c r="Q15" s="401" t="s">
        <v>5</v>
      </c>
      <c r="R15" s="406">
        <v>8.1300000000000008</v>
      </c>
      <c r="S15" s="420">
        <v>250</v>
      </c>
      <c r="T15" s="404"/>
      <c r="U15" s="337"/>
      <c r="V15" s="337"/>
      <c r="W15" s="337"/>
      <c r="X15" s="337"/>
      <c r="Y15" s="321" t="s">
        <v>104</v>
      </c>
      <c r="Z15" s="352" t="s">
        <v>57</v>
      </c>
      <c r="AA15" s="321"/>
    </row>
    <row r="16" spans="1:27" ht="34.5" customHeight="1">
      <c r="A16" t="s">
        <v>100</v>
      </c>
      <c r="B16" t="s">
        <v>164</v>
      </c>
      <c r="C16" t="s">
        <v>45</v>
      </c>
      <c r="D16" s="204">
        <v>8</v>
      </c>
      <c r="E16">
        <v>7.54</v>
      </c>
      <c r="F16" s="277">
        <v>268</v>
      </c>
      <c r="I16" s="350" t="s">
        <v>100</v>
      </c>
      <c r="J16" s="350" t="s">
        <v>164</v>
      </c>
      <c r="K16" s="350" t="s">
        <v>45</v>
      </c>
      <c r="L16" s="350">
        <v>7.54</v>
      </c>
      <c r="M16" s="419">
        <v>268</v>
      </c>
      <c r="O16" s="401" t="s">
        <v>104</v>
      </c>
      <c r="P16" s="401" t="s">
        <v>831</v>
      </c>
      <c r="Q16" s="401" t="s">
        <v>45</v>
      </c>
      <c r="R16" s="406">
        <v>8.18</v>
      </c>
      <c r="S16" s="406">
        <v>179.4</v>
      </c>
      <c r="T16" s="404"/>
      <c r="U16" s="353"/>
      <c r="V16" s="354" t="s">
        <v>875</v>
      </c>
      <c r="W16" s="818" t="s">
        <v>876</v>
      </c>
      <c r="X16" s="819"/>
      <c r="Y16" s="330" t="s">
        <v>873</v>
      </c>
      <c r="Z16" s="820" t="s">
        <v>877</v>
      </c>
      <c r="AA16" s="821"/>
    </row>
    <row r="17" spans="1:27">
      <c r="A17" t="s">
        <v>100</v>
      </c>
      <c r="B17" t="s">
        <v>718</v>
      </c>
      <c r="C17" t="s">
        <v>4</v>
      </c>
      <c r="D17" s="204">
        <v>8</v>
      </c>
      <c r="E17">
        <v>7.22</v>
      </c>
      <c r="F17">
        <v>2.4489999999999998</v>
      </c>
      <c r="I17" s="350" t="s">
        <v>100</v>
      </c>
      <c r="J17" s="413" t="s">
        <v>718</v>
      </c>
      <c r="K17" s="413" t="s">
        <v>4</v>
      </c>
      <c r="L17" s="413">
        <v>7.22</v>
      </c>
      <c r="M17" s="413">
        <v>2.4489999999999998</v>
      </c>
      <c r="T17" s="409"/>
      <c r="U17" s="353"/>
      <c r="V17" s="358" t="s">
        <v>26</v>
      </c>
      <c r="W17" s="358" t="s">
        <v>24</v>
      </c>
      <c r="X17" s="358" t="s">
        <v>17</v>
      </c>
      <c r="Y17" s="359" t="s">
        <v>56</v>
      </c>
      <c r="Z17" s="360" t="s">
        <v>15</v>
      </c>
      <c r="AA17" s="360" t="s">
        <v>16</v>
      </c>
    </row>
    <row r="18" spans="1:27" ht="15.75">
      <c r="A18" t="s">
        <v>100</v>
      </c>
      <c r="B18" t="s">
        <v>718</v>
      </c>
      <c r="C18" t="s">
        <v>5</v>
      </c>
      <c r="D18">
        <v>8.01</v>
      </c>
      <c r="E18">
        <v>7.64</v>
      </c>
      <c r="F18">
        <v>470.4</v>
      </c>
      <c r="I18" s="350" t="s">
        <v>100</v>
      </c>
      <c r="J18" s="413" t="s">
        <v>718</v>
      </c>
      <c r="K18" s="413" t="s">
        <v>5</v>
      </c>
      <c r="L18" s="413">
        <v>7.64</v>
      </c>
      <c r="M18" s="413">
        <v>470.4</v>
      </c>
      <c r="O18" s="418" t="s">
        <v>104</v>
      </c>
      <c r="P18" s="418" t="s">
        <v>830</v>
      </c>
      <c r="Q18" s="418" t="s">
        <v>4</v>
      </c>
      <c r="R18" s="417">
        <v>7.27</v>
      </c>
      <c r="S18" s="417">
        <v>4.1760000000000002</v>
      </c>
      <c r="T18" s="404"/>
      <c r="U18" s="362" t="s">
        <v>4</v>
      </c>
      <c r="V18" s="363">
        <f>AVERAGE(R22)</f>
        <v>7.64</v>
      </c>
      <c r="W18" s="363">
        <f>AVERAGE(R5,R8,R11,R14)</f>
        <v>7.3933333333333335</v>
      </c>
      <c r="X18" s="363">
        <f>AVERAGE(R18)</f>
        <v>7.27</v>
      </c>
      <c r="Y18" s="364">
        <f>AVERAGE(R26,R29,R32,R35,R38)</f>
        <v>5.9124999999999996</v>
      </c>
      <c r="Z18" s="344">
        <f>AVERAGE(V18:W18)</f>
        <v>7.5166666666666666</v>
      </c>
      <c r="AA18" s="365">
        <f>Y18</f>
        <v>5.9124999999999996</v>
      </c>
    </row>
    <row r="19" spans="1:27" ht="15.75">
      <c r="A19" t="s">
        <v>100</v>
      </c>
      <c r="B19" t="s">
        <v>718</v>
      </c>
      <c r="C19" t="s">
        <v>45</v>
      </c>
      <c r="D19">
        <v>7.98</v>
      </c>
      <c r="E19">
        <v>7.55</v>
      </c>
      <c r="F19">
        <v>350.5</v>
      </c>
      <c r="I19" s="350" t="s">
        <v>100</v>
      </c>
      <c r="J19" s="413" t="s">
        <v>718</v>
      </c>
      <c r="K19" s="413" t="s">
        <v>45</v>
      </c>
      <c r="L19" s="413">
        <v>7.55</v>
      </c>
      <c r="M19" s="413">
        <v>350.5</v>
      </c>
      <c r="N19" s="290"/>
      <c r="O19" s="418" t="s">
        <v>104</v>
      </c>
      <c r="P19" s="418" t="s">
        <v>830</v>
      </c>
      <c r="Q19" s="418" t="s">
        <v>5</v>
      </c>
      <c r="R19" s="417">
        <v>7.66</v>
      </c>
      <c r="S19" s="417">
        <v>477.6</v>
      </c>
      <c r="T19" s="404"/>
      <c r="U19" s="366" t="s">
        <v>5</v>
      </c>
      <c r="V19" s="363">
        <f t="shared" ref="V19" si="3">AVERAGE(R23)</f>
        <v>8.44</v>
      </c>
      <c r="W19" s="363">
        <f t="shared" ref="W19:W20" si="4">AVERAGE(R6,R9,R12,R15)</f>
        <v>7.826666666666668</v>
      </c>
      <c r="X19" s="363">
        <f t="shared" ref="X19:X20" si="5">AVERAGE(R19)</f>
        <v>7.66</v>
      </c>
      <c r="Y19" s="364">
        <f t="shared" ref="Y19:Y20" si="6">AVERAGE(R27,R30,R33,R36,R39)</f>
        <v>5.8140000000000009</v>
      </c>
      <c r="Z19" s="344">
        <f t="shared" ref="Z19" si="7">AVERAGE(V19:W19)</f>
        <v>8.1333333333333329</v>
      </c>
      <c r="AA19" s="365">
        <f>Y19</f>
        <v>5.8140000000000009</v>
      </c>
    </row>
    <row r="20" spans="1:27" ht="15.75">
      <c r="A20" t="s">
        <v>104</v>
      </c>
      <c r="B20" t="s">
        <v>826</v>
      </c>
      <c r="C20" t="s">
        <v>4</v>
      </c>
      <c r="D20" s="204">
        <v>8</v>
      </c>
      <c r="E20">
        <v>7.46</v>
      </c>
      <c r="F20">
        <v>1.1819999999999999</v>
      </c>
      <c r="I20" s="413" t="s">
        <v>100</v>
      </c>
      <c r="J20" s="413" t="s">
        <v>158</v>
      </c>
      <c r="K20" s="413" t="s">
        <v>4</v>
      </c>
      <c r="L20" s="413">
        <v>7.15</v>
      </c>
      <c r="M20" s="413">
        <v>2.992</v>
      </c>
      <c r="N20" s="290"/>
      <c r="O20" s="418" t="s">
        <v>104</v>
      </c>
      <c r="P20" s="418" t="s">
        <v>830</v>
      </c>
      <c r="Q20" s="418" t="s">
        <v>45</v>
      </c>
      <c r="R20" s="417">
        <v>8.06</v>
      </c>
      <c r="S20" s="417">
        <v>213.1</v>
      </c>
      <c r="T20" s="404"/>
      <c r="U20" s="366" t="s">
        <v>45</v>
      </c>
      <c r="V20" s="363"/>
      <c r="W20" s="363">
        <f t="shared" si="4"/>
        <v>7.9275000000000002</v>
      </c>
      <c r="X20" s="363">
        <f t="shared" si="5"/>
        <v>8.06</v>
      </c>
      <c r="Y20" s="364">
        <f t="shared" si="6"/>
        <v>5.9124999999999996</v>
      </c>
      <c r="Z20" s="344">
        <f>AVERAGE(V20:W20)</f>
        <v>7.9275000000000002</v>
      </c>
      <c r="AA20" s="365">
        <f>Y20</f>
        <v>5.9124999999999996</v>
      </c>
    </row>
    <row r="21" spans="1:27">
      <c r="A21" t="s">
        <v>104</v>
      </c>
      <c r="B21" t="s">
        <v>826</v>
      </c>
      <c r="C21" t="s">
        <v>5</v>
      </c>
      <c r="D21" s="204">
        <v>8</v>
      </c>
      <c r="E21">
        <v>7.69</v>
      </c>
      <c r="F21">
        <v>313.39999999999998</v>
      </c>
      <c r="I21" s="413" t="s">
        <v>100</v>
      </c>
      <c r="J21" s="413" t="s">
        <v>158</v>
      </c>
      <c r="K21" s="413" t="s">
        <v>5</v>
      </c>
      <c r="L21" s="413">
        <v>7.46</v>
      </c>
      <c r="M21" s="416">
        <v>292</v>
      </c>
      <c r="N21" s="290"/>
      <c r="T21" s="404"/>
    </row>
    <row r="22" spans="1:27">
      <c r="A22" t="s">
        <v>104</v>
      </c>
      <c r="B22" t="s">
        <v>826</v>
      </c>
      <c r="C22" t="s">
        <v>45</v>
      </c>
      <c r="D22" s="204">
        <v>8</v>
      </c>
      <c r="E22">
        <v>7.76</v>
      </c>
      <c r="F22">
        <v>214.5</v>
      </c>
      <c r="I22" s="413" t="s">
        <v>100</v>
      </c>
      <c r="J22" s="413" t="s">
        <v>158</v>
      </c>
      <c r="K22" s="413" t="s">
        <v>45</v>
      </c>
      <c r="L22" s="413">
        <v>7.29</v>
      </c>
      <c r="M22" s="413">
        <v>178.7</v>
      </c>
      <c r="N22" s="290"/>
      <c r="O22" s="413" t="s">
        <v>104</v>
      </c>
      <c r="P22" s="413" t="s">
        <v>832</v>
      </c>
      <c r="Q22" s="413" t="s">
        <v>4</v>
      </c>
      <c r="R22" s="412">
        <v>7.64</v>
      </c>
      <c r="S22" s="415">
        <v>1.05</v>
      </c>
      <c r="T22" s="404"/>
    </row>
    <row r="23" spans="1:27">
      <c r="A23" t="s">
        <v>100</v>
      </c>
      <c r="B23" t="s">
        <v>815</v>
      </c>
      <c r="C23" t="s">
        <v>45</v>
      </c>
      <c r="D23" s="204">
        <v>8.0299999999999994</v>
      </c>
      <c r="E23">
        <v>7.53</v>
      </c>
      <c r="F23" s="277">
        <v>429</v>
      </c>
      <c r="I23" s="290"/>
      <c r="J23" s="290"/>
      <c r="K23" s="290"/>
      <c r="L23" s="290"/>
      <c r="M23" s="290"/>
      <c r="N23" s="290"/>
      <c r="O23" s="413" t="s">
        <v>104</v>
      </c>
      <c r="P23" s="413" t="s">
        <v>832</v>
      </c>
      <c r="Q23" s="413" t="s">
        <v>5</v>
      </c>
      <c r="R23" s="412">
        <v>8.44</v>
      </c>
      <c r="S23" s="412">
        <v>132.69999999999999</v>
      </c>
      <c r="T23" s="409"/>
      <c r="W23" s="414" t="s">
        <v>878</v>
      </c>
    </row>
    <row r="24" spans="1:27">
      <c r="A24" t="s">
        <v>100</v>
      </c>
      <c r="B24" t="s">
        <v>788</v>
      </c>
      <c r="C24" t="s">
        <v>4</v>
      </c>
      <c r="D24" s="281">
        <v>8</v>
      </c>
      <c r="E24">
        <v>5.91</v>
      </c>
      <c r="F24">
        <v>112.3</v>
      </c>
      <c r="I24" s="401"/>
      <c r="J24" s="401"/>
      <c r="K24" s="401" t="s">
        <v>4</v>
      </c>
      <c r="L24" s="401"/>
      <c r="M24" s="401"/>
      <c r="N24" s="290"/>
      <c r="O24" s="413"/>
      <c r="P24" s="413"/>
      <c r="Q24" s="413" t="s">
        <v>45</v>
      </c>
      <c r="R24" s="412"/>
      <c r="S24" s="412"/>
      <c r="T24" s="411"/>
      <c r="U24" s="50" t="s">
        <v>99</v>
      </c>
      <c r="Y24" s="321" t="s">
        <v>100</v>
      </c>
      <c r="Z24" s="322" t="s">
        <v>51</v>
      </c>
    </row>
    <row r="25" spans="1:27" ht="15.75">
      <c r="A25" t="s">
        <v>100</v>
      </c>
      <c r="B25" t="s">
        <v>788</v>
      </c>
      <c r="C25" t="s">
        <v>73</v>
      </c>
      <c r="D25" s="204">
        <v>7.99</v>
      </c>
      <c r="E25">
        <v>6.61</v>
      </c>
      <c r="F25">
        <v>30.62</v>
      </c>
      <c r="I25" s="401"/>
      <c r="J25" s="401"/>
      <c r="K25" s="401" t="s">
        <v>5</v>
      </c>
      <c r="L25" s="401"/>
      <c r="M25" s="401"/>
      <c r="T25" s="404"/>
      <c r="U25" s="321"/>
      <c r="V25" s="822" t="s">
        <v>872</v>
      </c>
      <c r="W25" s="823"/>
      <c r="X25" s="321"/>
      <c r="Y25" s="330" t="s">
        <v>873</v>
      </c>
      <c r="Z25" s="824" t="s">
        <v>874</v>
      </c>
      <c r="AA25" s="824"/>
    </row>
    <row r="26" spans="1:27">
      <c r="A26" t="s">
        <v>100</v>
      </c>
      <c r="B26" t="s">
        <v>775</v>
      </c>
      <c r="C26" t="s">
        <v>73</v>
      </c>
      <c r="D26" s="204">
        <v>7.99</v>
      </c>
      <c r="E26">
        <v>6.25</v>
      </c>
      <c r="F26">
        <v>36.869999999999997</v>
      </c>
      <c r="I26" s="401" t="s">
        <v>100</v>
      </c>
      <c r="J26" s="401" t="s">
        <v>815</v>
      </c>
      <c r="K26" s="401" t="s">
        <v>45</v>
      </c>
      <c r="L26" s="401">
        <v>7.53</v>
      </c>
      <c r="M26" s="410">
        <v>429</v>
      </c>
      <c r="O26" s="401" t="s">
        <v>104</v>
      </c>
      <c r="P26" s="401" t="s">
        <v>827</v>
      </c>
      <c r="Q26" s="402" t="s">
        <v>112</v>
      </c>
      <c r="R26" s="406">
        <v>5.44</v>
      </c>
      <c r="S26" s="408">
        <v>53.8</v>
      </c>
      <c r="T26" s="409"/>
      <c r="U26" s="353"/>
      <c r="V26" s="359" t="s">
        <v>31</v>
      </c>
      <c r="W26" s="441" t="s">
        <v>15</v>
      </c>
      <c r="X26" s="441"/>
      <c r="Y26" s="359" t="s">
        <v>28</v>
      </c>
      <c r="Z26" s="339" t="s">
        <v>15</v>
      </c>
      <c r="AA26" s="340" t="s">
        <v>28</v>
      </c>
    </row>
    <row r="27" spans="1:27" ht="15.75">
      <c r="A27" t="s">
        <v>104</v>
      </c>
      <c r="B27" t="s">
        <v>801</v>
      </c>
      <c r="C27" t="s">
        <v>5</v>
      </c>
      <c r="D27" s="204">
        <v>8.02</v>
      </c>
      <c r="E27">
        <v>6.01</v>
      </c>
      <c r="F27">
        <v>36.72</v>
      </c>
      <c r="I27" s="401" t="s">
        <v>100</v>
      </c>
      <c r="J27" s="401" t="s">
        <v>836</v>
      </c>
      <c r="K27" s="402" t="s">
        <v>112</v>
      </c>
      <c r="L27" s="403">
        <v>7.1</v>
      </c>
      <c r="M27" s="401">
        <v>3.754</v>
      </c>
      <c r="O27" s="401" t="s">
        <v>104</v>
      </c>
      <c r="P27" s="401" t="s">
        <v>827</v>
      </c>
      <c r="Q27" s="402" t="s">
        <v>114</v>
      </c>
      <c r="R27" s="406">
        <v>5.68</v>
      </c>
      <c r="S27" s="406">
        <v>28.75</v>
      </c>
      <c r="T27" s="404"/>
      <c r="U27" s="362" t="s">
        <v>4</v>
      </c>
      <c r="V27" s="443">
        <f>AVERAGE(M24,M27,M30,M36,M39,M42,M45,M51)</f>
        <v>379.72916666666669</v>
      </c>
      <c r="W27" s="363">
        <f>AVERAGE(M5,M8,M11,M14,M17,M20)</f>
        <v>4.6961666666666675</v>
      </c>
      <c r="X27" s="363"/>
      <c r="Y27" s="442">
        <f>AVERAGE(M55,M60,M65)</f>
        <v>81.316666666666663</v>
      </c>
      <c r="Z27" s="344">
        <f>AVERAGE(V27:W27)</f>
        <v>192.21266666666668</v>
      </c>
      <c r="AA27" s="344">
        <f>Y27</f>
        <v>81.316666666666663</v>
      </c>
    </row>
    <row r="28" spans="1:27" ht="15.75">
      <c r="A28" t="s">
        <v>104</v>
      </c>
      <c r="B28" t="s">
        <v>801</v>
      </c>
      <c r="C28" t="s">
        <v>45</v>
      </c>
      <c r="D28" s="281">
        <v>8</v>
      </c>
      <c r="E28">
        <v>6.23</v>
      </c>
      <c r="F28">
        <v>26.49</v>
      </c>
      <c r="I28" s="401" t="s">
        <v>100</v>
      </c>
      <c r="J28" s="401" t="s">
        <v>836</v>
      </c>
      <c r="K28" s="402" t="s">
        <v>114</v>
      </c>
      <c r="L28" s="403">
        <v>6.92</v>
      </c>
      <c r="M28" s="401">
        <v>2.6309999999999998</v>
      </c>
      <c r="O28" s="401"/>
      <c r="P28" s="401"/>
      <c r="Q28" s="401" t="s">
        <v>45</v>
      </c>
      <c r="R28" s="406"/>
      <c r="S28" s="406"/>
      <c r="T28" s="404"/>
      <c r="U28" s="366" t="s">
        <v>5</v>
      </c>
      <c r="V28" s="443">
        <f>AVERAGE(M25,M28,M31,M34,M37,M40,M43,M46,M49,M52)</f>
        <v>522.59012499999994</v>
      </c>
      <c r="W28" s="363">
        <f t="shared" ref="W28" si="8">AVERAGE(M6,M9,M12,M15,M18,M21)</f>
        <v>209.93583333333333</v>
      </c>
      <c r="X28" s="363"/>
      <c r="Y28" s="442">
        <f t="shared" ref="Y28:Y31" si="9">AVERAGE(M56,M61,M66)</f>
        <v>77.550000000000011</v>
      </c>
      <c r="Z28" s="344">
        <f>AVERAGE(V28:W28)</f>
        <v>366.26297916666664</v>
      </c>
      <c r="AA28" s="344">
        <f>Y28</f>
        <v>77.550000000000011</v>
      </c>
    </row>
    <row r="29" spans="1:27" ht="15.75">
      <c r="I29" s="401" t="s">
        <v>100</v>
      </c>
      <c r="J29" s="401" t="s">
        <v>836</v>
      </c>
      <c r="K29" s="402" t="s">
        <v>817</v>
      </c>
      <c r="L29" s="401">
        <v>7.12</v>
      </c>
      <c r="M29" s="401">
        <v>1.4379999999999999</v>
      </c>
      <c r="O29" s="401"/>
      <c r="P29" s="401"/>
      <c r="Q29" s="402" t="s">
        <v>112</v>
      </c>
      <c r="R29" s="406"/>
      <c r="S29" s="406"/>
      <c r="T29" s="404"/>
      <c r="U29" s="366" t="s">
        <v>45</v>
      </c>
      <c r="V29" s="443">
        <f t="shared" ref="V28:V29" si="10">AVERAGE(M26,M29,M32,M35,M38,M41,M44,M47,M50,M53)</f>
        <v>506.48199999999997</v>
      </c>
      <c r="W29" s="363">
        <f>AVERAGE(M7,M10,M13,M16,M19,M22)</f>
        <v>384.07216666666665</v>
      </c>
      <c r="X29" s="363"/>
      <c r="Y29" s="442">
        <f t="shared" si="9"/>
        <v>33.83</v>
      </c>
      <c r="Z29" s="344">
        <f>AVERAGE(V29:W29)</f>
        <v>445.27708333333328</v>
      </c>
      <c r="AA29" s="344">
        <f>Y29</f>
        <v>33.83</v>
      </c>
    </row>
    <row r="30" spans="1:27" ht="15.75">
      <c r="A30" s="397" t="s">
        <v>824</v>
      </c>
      <c r="B30" s="282">
        <v>44328</v>
      </c>
      <c r="I30" s="401" t="s">
        <v>100</v>
      </c>
      <c r="J30" s="401" t="s">
        <v>835</v>
      </c>
      <c r="K30" s="401" t="s">
        <v>112</v>
      </c>
      <c r="L30" s="401">
        <v>7.01</v>
      </c>
      <c r="M30" s="401">
        <v>4.1639999999999997</v>
      </c>
      <c r="O30" s="401" t="s">
        <v>104</v>
      </c>
      <c r="P30" s="401" t="s">
        <v>796</v>
      </c>
      <c r="Q30" s="401" t="s">
        <v>5</v>
      </c>
      <c r="R30" s="408">
        <v>5.94</v>
      </c>
      <c r="S30" s="408">
        <v>53.77</v>
      </c>
      <c r="T30" s="404"/>
      <c r="U30" s="362" t="s">
        <v>53</v>
      </c>
      <c r="V30" s="359"/>
      <c r="W30" s="363"/>
      <c r="X30" s="363"/>
      <c r="Y30" s="442">
        <f t="shared" si="9"/>
        <v>32.486666666666665</v>
      </c>
      <c r="Z30" s="339"/>
      <c r="AA30" s="344">
        <f>Y30</f>
        <v>32.486666666666665</v>
      </c>
    </row>
    <row r="31" spans="1:27" ht="15.75">
      <c r="A31" s="288" t="s">
        <v>808</v>
      </c>
      <c r="B31" s="288" t="s">
        <v>119</v>
      </c>
      <c r="C31" s="288" t="s">
        <v>111</v>
      </c>
      <c r="D31" s="288" t="s">
        <v>823</v>
      </c>
      <c r="E31" s="288" t="s">
        <v>346</v>
      </c>
      <c r="F31" s="626" t="s">
        <v>1084</v>
      </c>
      <c r="I31" s="401"/>
      <c r="J31" s="401" t="s">
        <v>835</v>
      </c>
      <c r="K31" s="402" t="s">
        <v>114</v>
      </c>
      <c r="L31" s="401">
        <v>7.11</v>
      </c>
      <c r="M31" s="401">
        <v>828.9</v>
      </c>
      <c r="O31" s="401" t="s">
        <v>104</v>
      </c>
      <c r="P31" s="401" t="s">
        <v>796</v>
      </c>
      <c r="Q31" s="401" t="s">
        <v>45</v>
      </c>
      <c r="R31" s="406">
        <v>5.91</v>
      </c>
      <c r="S31" s="406">
        <v>38.17</v>
      </c>
      <c r="T31" s="407"/>
      <c r="U31" s="366" t="s">
        <v>792</v>
      </c>
      <c r="V31" s="359"/>
      <c r="W31" s="363"/>
      <c r="X31" s="363"/>
      <c r="Y31" s="442">
        <f t="shared" si="9"/>
        <v>25.060000000000002</v>
      </c>
      <c r="Z31" s="339"/>
      <c r="AA31" s="344">
        <f>Y31</f>
        <v>25.060000000000002</v>
      </c>
    </row>
    <row r="32" spans="1:27">
      <c r="A32" s="288" t="s">
        <v>100</v>
      </c>
      <c r="B32" s="288" t="s">
        <v>788</v>
      </c>
      <c r="C32" s="288" t="s">
        <v>73</v>
      </c>
      <c r="D32" s="288">
        <v>11.98</v>
      </c>
      <c r="E32" s="288">
        <v>6.39</v>
      </c>
      <c r="F32" s="288">
        <v>31.93</v>
      </c>
      <c r="I32" s="401"/>
      <c r="J32" s="401" t="s">
        <v>835</v>
      </c>
      <c r="K32" s="402" t="s">
        <v>817</v>
      </c>
      <c r="L32" s="403">
        <v>7.3</v>
      </c>
      <c r="M32" s="401">
        <v>376.2</v>
      </c>
      <c r="O32" s="401" t="s">
        <v>104</v>
      </c>
      <c r="P32" s="401" t="s">
        <v>801</v>
      </c>
      <c r="Q32" s="401" t="s">
        <v>4</v>
      </c>
      <c r="R32" s="406">
        <v>6.47</v>
      </c>
      <c r="S32" s="406">
        <v>71.760000000000005</v>
      </c>
      <c r="T32" s="404"/>
      <c r="U32" s="321"/>
      <c r="V32" s="338"/>
      <c r="W32" s="338"/>
      <c r="X32" s="338"/>
      <c r="Y32" s="74"/>
      <c r="Z32" s="321"/>
      <c r="AA32" s="321"/>
    </row>
    <row r="33" spans="1:27">
      <c r="A33" s="288" t="s">
        <v>100</v>
      </c>
      <c r="B33" s="288" t="s">
        <v>775</v>
      </c>
      <c r="C33" s="288" t="s">
        <v>73</v>
      </c>
      <c r="D33" s="288">
        <v>11.95</v>
      </c>
      <c r="E33" s="288">
        <v>5.85</v>
      </c>
      <c r="F33" s="288">
        <v>43.53</v>
      </c>
      <c r="I33" s="401" t="s">
        <v>100</v>
      </c>
      <c r="J33" s="401" t="s">
        <v>837</v>
      </c>
      <c r="K33" s="402" t="s">
        <v>112</v>
      </c>
      <c r="L33" s="401">
        <v>6.92</v>
      </c>
      <c r="M33" s="401">
        <v>7647</v>
      </c>
      <c r="O33" s="401" t="s">
        <v>104</v>
      </c>
      <c r="P33" s="401" t="s">
        <v>801</v>
      </c>
      <c r="Q33" s="401" t="s">
        <v>5</v>
      </c>
      <c r="R33" s="406">
        <v>6.01</v>
      </c>
      <c r="S33" s="406">
        <v>36.72</v>
      </c>
      <c r="T33" s="404"/>
      <c r="U33" s="337"/>
      <c r="V33" s="337"/>
      <c r="W33" s="337"/>
      <c r="X33" s="337"/>
      <c r="Y33" s="321"/>
      <c r="Z33" s="321"/>
      <c r="AA33" s="321"/>
    </row>
    <row r="34" spans="1:27">
      <c r="A34" s="288" t="s">
        <v>100</v>
      </c>
      <c r="B34" s="288" t="s">
        <v>815</v>
      </c>
      <c r="C34" s="288" t="s">
        <v>45</v>
      </c>
      <c r="D34" s="288">
        <v>12.04</v>
      </c>
      <c r="E34" s="288">
        <v>7.41</v>
      </c>
      <c r="F34" s="288">
        <v>478.3</v>
      </c>
      <c r="I34" s="401" t="s">
        <v>100</v>
      </c>
      <c r="J34" s="401" t="s">
        <v>837</v>
      </c>
      <c r="K34" s="402" t="s">
        <v>114</v>
      </c>
      <c r="L34" s="403">
        <v>6.8</v>
      </c>
      <c r="M34" s="401">
        <v>2.7149999999999999</v>
      </c>
      <c r="O34" s="401" t="s">
        <v>104</v>
      </c>
      <c r="P34" s="401" t="s">
        <v>801</v>
      </c>
      <c r="Q34" s="401" t="s">
        <v>45</v>
      </c>
      <c r="R34" s="406">
        <v>6.23</v>
      </c>
      <c r="S34" s="406">
        <v>26.49</v>
      </c>
      <c r="T34" s="404"/>
      <c r="U34" s="337"/>
      <c r="V34" s="337"/>
      <c r="W34" s="337"/>
      <c r="X34" s="337"/>
      <c r="Y34" s="321"/>
      <c r="Z34" s="321"/>
      <c r="AA34" s="321"/>
    </row>
    <row r="35" spans="1:27">
      <c r="A35" s="288" t="s">
        <v>104</v>
      </c>
      <c r="B35" s="288" t="s">
        <v>827</v>
      </c>
      <c r="C35" s="288" t="s">
        <v>45</v>
      </c>
      <c r="D35" s="288">
        <v>11.96</v>
      </c>
      <c r="E35" s="288">
        <v>6.05</v>
      </c>
      <c r="F35" s="288">
        <v>25.85</v>
      </c>
      <c r="I35" s="401" t="s">
        <v>100</v>
      </c>
      <c r="J35" s="401" t="s">
        <v>837</v>
      </c>
      <c r="K35" s="402" t="s">
        <v>817</v>
      </c>
      <c r="L35" s="401">
        <v>6.95</v>
      </c>
      <c r="M35" s="401">
        <v>1372</v>
      </c>
      <c r="O35" s="401" t="s">
        <v>104</v>
      </c>
      <c r="P35" s="401" t="s">
        <v>840</v>
      </c>
      <c r="Q35" s="402" t="s">
        <v>112</v>
      </c>
      <c r="R35" s="406">
        <v>5.42</v>
      </c>
      <c r="S35" s="406">
        <v>52.97</v>
      </c>
      <c r="T35" s="407"/>
      <c r="U35" s="337"/>
      <c r="V35" s="337"/>
      <c r="W35" s="337"/>
      <c r="X35" s="337"/>
      <c r="Y35" s="321" t="s">
        <v>104</v>
      </c>
      <c r="Z35" s="352" t="s">
        <v>57</v>
      </c>
      <c r="AA35" s="321"/>
    </row>
    <row r="36" spans="1:27" ht="45">
      <c r="A36" s="290" t="s">
        <v>100</v>
      </c>
      <c r="B36" s="290" t="s">
        <v>775</v>
      </c>
      <c r="C36" s="290" t="s">
        <v>792</v>
      </c>
      <c r="D36" s="291">
        <v>12</v>
      </c>
      <c r="E36" s="290">
        <v>6.13</v>
      </c>
      <c r="F36" s="290">
        <v>31.31</v>
      </c>
      <c r="I36" s="401" t="s">
        <v>100</v>
      </c>
      <c r="J36" s="401" t="s">
        <v>838</v>
      </c>
      <c r="K36" s="401" t="s">
        <v>112</v>
      </c>
      <c r="L36" s="401">
        <v>7.03</v>
      </c>
      <c r="M36" s="401">
        <v>2255</v>
      </c>
      <c r="O36" s="401" t="s">
        <v>104</v>
      </c>
      <c r="P36" s="401" t="s">
        <v>840</v>
      </c>
      <c r="Q36" s="402" t="s">
        <v>114</v>
      </c>
      <c r="R36" s="406">
        <v>5.69</v>
      </c>
      <c r="S36" s="406">
        <v>47.42</v>
      </c>
      <c r="T36" s="404"/>
      <c r="U36" s="353"/>
      <c r="V36" s="625" t="s">
        <v>1019</v>
      </c>
      <c r="W36" s="818" t="s">
        <v>876</v>
      </c>
      <c r="X36" s="819"/>
      <c r="Y36" s="330" t="s">
        <v>873</v>
      </c>
      <c r="Z36" s="820" t="s">
        <v>877</v>
      </c>
      <c r="AA36" s="821"/>
    </row>
    <row r="37" spans="1:27">
      <c r="A37" s="290" t="s">
        <v>100</v>
      </c>
      <c r="B37" s="290" t="s">
        <v>788</v>
      </c>
      <c r="C37" s="290" t="s">
        <v>5</v>
      </c>
      <c r="D37" s="290">
        <v>12.01</v>
      </c>
      <c r="E37" s="290">
        <v>5.69</v>
      </c>
      <c r="F37" s="290">
        <v>52.06</v>
      </c>
      <c r="I37" s="401" t="s">
        <v>100</v>
      </c>
      <c r="J37" s="401" t="s">
        <v>838</v>
      </c>
      <c r="K37" s="402" t="s">
        <v>114</v>
      </c>
      <c r="L37" s="401">
        <v>7.39</v>
      </c>
      <c r="M37" s="401">
        <v>324.89999999999998</v>
      </c>
      <c r="O37" s="401" t="s">
        <v>104</v>
      </c>
      <c r="P37" s="401" t="s">
        <v>840</v>
      </c>
      <c r="Q37" s="402" t="s">
        <v>817</v>
      </c>
      <c r="R37" s="406">
        <v>5.56</v>
      </c>
      <c r="S37" s="406">
        <v>32.49</v>
      </c>
      <c r="T37" s="404"/>
      <c r="U37" s="353"/>
      <c r="V37" s="358" t="s">
        <v>26</v>
      </c>
      <c r="W37" s="358" t="s">
        <v>24</v>
      </c>
      <c r="X37" s="358" t="s">
        <v>17</v>
      </c>
      <c r="Y37" s="359" t="s">
        <v>56</v>
      </c>
      <c r="Z37" s="360" t="s">
        <v>15</v>
      </c>
      <c r="AA37" s="360" t="s">
        <v>16</v>
      </c>
    </row>
    <row r="38" spans="1:27" ht="15.75">
      <c r="A38" s="290" t="s">
        <v>100</v>
      </c>
      <c r="B38" s="290" t="s">
        <v>828</v>
      </c>
      <c r="C38" s="290" t="s">
        <v>4</v>
      </c>
      <c r="D38" s="291">
        <v>12</v>
      </c>
      <c r="E38" s="290">
        <v>7.03</v>
      </c>
      <c r="F38" s="290">
        <v>4.8739999999999997</v>
      </c>
      <c r="I38" s="401" t="s">
        <v>100</v>
      </c>
      <c r="J38" s="401" t="s">
        <v>838</v>
      </c>
      <c r="K38" s="402" t="s">
        <v>817</v>
      </c>
      <c r="L38" s="403">
        <v>7.2</v>
      </c>
      <c r="M38" s="401">
        <v>299.5</v>
      </c>
      <c r="O38" s="401" t="s">
        <v>104</v>
      </c>
      <c r="P38" s="401" t="s">
        <v>841</v>
      </c>
      <c r="Q38" s="402" t="s">
        <v>112</v>
      </c>
      <c r="R38" s="406">
        <v>6.32</v>
      </c>
      <c r="S38" s="406">
        <v>69.17</v>
      </c>
      <c r="T38" s="404"/>
      <c r="U38" s="362" t="s">
        <v>4</v>
      </c>
      <c r="V38" s="363">
        <f>AVERAGE(S22)</f>
        <v>1.05</v>
      </c>
      <c r="W38" s="363">
        <f>AVERAGE(S5,S8,S11,S14)</f>
        <v>1.1039999999999999</v>
      </c>
      <c r="X38" s="363">
        <f>AVERAGE(S18)</f>
        <v>4.1760000000000002</v>
      </c>
      <c r="Y38" s="364">
        <f>AVERAGE(S26,S29,S32,S35,S38)</f>
        <v>61.924999999999997</v>
      </c>
      <c r="Z38" s="365">
        <f>AVERAGE(V38:X38)</f>
        <v>2.11</v>
      </c>
      <c r="AA38" s="365">
        <f>Y38</f>
        <v>61.924999999999997</v>
      </c>
    </row>
    <row r="39" spans="1:27" ht="15.75">
      <c r="A39" s="290" t="s">
        <v>100</v>
      </c>
      <c r="B39" s="290" t="s">
        <v>829</v>
      </c>
      <c r="C39" s="290" t="s">
        <v>45</v>
      </c>
      <c r="D39" s="290">
        <v>12.05</v>
      </c>
      <c r="E39" s="290">
        <v>7.93</v>
      </c>
      <c r="F39" s="290">
        <v>267.8</v>
      </c>
      <c r="I39" s="401" t="s">
        <v>100</v>
      </c>
      <c r="J39" s="401" t="s">
        <v>828</v>
      </c>
      <c r="K39" s="401" t="s">
        <v>4</v>
      </c>
      <c r="L39" s="401">
        <v>7.03</v>
      </c>
      <c r="M39" s="401">
        <v>4.8739999999999997</v>
      </c>
      <c r="O39" s="401" t="s">
        <v>104</v>
      </c>
      <c r="P39" s="401" t="s">
        <v>841</v>
      </c>
      <c r="Q39" s="402" t="s">
        <v>114</v>
      </c>
      <c r="R39" s="406">
        <v>5.75</v>
      </c>
      <c r="S39" s="406">
        <v>29.38</v>
      </c>
      <c r="T39" s="404"/>
      <c r="U39" s="366" t="s">
        <v>5</v>
      </c>
      <c r="V39" s="363">
        <f>AVERAGE(S23)</f>
        <v>132.69999999999999</v>
      </c>
      <c r="W39" s="363">
        <f t="shared" ref="W39:W40" si="11">AVERAGE(S6,S9,S12,S15)</f>
        <v>278.3</v>
      </c>
      <c r="X39" s="363">
        <f t="shared" ref="X39:X40" si="12">AVERAGE(S19)</f>
        <v>477.6</v>
      </c>
      <c r="Y39" s="364">
        <f t="shared" ref="Y39:Y40" si="13">AVERAGE(S27,S30,S33,S36,S39)</f>
        <v>39.208000000000006</v>
      </c>
      <c r="Z39" s="365">
        <f>AVERAGE(V39:X39)</f>
        <v>296.2</v>
      </c>
      <c r="AA39" s="365">
        <f>Y39</f>
        <v>39.208000000000006</v>
      </c>
    </row>
    <row r="40" spans="1:27" ht="15.75">
      <c r="A40" s="290" t="s">
        <v>100</v>
      </c>
      <c r="B40" s="290" t="s">
        <v>774</v>
      </c>
      <c r="C40" s="290" t="s">
        <v>792</v>
      </c>
      <c r="D40" s="290">
        <v>12.05</v>
      </c>
      <c r="E40" s="290">
        <v>6.61</v>
      </c>
      <c r="F40" s="291">
        <v>22.6</v>
      </c>
      <c r="I40" s="376"/>
      <c r="J40" s="376"/>
      <c r="K40" s="402" t="s">
        <v>114</v>
      </c>
      <c r="L40" s="376"/>
      <c r="M40" s="376"/>
      <c r="N40" s="290"/>
      <c r="O40" s="401" t="s">
        <v>104</v>
      </c>
      <c r="P40" s="401" t="s">
        <v>841</v>
      </c>
      <c r="Q40" s="402" t="s">
        <v>817</v>
      </c>
      <c r="R40" s="406">
        <v>5.95</v>
      </c>
      <c r="S40" s="406">
        <v>28.98</v>
      </c>
      <c r="T40" s="404"/>
      <c r="U40" s="366" t="s">
        <v>45</v>
      </c>
      <c r="V40" s="363"/>
      <c r="W40" s="363">
        <f t="shared" si="11"/>
        <v>165.92175</v>
      </c>
      <c r="X40" s="363">
        <f t="shared" si="12"/>
        <v>213.1</v>
      </c>
      <c r="Y40" s="364">
        <f t="shared" si="13"/>
        <v>31.532500000000002</v>
      </c>
      <c r="Z40" s="365">
        <f>AVERAGE(V40:X40)</f>
        <v>189.510875</v>
      </c>
      <c r="AA40" s="365">
        <f>Y40</f>
        <v>31.532500000000002</v>
      </c>
    </row>
    <row r="41" spans="1:27">
      <c r="A41" s="290" t="s">
        <v>100</v>
      </c>
      <c r="B41" s="290" t="s">
        <v>788</v>
      </c>
      <c r="C41" s="290" t="s">
        <v>792</v>
      </c>
      <c r="D41" s="291">
        <v>12</v>
      </c>
      <c r="E41" s="290">
        <v>6.65</v>
      </c>
      <c r="F41" s="290">
        <v>21.27</v>
      </c>
      <c r="I41" s="376"/>
      <c r="J41" s="376"/>
      <c r="K41" s="402" t="s">
        <v>817</v>
      </c>
      <c r="L41" s="376"/>
      <c r="M41" s="376"/>
      <c r="N41" s="290"/>
      <c r="T41" s="404"/>
    </row>
    <row r="42" spans="1:27">
      <c r="A42" s="290" t="s">
        <v>104</v>
      </c>
      <c r="B42" s="290" t="s">
        <v>830</v>
      </c>
      <c r="C42" s="290" t="s">
        <v>4</v>
      </c>
      <c r="D42" s="290">
        <v>11.99</v>
      </c>
      <c r="E42" s="290">
        <v>7.27</v>
      </c>
      <c r="F42" s="290">
        <v>4.1760000000000002</v>
      </c>
      <c r="I42" s="401"/>
      <c r="J42" s="401"/>
      <c r="K42" s="402" t="s">
        <v>112</v>
      </c>
      <c r="L42" s="401"/>
      <c r="M42" s="401"/>
      <c r="N42" s="290"/>
      <c r="T42" s="404"/>
    </row>
    <row r="43" spans="1:27">
      <c r="A43" s="290" t="s">
        <v>100</v>
      </c>
      <c r="B43" s="290" t="s">
        <v>775</v>
      </c>
      <c r="C43" s="290" t="s">
        <v>4</v>
      </c>
      <c r="D43" s="290">
        <v>11.99</v>
      </c>
      <c r="E43" s="290">
        <v>5.89</v>
      </c>
      <c r="F43" s="290">
        <v>61.64</v>
      </c>
      <c r="I43" s="401" t="s">
        <v>100</v>
      </c>
      <c r="J43" s="401" t="s">
        <v>839</v>
      </c>
      <c r="K43" s="402" t="s">
        <v>114</v>
      </c>
      <c r="L43" s="403">
        <v>7.18</v>
      </c>
      <c r="M43" s="401">
        <v>1.375</v>
      </c>
      <c r="N43" s="290"/>
      <c r="T43" s="404"/>
    </row>
    <row r="44" spans="1:27">
      <c r="A44" s="290" t="s">
        <v>100</v>
      </c>
      <c r="B44" s="290" t="s">
        <v>158</v>
      </c>
      <c r="C44" s="290" t="s">
        <v>45</v>
      </c>
      <c r="D44" s="290">
        <v>12.07</v>
      </c>
      <c r="E44" s="290">
        <v>7.29</v>
      </c>
      <c r="F44" s="290">
        <v>178.7</v>
      </c>
      <c r="I44" s="401" t="s">
        <v>100</v>
      </c>
      <c r="J44" s="401" t="s">
        <v>839</v>
      </c>
      <c r="K44" s="402" t="s">
        <v>817</v>
      </c>
      <c r="L44" s="403">
        <v>7.38</v>
      </c>
      <c r="M44" s="401">
        <v>621.29999999999995</v>
      </c>
      <c r="N44" s="290"/>
      <c r="O44" s="290"/>
      <c r="P44" s="290"/>
      <c r="Q44" s="290"/>
      <c r="R44" s="405"/>
      <c r="S44" s="405"/>
      <c r="T44" s="404"/>
    </row>
    <row r="45" spans="1:27">
      <c r="A45" s="290" t="s">
        <v>100</v>
      </c>
      <c r="B45" s="290" t="s">
        <v>775</v>
      </c>
      <c r="C45" s="290" t="s">
        <v>45</v>
      </c>
      <c r="D45" s="290">
        <v>11.95</v>
      </c>
      <c r="E45" s="290">
        <v>5.96</v>
      </c>
      <c r="F45" s="290">
        <v>34.04</v>
      </c>
      <c r="I45" s="401" t="s">
        <v>100</v>
      </c>
      <c r="J45" s="401" t="s">
        <v>833</v>
      </c>
      <c r="K45" s="401" t="s">
        <v>112</v>
      </c>
      <c r="L45" s="401">
        <v>6.98</v>
      </c>
      <c r="M45" s="401">
        <v>3.6840000000000002</v>
      </c>
      <c r="N45" s="290"/>
      <c r="T45" s="404"/>
    </row>
    <row r="46" spans="1:27">
      <c r="A46" s="290" t="s">
        <v>100</v>
      </c>
      <c r="B46" s="290" t="s">
        <v>775</v>
      </c>
      <c r="C46" s="290" t="s">
        <v>5</v>
      </c>
      <c r="D46" s="291">
        <v>12</v>
      </c>
      <c r="E46" s="290">
        <v>5.63</v>
      </c>
      <c r="F46" s="290">
        <v>82.61</v>
      </c>
      <c r="I46" s="401" t="s">
        <v>100</v>
      </c>
      <c r="J46" s="401" t="s">
        <v>833</v>
      </c>
      <c r="K46" s="402" t="s">
        <v>114</v>
      </c>
      <c r="L46" s="403">
        <v>7.2</v>
      </c>
      <c r="M46" s="401">
        <v>770.6</v>
      </c>
      <c r="N46" s="290"/>
      <c r="T46" s="404"/>
    </row>
    <row r="47" spans="1:27">
      <c r="A47" s="290" t="s">
        <v>100</v>
      </c>
      <c r="B47" s="290" t="s">
        <v>158</v>
      </c>
      <c r="C47" s="290" t="s">
        <v>5</v>
      </c>
      <c r="D47" s="290">
        <v>11.98</v>
      </c>
      <c r="E47" s="290">
        <v>7.46</v>
      </c>
      <c r="F47" s="292">
        <v>292</v>
      </c>
      <c r="I47" s="401" t="s">
        <v>100</v>
      </c>
      <c r="J47" s="401" t="s">
        <v>833</v>
      </c>
      <c r="K47" s="402" t="s">
        <v>817</v>
      </c>
      <c r="L47" s="403">
        <v>7.36</v>
      </c>
      <c r="M47" s="401">
        <v>421.2</v>
      </c>
    </row>
    <row r="48" spans="1:27">
      <c r="A48" s="290" t="s">
        <v>100</v>
      </c>
      <c r="B48" s="290" t="s">
        <v>158</v>
      </c>
      <c r="C48" s="290" t="s">
        <v>4</v>
      </c>
      <c r="D48" s="291">
        <v>12</v>
      </c>
      <c r="E48" s="290">
        <v>7.15</v>
      </c>
      <c r="F48" s="290">
        <v>2.992</v>
      </c>
      <c r="I48" s="401"/>
      <c r="J48" s="401" t="s">
        <v>793</v>
      </c>
      <c r="K48" s="402" t="s">
        <v>112</v>
      </c>
      <c r="L48" s="401">
        <v>6.93</v>
      </c>
      <c r="M48" s="401">
        <v>5805</v>
      </c>
    </row>
    <row r="49" spans="1:13">
      <c r="A49" s="290" t="s">
        <v>104</v>
      </c>
      <c r="B49" s="290" t="s">
        <v>830</v>
      </c>
      <c r="C49" s="290" t="s">
        <v>5</v>
      </c>
      <c r="D49" s="291">
        <v>12</v>
      </c>
      <c r="E49" s="290">
        <v>7.66</v>
      </c>
      <c r="F49" s="290">
        <v>477.6</v>
      </c>
      <c r="I49" s="401"/>
      <c r="J49" s="401" t="s">
        <v>793</v>
      </c>
      <c r="K49" s="401" t="s">
        <v>5</v>
      </c>
      <c r="L49" s="401">
        <v>7.35</v>
      </c>
      <c r="M49" s="401">
        <v>810.6</v>
      </c>
    </row>
    <row r="50" spans="1:13">
      <c r="A50" s="290" t="s">
        <v>104</v>
      </c>
      <c r="B50" s="290" t="s">
        <v>793</v>
      </c>
      <c r="C50" s="290" t="s">
        <v>5</v>
      </c>
      <c r="D50" s="291">
        <v>12.03</v>
      </c>
      <c r="E50" s="290">
        <v>7.35</v>
      </c>
      <c r="F50" s="290">
        <v>810.6</v>
      </c>
      <c r="I50" s="401"/>
      <c r="J50" s="401" t="s">
        <v>793</v>
      </c>
      <c r="K50" s="402" t="s">
        <v>817</v>
      </c>
      <c r="L50" s="401">
        <v>7.22</v>
      </c>
      <c r="M50" s="401">
        <v>439.8</v>
      </c>
    </row>
    <row r="51" spans="1:13">
      <c r="A51" s="290" t="s">
        <v>104</v>
      </c>
      <c r="B51" s="290" t="s">
        <v>801</v>
      </c>
      <c r="C51" s="290" t="s">
        <v>4</v>
      </c>
      <c r="D51" s="291">
        <v>12.08</v>
      </c>
      <c r="E51" s="290">
        <v>6.47</v>
      </c>
      <c r="F51" s="290">
        <v>71.760000000000005</v>
      </c>
      <c r="I51" s="401"/>
      <c r="J51" s="401" t="s">
        <v>794</v>
      </c>
      <c r="K51" s="401" t="s">
        <v>4</v>
      </c>
      <c r="L51" s="401">
        <v>6.91</v>
      </c>
      <c r="M51" s="401">
        <v>6.899</v>
      </c>
    </row>
    <row r="52" spans="1:13">
      <c r="A52" s="290" t="s">
        <v>104</v>
      </c>
      <c r="B52" s="290" t="s">
        <v>794</v>
      </c>
      <c r="C52" s="290" t="s">
        <v>4</v>
      </c>
      <c r="D52" s="291">
        <v>12.07</v>
      </c>
      <c r="E52" s="290">
        <v>6.91</v>
      </c>
      <c r="F52" s="290">
        <v>6.899</v>
      </c>
      <c r="I52" s="401"/>
      <c r="J52" s="401" t="s">
        <v>794</v>
      </c>
      <c r="K52" s="402" t="s">
        <v>114</v>
      </c>
      <c r="L52" s="401">
        <v>6.97</v>
      </c>
      <c r="M52" s="401">
        <v>1439</v>
      </c>
    </row>
    <row r="53" spans="1:13">
      <c r="A53" s="290" t="s">
        <v>104</v>
      </c>
      <c r="B53" s="290" t="s">
        <v>830</v>
      </c>
      <c r="C53" s="290" t="s">
        <v>45</v>
      </c>
      <c r="D53" s="291">
        <v>12</v>
      </c>
      <c r="E53" s="290">
        <v>8.06</v>
      </c>
      <c r="F53" s="290">
        <v>213.1</v>
      </c>
      <c r="I53" s="401"/>
      <c r="J53" s="401" t="s">
        <v>794</v>
      </c>
      <c r="K53" s="402" t="s">
        <v>817</v>
      </c>
      <c r="L53" s="401">
        <v>7.03</v>
      </c>
      <c r="M53" s="401">
        <v>597.9</v>
      </c>
    </row>
    <row r="54" spans="1:13">
      <c r="A54" s="290" t="s">
        <v>104</v>
      </c>
      <c r="B54" s="290" t="s">
        <v>831</v>
      </c>
      <c r="C54" s="290" t="s">
        <v>45</v>
      </c>
      <c r="D54" s="291">
        <v>12.05</v>
      </c>
      <c r="E54" s="290">
        <v>8.18</v>
      </c>
      <c r="F54" s="290">
        <v>179.4</v>
      </c>
    </row>
    <row r="55" spans="1:13">
      <c r="A55" s="290" t="s">
        <v>104</v>
      </c>
      <c r="B55" s="290" t="s">
        <v>831</v>
      </c>
      <c r="C55" s="290" t="s">
        <v>5</v>
      </c>
      <c r="D55" s="291">
        <v>11.99</v>
      </c>
      <c r="E55" s="290">
        <v>8.1300000000000008</v>
      </c>
      <c r="F55" s="292">
        <v>250</v>
      </c>
      <c r="I55" s="399" t="s">
        <v>100</v>
      </c>
      <c r="J55" s="399" t="s">
        <v>788</v>
      </c>
      <c r="K55" s="399" t="s">
        <v>4</v>
      </c>
      <c r="L55" s="399">
        <v>5.91</v>
      </c>
      <c r="M55" s="399">
        <v>112.3</v>
      </c>
    </row>
    <row r="56" spans="1:13">
      <c r="A56" s="290" t="s">
        <v>104</v>
      </c>
      <c r="B56" s="290" t="s">
        <v>796</v>
      </c>
      <c r="C56" s="290" t="s">
        <v>5</v>
      </c>
      <c r="D56" s="291">
        <v>12</v>
      </c>
      <c r="E56" s="291">
        <v>5.94</v>
      </c>
      <c r="F56" s="291">
        <v>53.77</v>
      </c>
      <c r="I56" s="399" t="s">
        <v>100</v>
      </c>
      <c r="J56" s="399" t="s">
        <v>788</v>
      </c>
      <c r="K56" s="399" t="s">
        <v>5</v>
      </c>
      <c r="L56" s="399">
        <v>5.69</v>
      </c>
      <c r="M56" s="399">
        <v>52.06</v>
      </c>
    </row>
    <row r="57" spans="1:13">
      <c r="A57" s="290" t="s">
        <v>104</v>
      </c>
      <c r="B57" s="290" t="s">
        <v>796</v>
      </c>
      <c r="C57" s="290" t="s">
        <v>45</v>
      </c>
      <c r="D57" s="291">
        <v>12.05</v>
      </c>
      <c r="E57" s="290">
        <v>5.91</v>
      </c>
      <c r="F57" s="290">
        <v>38.17</v>
      </c>
      <c r="I57" s="399"/>
      <c r="J57" s="399"/>
      <c r="K57" s="399"/>
      <c r="L57" s="399"/>
      <c r="M57" s="399"/>
    </row>
    <row r="58" spans="1:13">
      <c r="A58" s="290" t="s">
        <v>104</v>
      </c>
      <c r="B58" s="290" t="s">
        <v>832</v>
      </c>
      <c r="C58" s="290" t="s">
        <v>4</v>
      </c>
      <c r="D58" s="291">
        <v>11.99</v>
      </c>
      <c r="E58" s="290">
        <v>7.64</v>
      </c>
      <c r="F58" s="293">
        <v>1.05</v>
      </c>
      <c r="I58" s="399" t="s">
        <v>100</v>
      </c>
      <c r="J58" s="399" t="s">
        <v>788</v>
      </c>
      <c r="K58" s="399" t="s">
        <v>73</v>
      </c>
      <c r="L58" s="399">
        <v>6.61</v>
      </c>
      <c r="M58" s="399">
        <v>30.62</v>
      </c>
    </row>
    <row r="59" spans="1:13">
      <c r="A59" s="290" t="s">
        <v>104</v>
      </c>
      <c r="B59" s="290" t="s">
        <v>832</v>
      </c>
      <c r="C59" s="290" t="s">
        <v>5</v>
      </c>
      <c r="D59" s="291">
        <v>11.99</v>
      </c>
      <c r="E59" s="290">
        <v>8.44</v>
      </c>
      <c r="F59" s="290">
        <v>132.69999999999999</v>
      </c>
      <c r="I59" s="399" t="s">
        <v>100</v>
      </c>
      <c r="J59" s="399" t="s">
        <v>788</v>
      </c>
      <c r="K59" s="399" t="s">
        <v>792</v>
      </c>
      <c r="L59" s="399">
        <v>6.65</v>
      </c>
      <c r="M59" s="399">
        <v>21.27</v>
      </c>
    </row>
    <row r="60" spans="1:13">
      <c r="A60" s="290"/>
      <c r="B60" s="290"/>
      <c r="C60" s="290"/>
      <c r="D60" s="290"/>
      <c r="E60" s="290"/>
      <c r="F60" s="290"/>
      <c r="I60" s="399" t="s">
        <v>100</v>
      </c>
      <c r="J60" s="399" t="s">
        <v>775</v>
      </c>
      <c r="K60" s="399" t="s">
        <v>4</v>
      </c>
      <c r="L60" s="399">
        <v>5.89</v>
      </c>
      <c r="M60" s="399">
        <v>61.64</v>
      </c>
    </row>
    <row r="61" spans="1:13">
      <c r="A61" s="397" t="s">
        <v>824</v>
      </c>
      <c r="B61" s="282">
        <v>44329</v>
      </c>
      <c r="I61" s="399" t="s">
        <v>100</v>
      </c>
      <c r="J61" s="399" t="s">
        <v>775</v>
      </c>
      <c r="K61" s="399" t="s">
        <v>5</v>
      </c>
      <c r="L61" s="399">
        <v>5.63</v>
      </c>
      <c r="M61" s="399">
        <v>82.61</v>
      </c>
    </row>
    <row r="62" spans="1:13">
      <c r="A62" s="397" t="s">
        <v>808</v>
      </c>
      <c r="B62" s="397" t="s">
        <v>119</v>
      </c>
      <c r="C62" s="397" t="s">
        <v>111</v>
      </c>
      <c r="D62" s="397" t="s">
        <v>823</v>
      </c>
      <c r="E62" s="397" t="s">
        <v>346</v>
      </c>
      <c r="F62" s="626" t="s">
        <v>1084</v>
      </c>
      <c r="I62" s="399" t="s">
        <v>100</v>
      </c>
      <c r="J62" s="399" t="s">
        <v>775</v>
      </c>
      <c r="K62" s="399" t="s">
        <v>45</v>
      </c>
      <c r="L62" s="399">
        <v>5.96</v>
      </c>
      <c r="M62" s="399">
        <v>34.04</v>
      </c>
    </row>
    <row r="63" spans="1:13">
      <c r="A63" s="290" t="s">
        <v>100</v>
      </c>
      <c r="B63" s="290" t="s">
        <v>833</v>
      </c>
      <c r="C63" s="290" t="s">
        <v>112</v>
      </c>
      <c r="D63" s="290">
        <v>7.56</v>
      </c>
      <c r="E63" s="290">
        <v>6.98</v>
      </c>
      <c r="F63" s="290">
        <v>3.6840000000000002</v>
      </c>
      <c r="I63" s="399" t="s">
        <v>100</v>
      </c>
      <c r="J63" s="399" t="s">
        <v>775</v>
      </c>
      <c r="K63" s="399" t="s">
        <v>73</v>
      </c>
      <c r="L63" s="399">
        <v>6.25</v>
      </c>
      <c r="M63" s="399">
        <v>36.869999999999997</v>
      </c>
    </row>
    <row r="64" spans="1:13">
      <c r="A64" s="290" t="s">
        <v>100</v>
      </c>
      <c r="B64" s="290" t="s">
        <v>834</v>
      </c>
      <c r="C64" s="290" t="s">
        <v>112</v>
      </c>
      <c r="D64" s="290">
        <v>12.01</v>
      </c>
      <c r="E64" s="290">
        <v>7.01</v>
      </c>
      <c r="F64" s="290">
        <v>4.1639999999999997</v>
      </c>
      <c r="I64" s="399" t="s">
        <v>100</v>
      </c>
      <c r="J64" s="399" t="s">
        <v>775</v>
      </c>
      <c r="K64" s="399" t="s">
        <v>792</v>
      </c>
      <c r="L64" s="399">
        <v>6.13</v>
      </c>
      <c r="M64" s="399">
        <v>31.31</v>
      </c>
    </row>
    <row r="65" spans="1:13">
      <c r="A65" s="288" t="s">
        <v>100</v>
      </c>
      <c r="B65" s="288" t="s">
        <v>718</v>
      </c>
      <c r="C65" s="294" t="s">
        <v>817</v>
      </c>
      <c r="D65" s="288">
        <v>12.02</v>
      </c>
      <c r="E65" s="288">
        <v>7.57</v>
      </c>
      <c r="F65" s="288">
        <v>267.60000000000002</v>
      </c>
      <c r="I65" s="399" t="s">
        <v>100</v>
      </c>
      <c r="J65" s="399" t="s">
        <v>774</v>
      </c>
      <c r="K65" s="400" t="s">
        <v>112</v>
      </c>
      <c r="L65" s="399">
        <v>5.67</v>
      </c>
      <c r="M65" s="399">
        <v>70.010000000000005</v>
      </c>
    </row>
    <row r="66" spans="1:13">
      <c r="A66" s="290" t="s">
        <v>104</v>
      </c>
      <c r="B66" s="290" t="s">
        <v>831</v>
      </c>
      <c r="C66" s="295" t="s">
        <v>112</v>
      </c>
      <c r="D66" s="290">
        <v>11.99</v>
      </c>
      <c r="E66" s="291">
        <v>7.5</v>
      </c>
      <c r="F66" s="293">
        <v>1.1000000000000001</v>
      </c>
      <c r="I66" s="399" t="s">
        <v>100</v>
      </c>
      <c r="J66" s="399" t="s">
        <v>774</v>
      </c>
      <c r="K66" s="400" t="s">
        <v>114</v>
      </c>
      <c r="L66" s="399">
        <v>6.02</v>
      </c>
      <c r="M66" s="399">
        <v>97.98</v>
      </c>
    </row>
    <row r="67" spans="1:13">
      <c r="A67" s="290" t="s">
        <v>104</v>
      </c>
      <c r="B67" s="290" t="s">
        <v>835</v>
      </c>
      <c r="C67" s="295" t="s">
        <v>114</v>
      </c>
      <c r="D67" s="290">
        <v>12.04</v>
      </c>
      <c r="E67" s="290">
        <v>7.11</v>
      </c>
      <c r="F67" s="290">
        <v>828.9</v>
      </c>
      <c r="I67" s="399" t="s">
        <v>100</v>
      </c>
      <c r="J67" s="399" t="s">
        <v>774</v>
      </c>
      <c r="K67" s="400" t="s">
        <v>817</v>
      </c>
      <c r="L67" s="399">
        <v>6.02</v>
      </c>
      <c r="M67" s="399">
        <v>33.619999999999997</v>
      </c>
    </row>
    <row r="68" spans="1:13">
      <c r="A68" s="290" t="s">
        <v>104</v>
      </c>
      <c r="B68" s="290" t="s">
        <v>826</v>
      </c>
      <c r="C68" s="295" t="s">
        <v>112</v>
      </c>
      <c r="D68" s="290">
        <v>12.05</v>
      </c>
      <c r="E68" s="290">
        <v>7.22</v>
      </c>
      <c r="F68" s="293">
        <v>1.03</v>
      </c>
      <c r="I68" s="399" t="s">
        <v>100</v>
      </c>
      <c r="J68" s="399" t="s">
        <v>774</v>
      </c>
      <c r="K68" s="400" t="s">
        <v>818</v>
      </c>
      <c r="L68" s="398">
        <v>6.4</v>
      </c>
      <c r="M68" s="399">
        <v>29.97</v>
      </c>
    </row>
    <row r="69" spans="1:13">
      <c r="A69" s="290" t="s">
        <v>104</v>
      </c>
      <c r="B69" s="290" t="s">
        <v>826</v>
      </c>
      <c r="C69" s="295" t="s">
        <v>114</v>
      </c>
      <c r="D69" s="290">
        <v>12.01</v>
      </c>
      <c r="E69" s="290">
        <v>7.66</v>
      </c>
      <c r="F69" s="290">
        <v>271.5</v>
      </c>
      <c r="I69" s="399" t="s">
        <v>100</v>
      </c>
      <c r="J69" s="399" t="s">
        <v>774</v>
      </c>
      <c r="K69" s="399" t="s">
        <v>792</v>
      </c>
      <c r="L69" s="399">
        <v>6.61</v>
      </c>
      <c r="M69" s="398">
        <v>22.6</v>
      </c>
    </row>
    <row r="70" spans="1:13">
      <c r="A70" s="288" t="s">
        <v>100</v>
      </c>
      <c r="B70" s="288" t="s">
        <v>788</v>
      </c>
      <c r="C70" s="294" t="s">
        <v>112</v>
      </c>
      <c r="D70" s="288">
        <v>12.03</v>
      </c>
      <c r="E70" s="288">
        <v>5.75</v>
      </c>
      <c r="F70" s="289">
        <v>105.7</v>
      </c>
    </row>
    <row r="71" spans="1:13">
      <c r="A71" s="290" t="s">
        <v>104</v>
      </c>
      <c r="B71" s="290" t="s">
        <v>793</v>
      </c>
      <c r="C71" s="295" t="s">
        <v>817</v>
      </c>
      <c r="D71" s="290">
        <v>11.99</v>
      </c>
      <c r="E71" s="290">
        <v>7.22</v>
      </c>
      <c r="F71" s="290">
        <v>439.8</v>
      </c>
    </row>
    <row r="72" spans="1:13">
      <c r="A72" s="290" t="s">
        <v>100</v>
      </c>
      <c r="B72" s="290" t="s">
        <v>836</v>
      </c>
      <c r="C72" s="295" t="s">
        <v>817</v>
      </c>
      <c r="D72" s="290">
        <v>11.98</v>
      </c>
      <c r="E72" s="290">
        <v>7.12</v>
      </c>
      <c r="F72" s="290">
        <v>1.4379999999999999</v>
      </c>
    </row>
    <row r="73" spans="1:13">
      <c r="A73" s="290" t="s">
        <v>100</v>
      </c>
      <c r="B73" s="290" t="s">
        <v>837</v>
      </c>
      <c r="C73" s="295" t="s">
        <v>114</v>
      </c>
      <c r="D73" s="290">
        <v>11.99</v>
      </c>
      <c r="E73" s="291">
        <v>6.8</v>
      </c>
      <c r="F73" s="290">
        <v>2.7149999999999999</v>
      </c>
    </row>
    <row r="74" spans="1:13">
      <c r="A74" s="290" t="s">
        <v>100</v>
      </c>
      <c r="B74" s="290" t="s">
        <v>836</v>
      </c>
      <c r="C74" s="295" t="s">
        <v>112</v>
      </c>
      <c r="D74" s="290">
        <v>6.67</v>
      </c>
      <c r="E74" s="291">
        <v>7.1</v>
      </c>
      <c r="F74" s="290">
        <v>3.754</v>
      </c>
    </row>
    <row r="75" spans="1:13">
      <c r="A75" s="290" t="s">
        <v>100</v>
      </c>
      <c r="B75" s="290" t="s">
        <v>838</v>
      </c>
      <c r="C75" s="295" t="s">
        <v>817</v>
      </c>
      <c r="D75" s="290">
        <v>12.04</v>
      </c>
      <c r="E75" s="291">
        <v>7.2</v>
      </c>
      <c r="F75" s="290">
        <v>299.5</v>
      </c>
    </row>
    <row r="76" spans="1:13">
      <c r="A76" s="290" t="s">
        <v>100</v>
      </c>
      <c r="B76" s="290" t="s">
        <v>833</v>
      </c>
      <c r="C76" s="295" t="s">
        <v>114</v>
      </c>
      <c r="D76" s="290">
        <v>12.06</v>
      </c>
      <c r="E76" s="291">
        <v>7.2</v>
      </c>
      <c r="F76" s="290">
        <v>770.6</v>
      </c>
    </row>
    <row r="77" spans="1:13">
      <c r="A77" s="290" t="s">
        <v>100</v>
      </c>
      <c r="B77" s="290" t="s">
        <v>833</v>
      </c>
      <c r="C77" s="295" t="s">
        <v>817</v>
      </c>
      <c r="D77" s="290">
        <v>11.99</v>
      </c>
      <c r="E77" s="291">
        <v>7.36</v>
      </c>
      <c r="F77" s="290">
        <v>421.2</v>
      </c>
    </row>
    <row r="78" spans="1:13">
      <c r="A78" s="290" t="s">
        <v>100</v>
      </c>
      <c r="B78" s="290" t="s">
        <v>836</v>
      </c>
      <c r="C78" s="295" t="s">
        <v>114</v>
      </c>
      <c r="D78" s="290">
        <v>8.15</v>
      </c>
      <c r="E78" s="291">
        <v>6.92</v>
      </c>
      <c r="F78" s="290">
        <v>2.6309999999999998</v>
      </c>
    </row>
    <row r="79" spans="1:13">
      <c r="A79" s="290" t="s">
        <v>100</v>
      </c>
      <c r="B79" s="290" t="s">
        <v>839</v>
      </c>
      <c r="C79" s="295" t="s">
        <v>817</v>
      </c>
      <c r="D79" s="290">
        <v>11.99</v>
      </c>
      <c r="E79" s="291">
        <v>7.38</v>
      </c>
      <c r="F79" s="290">
        <v>621.29999999999995</v>
      </c>
    </row>
    <row r="80" spans="1:13">
      <c r="A80" s="290" t="s">
        <v>100</v>
      </c>
      <c r="B80" s="290" t="s">
        <v>839</v>
      </c>
      <c r="C80" s="295" t="s">
        <v>114</v>
      </c>
      <c r="D80" s="290">
        <v>12.01</v>
      </c>
      <c r="E80" s="291">
        <v>7.18</v>
      </c>
      <c r="F80" s="290">
        <v>1.375</v>
      </c>
    </row>
    <row r="81" spans="1:6">
      <c r="A81" s="290" t="s">
        <v>100</v>
      </c>
      <c r="B81" s="290" t="s">
        <v>826</v>
      </c>
      <c r="C81" s="295" t="s">
        <v>817</v>
      </c>
      <c r="D81" s="290">
        <v>12.05</v>
      </c>
      <c r="E81" s="291">
        <v>7.84</v>
      </c>
      <c r="F81" s="290">
        <v>1.9870000000000001</v>
      </c>
    </row>
    <row r="83" spans="1:6">
      <c r="A83" s="397" t="s">
        <v>824</v>
      </c>
      <c r="B83" s="282">
        <v>44333</v>
      </c>
    </row>
    <row r="84" spans="1:6">
      <c r="A84" s="397" t="s">
        <v>808</v>
      </c>
      <c r="B84" s="397" t="s">
        <v>119</v>
      </c>
      <c r="C84" s="397" t="s">
        <v>111</v>
      </c>
      <c r="D84" s="397" t="s">
        <v>823</v>
      </c>
      <c r="E84" s="397" t="s">
        <v>346</v>
      </c>
      <c r="F84" s="626" t="s">
        <v>1084</v>
      </c>
    </row>
    <row r="85" spans="1:6">
      <c r="A85" s="290" t="s">
        <v>100</v>
      </c>
      <c r="B85" s="290" t="s">
        <v>838</v>
      </c>
      <c r="C85" s="290" t="s">
        <v>112</v>
      </c>
      <c r="D85" s="291">
        <v>12</v>
      </c>
      <c r="E85" s="290">
        <v>7.03</v>
      </c>
      <c r="F85" s="290">
        <v>2255</v>
      </c>
    </row>
    <row r="86" spans="1:6">
      <c r="A86" s="290" t="s">
        <v>100</v>
      </c>
      <c r="B86" s="290" t="s">
        <v>838</v>
      </c>
      <c r="C86" s="295" t="s">
        <v>114</v>
      </c>
      <c r="D86" s="291">
        <v>12</v>
      </c>
      <c r="E86" s="290">
        <v>7.39</v>
      </c>
      <c r="F86" s="290">
        <v>324.89999999999998</v>
      </c>
    </row>
    <row r="87" spans="1:6">
      <c r="A87" s="290" t="s">
        <v>104</v>
      </c>
      <c r="B87" s="290" t="s">
        <v>827</v>
      </c>
      <c r="C87" s="295" t="s">
        <v>114</v>
      </c>
      <c r="D87" s="290">
        <v>11.99</v>
      </c>
      <c r="E87" s="290">
        <v>5.68</v>
      </c>
      <c r="F87" s="290">
        <v>28.75</v>
      </c>
    </row>
    <row r="88" spans="1:6">
      <c r="A88" s="290" t="s">
        <v>100</v>
      </c>
      <c r="B88" s="290" t="s">
        <v>837</v>
      </c>
      <c r="C88" s="295" t="s">
        <v>112</v>
      </c>
      <c r="D88" s="290">
        <v>11.98</v>
      </c>
      <c r="E88" s="290">
        <v>6.92</v>
      </c>
      <c r="F88" s="290">
        <v>7647</v>
      </c>
    </row>
    <row r="89" spans="1:6">
      <c r="A89" s="290" t="s">
        <v>104</v>
      </c>
      <c r="B89" s="290" t="s">
        <v>840</v>
      </c>
      <c r="C89" s="295" t="s">
        <v>112</v>
      </c>
      <c r="D89" s="290">
        <v>12.02</v>
      </c>
      <c r="E89" s="290">
        <v>5.42</v>
      </c>
      <c r="F89" s="290">
        <v>52.97</v>
      </c>
    </row>
    <row r="90" spans="1:6">
      <c r="A90" s="290" t="s">
        <v>104</v>
      </c>
      <c r="B90" s="290" t="s">
        <v>794</v>
      </c>
      <c r="C90" s="295" t="s">
        <v>114</v>
      </c>
      <c r="D90" s="290">
        <v>12.01</v>
      </c>
      <c r="E90" s="290">
        <v>6.97</v>
      </c>
      <c r="F90" s="290">
        <v>1439</v>
      </c>
    </row>
    <row r="91" spans="1:6">
      <c r="A91" s="290" t="s">
        <v>104</v>
      </c>
      <c r="B91" s="290" t="s">
        <v>794</v>
      </c>
      <c r="C91" s="295" t="s">
        <v>817</v>
      </c>
      <c r="D91" s="290">
        <v>12.03</v>
      </c>
      <c r="E91" s="290">
        <v>7.03</v>
      </c>
      <c r="F91" s="290">
        <v>597.9</v>
      </c>
    </row>
    <row r="92" spans="1:6">
      <c r="A92" s="290" t="s">
        <v>104</v>
      </c>
      <c r="B92" s="290" t="s">
        <v>835</v>
      </c>
      <c r="C92" s="295" t="s">
        <v>817</v>
      </c>
      <c r="D92" s="290">
        <v>11.99</v>
      </c>
      <c r="E92" s="291">
        <v>7.3</v>
      </c>
      <c r="F92" s="290">
        <v>376.2</v>
      </c>
    </row>
    <row r="93" spans="1:6">
      <c r="A93" s="290" t="s">
        <v>104</v>
      </c>
      <c r="B93" s="290" t="s">
        <v>793</v>
      </c>
      <c r="C93" s="295" t="s">
        <v>112</v>
      </c>
      <c r="D93" s="290">
        <v>12.05</v>
      </c>
      <c r="E93" s="290">
        <v>6.93</v>
      </c>
      <c r="F93" s="290">
        <v>5805</v>
      </c>
    </row>
    <row r="94" spans="1:6">
      <c r="A94" s="290" t="s">
        <v>104</v>
      </c>
      <c r="B94" s="290" t="s">
        <v>841</v>
      </c>
      <c r="C94" s="295" t="s">
        <v>817</v>
      </c>
      <c r="D94" s="290">
        <v>11.96</v>
      </c>
      <c r="E94" s="290">
        <v>5.95</v>
      </c>
      <c r="F94" s="290">
        <v>28.98</v>
      </c>
    </row>
    <row r="95" spans="1:6">
      <c r="A95" s="290" t="s">
        <v>104</v>
      </c>
      <c r="B95" s="290" t="s">
        <v>841</v>
      </c>
      <c r="C95" s="295" t="s">
        <v>114</v>
      </c>
      <c r="D95" s="290">
        <v>12.04</v>
      </c>
      <c r="E95" s="290">
        <v>5.75</v>
      </c>
      <c r="F95" s="290">
        <v>29.38</v>
      </c>
    </row>
    <row r="96" spans="1:6">
      <c r="A96" s="290" t="s">
        <v>104</v>
      </c>
      <c r="B96" s="290" t="s">
        <v>827</v>
      </c>
      <c r="C96" s="295" t="s">
        <v>112</v>
      </c>
      <c r="D96" s="290">
        <v>12.01</v>
      </c>
      <c r="E96" s="290">
        <v>5.44</v>
      </c>
      <c r="F96" s="291">
        <v>53.8</v>
      </c>
    </row>
    <row r="97" spans="1:6">
      <c r="A97" s="290" t="s">
        <v>104</v>
      </c>
      <c r="B97" s="290" t="s">
        <v>840</v>
      </c>
      <c r="C97" s="295" t="s">
        <v>114</v>
      </c>
      <c r="D97" s="291">
        <v>12</v>
      </c>
      <c r="E97" s="290">
        <v>5.69</v>
      </c>
      <c r="F97" s="290">
        <v>47.42</v>
      </c>
    </row>
    <row r="98" spans="1:6">
      <c r="A98" s="290" t="s">
        <v>104</v>
      </c>
      <c r="B98" s="290" t="s">
        <v>840</v>
      </c>
      <c r="C98" s="295" t="s">
        <v>817</v>
      </c>
      <c r="D98" s="290">
        <v>12.03</v>
      </c>
      <c r="E98" s="290">
        <v>5.56</v>
      </c>
      <c r="F98" s="290">
        <v>32.49</v>
      </c>
    </row>
    <row r="99" spans="1:6">
      <c r="A99" s="290" t="s">
        <v>104</v>
      </c>
      <c r="B99" s="290" t="s">
        <v>841</v>
      </c>
      <c r="C99" s="295" t="s">
        <v>112</v>
      </c>
      <c r="D99" s="290">
        <v>11.99</v>
      </c>
      <c r="E99" s="290">
        <v>6.32</v>
      </c>
      <c r="F99" s="290">
        <v>69.17</v>
      </c>
    </row>
    <row r="100" spans="1:6">
      <c r="A100" s="290" t="s">
        <v>100</v>
      </c>
      <c r="B100" s="290" t="s">
        <v>837</v>
      </c>
      <c r="C100" s="295" t="s">
        <v>817</v>
      </c>
      <c r="D100" s="290">
        <v>12.08</v>
      </c>
      <c r="E100" s="290">
        <v>6.95</v>
      </c>
      <c r="F100" s="290">
        <v>1372</v>
      </c>
    </row>
    <row r="101" spans="1:6">
      <c r="A101" s="290" t="s">
        <v>100</v>
      </c>
      <c r="B101" s="290" t="s">
        <v>774</v>
      </c>
      <c r="C101" s="295" t="s">
        <v>818</v>
      </c>
      <c r="D101" s="290">
        <v>12.01</v>
      </c>
      <c r="E101" s="291">
        <v>6.4</v>
      </c>
      <c r="F101" s="290">
        <v>29.97</v>
      </c>
    </row>
    <row r="102" spans="1:6">
      <c r="A102" s="290" t="s">
        <v>100</v>
      </c>
      <c r="B102" s="290" t="s">
        <v>774</v>
      </c>
      <c r="C102" s="295" t="s">
        <v>817</v>
      </c>
      <c r="D102" s="290">
        <v>11.99</v>
      </c>
      <c r="E102" s="290">
        <v>6.02</v>
      </c>
      <c r="F102" s="290">
        <v>33.619999999999997</v>
      </c>
    </row>
    <row r="103" spans="1:6">
      <c r="A103" s="290" t="s">
        <v>100</v>
      </c>
      <c r="B103" s="290" t="s">
        <v>774</v>
      </c>
      <c r="C103" s="295" t="s">
        <v>114</v>
      </c>
      <c r="D103" s="290">
        <v>11.98</v>
      </c>
      <c r="E103" s="290">
        <v>6.02</v>
      </c>
      <c r="F103" s="290">
        <v>97.98</v>
      </c>
    </row>
    <row r="104" spans="1:6">
      <c r="A104" s="290" t="s">
        <v>100</v>
      </c>
      <c r="B104" s="290" t="s">
        <v>774</v>
      </c>
      <c r="C104" s="295" t="s">
        <v>112</v>
      </c>
      <c r="D104" s="290">
        <v>12.05</v>
      </c>
      <c r="E104" s="290">
        <v>5.67</v>
      </c>
      <c r="F104" s="290">
        <v>70.010000000000005</v>
      </c>
    </row>
    <row r="106" spans="1:6">
      <c r="B106" s="817" t="s">
        <v>1083</v>
      </c>
      <c r="C106" s="817"/>
      <c r="D106" s="817"/>
      <c r="E106" s="817"/>
      <c r="F106" s="817"/>
    </row>
    <row r="107" spans="1:6">
      <c r="B107" s="817"/>
      <c r="C107" s="817"/>
      <c r="D107" s="817"/>
      <c r="E107" s="817"/>
      <c r="F107" s="817"/>
    </row>
    <row r="108" spans="1:6">
      <c r="B108" s="817"/>
      <c r="C108" s="817"/>
      <c r="D108" s="817"/>
      <c r="E108" s="817"/>
      <c r="F108" s="817"/>
    </row>
  </sheetData>
  <mergeCells count="9">
    <mergeCell ref="B106:F108"/>
    <mergeCell ref="W36:X36"/>
    <mergeCell ref="Z36:AA36"/>
    <mergeCell ref="V5:W5"/>
    <mergeCell ref="Z5:AA5"/>
    <mergeCell ref="W16:X16"/>
    <mergeCell ref="Z16:AA16"/>
    <mergeCell ref="V25:W25"/>
    <mergeCell ref="Z25:A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0"/>
  <sheetViews>
    <sheetView topLeftCell="D1" workbookViewId="0">
      <selection activeCell="O35" sqref="O35"/>
    </sheetView>
  </sheetViews>
  <sheetFormatPr defaultColWidth="9" defaultRowHeight="15"/>
  <cols>
    <col min="1" max="1" width="11.7109375" customWidth="1"/>
    <col min="3" max="4" width="15" customWidth="1"/>
    <col min="6" max="7" width="10" customWidth="1"/>
    <col min="14" max="17" width="9" style="112"/>
  </cols>
  <sheetData>
    <row r="1" spans="1:17" ht="18.75">
      <c r="C1" s="829" t="s">
        <v>0</v>
      </c>
      <c r="D1" s="825" t="s">
        <v>776</v>
      </c>
      <c r="E1" s="829" t="s">
        <v>1</v>
      </c>
      <c r="F1" s="825" t="s">
        <v>2</v>
      </c>
      <c r="G1" s="825"/>
      <c r="H1" s="825"/>
      <c r="I1" s="825"/>
      <c r="J1" s="825"/>
      <c r="K1" s="85"/>
      <c r="L1" s="88"/>
      <c r="M1" s="13"/>
      <c r="N1" s="428"/>
      <c r="O1" s="430"/>
      <c r="P1" s="431" t="s">
        <v>14</v>
      </c>
      <c r="Q1" s="432" t="s">
        <v>104</v>
      </c>
    </row>
    <row r="2" spans="1:17" ht="18.75">
      <c r="A2" s="100" t="s">
        <v>154</v>
      </c>
      <c r="C2" s="829"/>
      <c r="D2" s="827"/>
      <c r="E2" s="829"/>
      <c r="F2" s="826" t="s">
        <v>777</v>
      </c>
      <c r="G2" s="827"/>
      <c r="H2" s="827"/>
      <c r="I2" s="827"/>
      <c r="J2" s="827"/>
      <c r="K2" s="101"/>
      <c r="L2" s="63"/>
      <c r="M2" s="56"/>
      <c r="N2" s="428"/>
      <c r="O2" s="433"/>
      <c r="P2" s="434" t="s">
        <v>15</v>
      </c>
      <c r="Q2" s="435" t="s">
        <v>16</v>
      </c>
    </row>
    <row r="3" spans="1:17">
      <c r="A3" t="s">
        <v>14</v>
      </c>
      <c r="B3" s="7">
        <v>1</v>
      </c>
      <c r="C3" t="s">
        <v>17</v>
      </c>
      <c r="D3" t="s">
        <v>18</v>
      </c>
      <c r="E3" t="s">
        <v>4</v>
      </c>
      <c r="F3">
        <v>0.186</v>
      </c>
      <c r="K3" s="101"/>
      <c r="L3" s="63"/>
      <c r="M3" s="56"/>
      <c r="N3" s="428">
        <v>7</v>
      </c>
      <c r="O3" s="433" t="s">
        <v>4</v>
      </c>
      <c r="P3" s="434">
        <f>AVERAGE(F3,F5,F7,F9,G11,F14,F16,F18,G20,G22,G24,G26,F28,F30,F32,F36,F38,F40)</f>
        <v>5.4166666666666669E-2</v>
      </c>
      <c r="Q3" s="435">
        <f>AVERAGE(F34,F42,F44,F46,G48,G50)</f>
        <v>2.2166666666666668E-2</v>
      </c>
    </row>
    <row r="4" spans="1:17">
      <c r="A4" t="s">
        <v>14</v>
      </c>
      <c r="B4" s="7">
        <v>2</v>
      </c>
      <c r="C4" t="s">
        <v>17</v>
      </c>
      <c r="D4" t="s">
        <v>18</v>
      </c>
      <c r="E4" t="s">
        <v>5</v>
      </c>
      <c r="F4">
        <v>1.4E-2</v>
      </c>
      <c r="K4" s="102"/>
      <c r="L4" s="65"/>
      <c r="M4" s="66"/>
      <c r="N4" s="428">
        <v>8</v>
      </c>
      <c r="O4" s="436" t="s">
        <v>5</v>
      </c>
      <c r="P4" s="434">
        <f>AVERAGE(F4,F6,F8,F10,G12,F15,F17,F19,G21,G23,G25,G27,F29,F31,F33,F37,F39,F41)</f>
        <v>2.1888888888888892E-2</v>
      </c>
      <c r="Q4" s="437">
        <f>AVERAGE(F35,F43,F45,F47,G49,G51)</f>
        <v>7.1850000000000004E-3</v>
      </c>
    </row>
    <row r="5" spans="1:17">
      <c r="A5" t="s">
        <v>14</v>
      </c>
      <c r="B5" s="7">
        <v>3</v>
      </c>
      <c r="C5" t="s">
        <v>17</v>
      </c>
      <c r="D5" t="s">
        <v>19</v>
      </c>
      <c r="E5" t="s">
        <v>4</v>
      </c>
      <c r="F5">
        <v>0.03</v>
      </c>
      <c r="N5" s="428"/>
      <c r="O5" s="428"/>
      <c r="P5" s="428"/>
      <c r="Q5" s="428"/>
    </row>
    <row r="6" spans="1:17">
      <c r="B6" s="7">
        <v>4</v>
      </c>
      <c r="C6" t="s">
        <v>17</v>
      </c>
      <c r="D6" t="s">
        <v>19</v>
      </c>
      <c r="E6" t="s">
        <v>5</v>
      </c>
      <c r="F6">
        <v>3.6999999999999998E-2</v>
      </c>
      <c r="N6" s="135"/>
      <c r="O6" s="430"/>
      <c r="P6" s="438" t="s">
        <v>27</v>
      </c>
      <c r="Q6" s="432" t="s">
        <v>100</v>
      </c>
    </row>
    <row r="7" spans="1:17">
      <c r="B7" s="7">
        <v>5</v>
      </c>
      <c r="C7" t="s">
        <v>17</v>
      </c>
      <c r="D7" t="s">
        <v>20</v>
      </c>
      <c r="E7" t="s">
        <v>4</v>
      </c>
      <c r="F7">
        <v>2.8000000000000001E-2</v>
      </c>
      <c r="N7" s="135"/>
      <c r="O7" s="433"/>
      <c r="P7" s="434" t="s">
        <v>15</v>
      </c>
      <c r="Q7" s="435" t="s">
        <v>16</v>
      </c>
    </row>
    <row r="8" spans="1:17">
      <c r="B8" s="7">
        <v>6</v>
      </c>
      <c r="C8" t="s">
        <v>17</v>
      </c>
      <c r="D8" t="s">
        <v>20</v>
      </c>
      <c r="E8" t="s">
        <v>5</v>
      </c>
      <c r="F8">
        <v>1.9E-2</v>
      </c>
      <c r="G8">
        <v>2.3E-2</v>
      </c>
      <c r="N8" s="428"/>
      <c r="O8" s="433" t="s">
        <v>4</v>
      </c>
      <c r="P8" s="434">
        <f>AVERAGE(F65,F67,F69,F71,F73,F75,G77,F79,F81,F83,F85,F87,G89,G91,F93,F95,G97,G99,G101,G103,G105,F107,F109,F111)</f>
        <v>0.15054166666666666</v>
      </c>
      <c r="Q8" s="435">
        <f>AVERAGE(F53,F55,F57,F59,F61,F63)</f>
        <v>3.5412066666666665E-2</v>
      </c>
    </row>
    <row r="9" spans="1:17">
      <c r="B9" s="7">
        <v>7</v>
      </c>
      <c r="C9" t="s">
        <v>17</v>
      </c>
      <c r="D9" t="s">
        <v>21</v>
      </c>
      <c r="E9" t="s">
        <v>4</v>
      </c>
      <c r="F9">
        <v>6.8000000000000005E-2</v>
      </c>
      <c r="N9" s="428"/>
      <c r="O9" s="436" t="s">
        <v>5</v>
      </c>
      <c r="P9" s="434">
        <f>AVERAGE(F66,F68,F70,F72,F74,F76,G78,F80,F82,F84,F86,F88,G90,G92,F94,F96,G98,G100,G102,G104,G106,F108,F110,F112)</f>
        <v>4.8982916666666654E-2</v>
      </c>
      <c r="Q9" s="435">
        <f>AVERAGE(F54,F56,F58,F60,F62,F64)</f>
        <v>1.5455833333333335E-3</v>
      </c>
    </row>
    <row r="10" spans="1:17">
      <c r="B10" s="7">
        <v>8</v>
      </c>
      <c r="C10" t="s">
        <v>17</v>
      </c>
      <c r="D10" t="s">
        <v>21</v>
      </c>
      <c r="E10" t="s">
        <v>5</v>
      </c>
      <c r="F10">
        <v>2.9000000000000001E-2</v>
      </c>
      <c r="G10">
        <v>2.5999999999999999E-2</v>
      </c>
      <c r="N10" s="428"/>
      <c r="O10" s="439" t="s">
        <v>879</v>
      </c>
      <c r="P10" s="428">
        <f>AVERAGE(P8:P9)</f>
        <v>9.9762291666666655E-2</v>
      </c>
      <c r="Q10" s="428">
        <f>AVERAGE(Q8:Q9)</f>
        <v>1.8478825000000001E-2</v>
      </c>
    </row>
    <row r="11" spans="1:17">
      <c r="B11" s="7">
        <v>9</v>
      </c>
      <c r="C11" t="s">
        <v>17</v>
      </c>
      <c r="D11" t="s">
        <v>22</v>
      </c>
      <c r="E11" t="s">
        <v>4</v>
      </c>
      <c r="F11">
        <v>1.0999999999999999E-2</v>
      </c>
      <c r="G11">
        <v>0.01</v>
      </c>
      <c r="H11">
        <v>2.1999999999999999E-2</v>
      </c>
      <c r="N11" s="440"/>
      <c r="O11" s="427"/>
      <c r="P11" s="427"/>
      <c r="Q11" s="427"/>
    </row>
    <row r="12" spans="1:17">
      <c r="B12" s="7">
        <v>10</v>
      </c>
      <c r="C12" t="s">
        <v>17</v>
      </c>
      <c r="D12" t="s">
        <v>22</v>
      </c>
      <c r="E12" t="s">
        <v>5</v>
      </c>
      <c r="F12">
        <v>5.0000000000000001E-3</v>
      </c>
      <c r="G12">
        <v>1.7999999999999999E-2</v>
      </c>
      <c r="H12">
        <v>1.7000000000000001E-2</v>
      </c>
      <c r="N12" s="427"/>
      <c r="O12" s="427"/>
      <c r="P12" s="427"/>
      <c r="Q12" s="427"/>
    </row>
    <row r="13" spans="1:17">
      <c r="A13" s="828" t="s">
        <v>23</v>
      </c>
      <c r="B13" s="828"/>
      <c r="C13" s="828"/>
      <c r="D13" s="828"/>
      <c r="E13" s="828"/>
      <c r="F13" s="828"/>
      <c r="G13" s="828"/>
      <c r="H13" s="828"/>
      <c r="I13" s="828"/>
      <c r="J13" s="828"/>
      <c r="N13" s="427"/>
      <c r="O13" s="427"/>
      <c r="P13" s="427"/>
      <c r="Q13" s="427"/>
    </row>
    <row r="14" spans="1:17">
      <c r="B14" s="7">
        <v>11</v>
      </c>
      <c r="C14" t="s">
        <v>24</v>
      </c>
      <c r="D14" t="s">
        <v>18</v>
      </c>
      <c r="E14" t="s">
        <v>4</v>
      </c>
      <c r="F14">
        <v>3.2000000000000001E-2</v>
      </c>
      <c r="N14" s="427"/>
      <c r="O14" s="427"/>
      <c r="P14" s="427"/>
      <c r="Q14" s="427"/>
    </row>
    <row r="15" spans="1:17">
      <c r="B15" s="7">
        <v>12</v>
      </c>
      <c r="C15" t="s">
        <v>24</v>
      </c>
      <c r="D15" t="s">
        <v>18</v>
      </c>
      <c r="E15" t="s">
        <v>5</v>
      </c>
      <c r="F15">
        <v>9.9000000000000005E-2</v>
      </c>
      <c r="N15" s="427"/>
      <c r="O15" s="427"/>
      <c r="P15" s="427"/>
      <c r="Q15" s="427"/>
    </row>
    <row r="16" spans="1:17">
      <c r="B16" s="7">
        <v>13</v>
      </c>
      <c r="C16" t="s">
        <v>17</v>
      </c>
      <c r="D16" t="s">
        <v>25</v>
      </c>
      <c r="E16" t="s">
        <v>4</v>
      </c>
      <c r="F16">
        <v>5.8000000000000003E-2</v>
      </c>
      <c r="N16" s="427"/>
      <c r="O16" s="427"/>
      <c r="P16" s="427"/>
      <c r="Q16" s="427"/>
    </row>
    <row r="17" spans="2:17">
      <c r="B17" s="7">
        <v>14</v>
      </c>
      <c r="C17" t="s">
        <v>17</v>
      </c>
      <c r="D17" t="s">
        <v>25</v>
      </c>
      <c r="E17" t="s">
        <v>5</v>
      </c>
      <c r="F17">
        <v>1E-3</v>
      </c>
      <c r="N17" s="427"/>
      <c r="O17" s="427"/>
      <c r="P17" s="427"/>
      <c r="Q17" s="427"/>
    </row>
    <row r="18" spans="2:17">
      <c r="B18" s="7">
        <v>15</v>
      </c>
      <c r="C18" t="s">
        <v>24</v>
      </c>
      <c r="D18" t="s">
        <v>25</v>
      </c>
      <c r="E18" t="s">
        <v>4</v>
      </c>
      <c r="F18">
        <v>2.8000000000000001E-2</v>
      </c>
      <c r="N18" s="427"/>
      <c r="O18" s="427"/>
      <c r="P18" s="427"/>
      <c r="Q18" s="427"/>
    </row>
    <row r="19" spans="2:17">
      <c r="B19" s="7">
        <v>16</v>
      </c>
      <c r="C19" t="s">
        <v>24</v>
      </c>
      <c r="D19" t="s">
        <v>25</v>
      </c>
      <c r="E19" t="s">
        <v>5</v>
      </c>
      <c r="F19">
        <v>3.0000000000000001E-3</v>
      </c>
      <c r="G19">
        <v>4.0000000000000001E-3</v>
      </c>
      <c r="N19" s="427"/>
      <c r="O19" s="427"/>
      <c r="P19" s="427"/>
      <c r="Q19" s="427"/>
    </row>
    <row r="20" spans="2:17">
      <c r="B20" s="7">
        <v>17</v>
      </c>
      <c r="C20" t="s">
        <v>24</v>
      </c>
      <c r="D20" t="s">
        <v>21</v>
      </c>
      <c r="E20" t="s">
        <v>4</v>
      </c>
      <c r="F20">
        <v>1.2999999999999999E-2</v>
      </c>
      <c r="G20">
        <v>1.2999999999999999E-2</v>
      </c>
      <c r="N20" s="427"/>
      <c r="O20" s="427"/>
      <c r="P20" s="427"/>
      <c r="Q20" s="427"/>
    </row>
    <row r="21" spans="2:17">
      <c r="B21" s="7">
        <v>18</v>
      </c>
      <c r="C21" t="s">
        <v>24</v>
      </c>
      <c r="D21" t="s">
        <v>21</v>
      </c>
      <c r="E21" t="s">
        <v>5</v>
      </c>
      <c r="F21">
        <v>1.2E-2</v>
      </c>
      <c r="G21">
        <v>1.0999999999999999E-2</v>
      </c>
      <c r="N21" s="427"/>
      <c r="O21" s="427"/>
      <c r="P21" s="427"/>
      <c r="Q21" s="427"/>
    </row>
    <row r="22" spans="2:17">
      <c r="B22" s="7">
        <v>19</v>
      </c>
      <c r="C22" t="s">
        <v>24</v>
      </c>
      <c r="D22" t="s">
        <v>22</v>
      </c>
      <c r="E22" t="s">
        <v>4</v>
      </c>
      <c r="F22">
        <v>5.1999999999999998E-2</v>
      </c>
      <c r="G22">
        <v>5.1999999999999998E-2</v>
      </c>
      <c r="N22" s="427"/>
      <c r="O22" s="427"/>
      <c r="P22" s="427"/>
      <c r="Q22" s="427"/>
    </row>
    <row r="23" spans="2:17">
      <c r="B23" s="7">
        <v>20</v>
      </c>
      <c r="C23" t="s">
        <v>24</v>
      </c>
      <c r="D23" t="s">
        <v>22</v>
      </c>
      <c r="E23" t="s">
        <v>5</v>
      </c>
      <c r="F23">
        <v>0.02</v>
      </c>
      <c r="G23">
        <v>1E-3</v>
      </c>
      <c r="H23">
        <v>1.2999999999999999E-2</v>
      </c>
      <c r="N23" s="427"/>
      <c r="O23" s="427"/>
      <c r="P23" s="427"/>
      <c r="Q23" s="427"/>
    </row>
    <row r="24" spans="2:17">
      <c r="B24" s="7">
        <v>21</v>
      </c>
      <c r="C24" t="s">
        <v>24</v>
      </c>
      <c r="D24" t="s">
        <v>20</v>
      </c>
      <c r="E24" t="s">
        <v>4</v>
      </c>
      <c r="F24">
        <v>7.2999999999999995E-2</v>
      </c>
      <c r="G24">
        <v>1.2E-2</v>
      </c>
      <c r="N24" s="427"/>
      <c r="O24" s="427"/>
      <c r="P24" s="427"/>
      <c r="Q24" s="427"/>
    </row>
    <row r="25" spans="2:17">
      <c r="B25" s="7">
        <v>22</v>
      </c>
      <c r="C25" t="s">
        <v>24</v>
      </c>
      <c r="D25" t="s">
        <v>20</v>
      </c>
      <c r="E25" t="s">
        <v>5</v>
      </c>
      <c r="F25">
        <v>2E-3</v>
      </c>
      <c r="G25">
        <v>1E-3</v>
      </c>
      <c r="N25" s="427"/>
      <c r="O25" s="427"/>
      <c r="P25" s="427"/>
      <c r="Q25" s="427"/>
    </row>
    <row r="26" spans="2:17">
      <c r="B26" s="7">
        <v>23</v>
      </c>
      <c r="C26" t="s">
        <v>24</v>
      </c>
      <c r="D26" t="s">
        <v>19</v>
      </c>
      <c r="E26" t="s">
        <v>4</v>
      </c>
      <c r="F26">
        <v>8.1000000000000003E-2</v>
      </c>
      <c r="G26">
        <v>0.219</v>
      </c>
      <c r="N26" s="427"/>
      <c r="O26" s="427"/>
      <c r="P26" s="427"/>
      <c r="Q26" s="427"/>
    </row>
    <row r="27" spans="2:17">
      <c r="B27" s="7">
        <v>24</v>
      </c>
      <c r="C27" t="s">
        <v>24</v>
      </c>
      <c r="D27" t="s">
        <v>19</v>
      </c>
      <c r="E27" t="s">
        <v>5</v>
      </c>
      <c r="F27">
        <v>7.0000000000000001E-3</v>
      </c>
      <c r="G27">
        <v>1.4999999999999999E-2</v>
      </c>
      <c r="N27" s="427"/>
      <c r="O27" s="427"/>
      <c r="P27" s="427"/>
      <c r="Q27" s="427"/>
    </row>
    <row r="28" spans="2:17">
      <c r="B28" s="7">
        <v>25</v>
      </c>
      <c r="C28" t="s">
        <v>26</v>
      </c>
      <c r="D28" t="s">
        <v>21</v>
      </c>
      <c r="E28" t="s">
        <v>4</v>
      </c>
      <c r="F28">
        <v>1.6E-2</v>
      </c>
      <c r="G28">
        <v>7.5999999999999998E-2</v>
      </c>
      <c r="N28" s="427"/>
      <c r="O28" s="427"/>
      <c r="P28" s="427"/>
      <c r="Q28" s="427"/>
    </row>
    <row r="29" spans="2:17">
      <c r="B29" s="7">
        <v>26</v>
      </c>
      <c r="C29" t="s">
        <v>26</v>
      </c>
      <c r="D29" t="s">
        <v>21</v>
      </c>
      <c r="E29" t="s">
        <v>5</v>
      </c>
      <c r="F29">
        <v>1.2999999999999999E-2</v>
      </c>
      <c r="N29" s="427"/>
      <c r="O29" s="427"/>
      <c r="P29" s="427"/>
      <c r="Q29" s="427"/>
    </row>
    <row r="30" spans="2:17">
      <c r="B30" s="7">
        <v>27</v>
      </c>
      <c r="C30" t="s">
        <v>26</v>
      </c>
      <c r="D30" t="s">
        <v>22</v>
      </c>
      <c r="E30" t="s">
        <v>4</v>
      </c>
      <c r="F30">
        <v>0.09</v>
      </c>
      <c r="N30" s="427"/>
      <c r="O30" s="427"/>
      <c r="P30" s="427"/>
      <c r="Q30" s="427"/>
    </row>
    <row r="31" spans="2:17">
      <c r="B31" s="7">
        <v>28</v>
      </c>
      <c r="C31" t="s">
        <v>26</v>
      </c>
      <c r="D31" t="s">
        <v>22</v>
      </c>
      <c r="E31" t="s">
        <v>5</v>
      </c>
      <c r="F31">
        <v>1.4E-2</v>
      </c>
      <c r="N31" s="427"/>
      <c r="O31" s="427"/>
      <c r="P31" s="427"/>
      <c r="Q31" s="427"/>
    </row>
    <row r="32" spans="2:17">
      <c r="B32" s="7">
        <v>29</v>
      </c>
      <c r="C32" t="s">
        <v>26</v>
      </c>
      <c r="D32" t="s">
        <v>20</v>
      </c>
      <c r="E32" t="s">
        <v>4</v>
      </c>
      <c r="F32">
        <v>3.7999999999999999E-2</v>
      </c>
      <c r="N32" s="427"/>
      <c r="O32" s="427"/>
      <c r="P32" s="427"/>
      <c r="Q32" s="427"/>
    </row>
    <row r="33" spans="2:17">
      <c r="B33" s="7">
        <v>30</v>
      </c>
      <c r="C33" t="s">
        <v>26</v>
      </c>
      <c r="D33" t="s">
        <v>20</v>
      </c>
      <c r="E33" t="s">
        <v>5</v>
      </c>
      <c r="F33">
        <v>3.2000000000000001E-2</v>
      </c>
      <c r="N33" s="427"/>
      <c r="O33" s="427"/>
      <c r="P33" s="427"/>
      <c r="Q33" s="427"/>
    </row>
    <row r="34" spans="2:17">
      <c r="B34" s="7">
        <v>31</v>
      </c>
      <c r="C34" t="s">
        <v>16</v>
      </c>
      <c r="D34" t="s">
        <v>20</v>
      </c>
      <c r="E34" t="s">
        <v>4</v>
      </c>
      <c r="F34">
        <v>4.0000000000000001E-3</v>
      </c>
      <c r="N34" s="427"/>
      <c r="O34" s="427"/>
      <c r="P34" s="427"/>
      <c r="Q34" s="427"/>
    </row>
    <row r="35" spans="2:17">
      <c r="B35" s="7">
        <v>32</v>
      </c>
      <c r="C35" t="s">
        <v>16</v>
      </c>
      <c r="D35" t="s">
        <v>20</v>
      </c>
      <c r="E35" t="s">
        <v>5</v>
      </c>
      <c r="F35">
        <v>2E-3</v>
      </c>
      <c r="N35" s="427"/>
      <c r="O35" s="427"/>
      <c r="P35" s="427"/>
      <c r="Q35" s="427"/>
    </row>
    <row r="36" spans="2:17">
      <c r="B36" s="7">
        <v>33</v>
      </c>
      <c r="C36" t="s">
        <v>26</v>
      </c>
      <c r="D36" t="s">
        <v>19</v>
      </c>
      <c r="E36" t="s">
        <v>4</v>
      </c>
      <c r="F36">
        <v>7.0000000000000001E-3</v>
      </c>
      <c r="N36" s="427"/>
      <c r="O36" s="427"/>
      <c r="P36" s="427"/>
      <c r="Q36" s="427"/>
    </row>
    <row r="37" spans="2:17">
      <c r="B37" s="7">
        <v>34</v>
      </c>
      <c r="C37" t="s">
        <v>26</v>
      </c>
      <c r="D37" t="s">
        <v>19</v>
      </c>
      <c r="E37" t="s">
        <v>5</v>
      </c>
      <c r="F37">
        <v>6.0000000000000001E-3</v>
      </c>
      <c r="N37" s="427"/>
      <c r="O37" s="427"/>
      <c r="P37" s="427"/>
      <c r="Q37" s="427"/>
    </row>
    <row r="38" spans="2:17">
      <c r="B38" s="7">
        <v>35</v>
      </c>
      <c r="C38" t="s">
        <v>26</v>
      </c>
      <c r="D38" t="s">
        <v>18</v>
      </c>
      <c r="E38" t="s">
        <v>4</v>
      </c>
      <c r="F38">
        <v>2.5999999999999999E-2</v>
      </c>
      <c r="N38" s="427"/>
      <c r="O38" s="427"/>
      <c r="P38" s="427"/>
      <c r="Q38" s="427"/>
    </row>
    <row r="39" spans="2:17">
      <c r="B39" s="7">
        <v>36</v>
      </c>
      <c r="C39" t="s">
        <v>26</v>
      </c>
      <c r="D39" t="s">
        <v>18</v>
      </c>
      <c r="E39" t="s">
        <v>5</v>
      </c>
      <c r="F39">
        <v>5.3999999999999999E-2</v>
      </c>
      <c r="N39" s="427"/>
      <c r="O39" s="427"/>
      <c r="P39" s="427"/>
      <c r="Q39" s="427"/>
    </row>
    <row r="40" spans="2:17">
      <c r="B40" s="7">
        <v>37</v>
      </c>
      <c r="C40" t="s">
        <v>26</v>
      </c>
      <c r="D40" t="s">
        <v>25</v>
      </c>
      <c r="E40" t="s">
        <v>4</v>
      </c>
      <c r="F40">
        <v>6.2E-2</v>
      </c>
      <c r="N40" s="427"/>
      <c r="O40" s="427"/>
      <c r="P40" s="427"/>
      <c r="Q40" s="427"/>
    </row>
    <row r="41" spans="2:17">
      <c r="B41" s="7">
        <v>38</v>
      </c>
      <c r="C41" t="s">
        <v>26</v>
      </c>
      <c r="D41" t="s">
        <v>25</v>
      </c>
      <c r="E41" t="s">
        <v>5</v>
      </c>
      <c r="F41">
        <v>2.7E-2</v>
      </c>
      <c r="N41" s="427"/>
      <c r="O41" s="427"/>
      <c r="P41" s="427"/>
      <c r="Q41" s="427"/>
    </row>
    <row r="42" spans="2:17">
      <c r="B42" s="7">
        <v>39</v>
      </c>
      <c r="C42" t="s">
        <v>16</v>
      </c>
      <c r="D42" t="s">
        <v>22</v>
      </c>
      <c r="E42" t="s">
        <v>4</v>
      </c>
      <c r="F42">
        <v>5.7000000000000002E-2</v>
      </c>
      <c r="N42" s="427"/>
      <c r="O42" s="427"/>
      <c r="P42" s="427"/>
      <c r="Q42" s="427"/>
    </row>
    <row r="43" spans="2:17">
      <c r="B43" s="7">
        <v>40</v>
      </c>
      <c r="C43" t="s">
        <v>16</v>
      </c>
      <c r="D43" t="s">
        <v>22</v>
      </c>
      <c r="E43" t="s">
        <v>5</v>
      </c>
      <c r="F43">
        <v>1E-3</v>
      </c>
      <c r="N43" s="427"/>
      <c r="O43" s="427"/>
      <c r="P43" s="427"/>
      <c r="Q43" s="427"/>
    </row>
    <row r="44" spans="2:17">
      <c r="B44" s="7">
        <v>41</v>
      </c>
      <c r="C44" t="s">
        <v>16</v>
      </c>
      <c r="D44" t="s">
        <v>18</v>
      </c>
      <c r="E44" t="s">
        <v>4</v>
      </c>
      <c r="F44">
        <v>5.8999999999999997E-2</v>
      </c>
      <c r="N44" s="427"/>
      <c r="O44" s="427"/>
      <c r="P44" s="427"/>
      <c r="Q44" s="427"/>
    </row>
    <row r="45" spans="2:17">
      <c r="B45" s="7">
        <v>42</v>
      </c>
      <c r="C45" t="s">
        <v>16</v>
      </c>
      <c r="D45" t="s">
        <v>18</v>
      </c>
      <c r="E45" t="s">
        <v>5</v>
      </c>
      <c r="F45">
        <v>2.7E-2</v>
      </c>
      <c r="N45" s="427"/>
      <c r="O45" s="427"/>
      <c r="P45" s="427"/>
      <c r="Q45" s="427"/>
    </row>
    <row r="46" spans="2:17">
      <c r="B46" s="7">
        <v>43</v>
      </c>
      <c r="C46" t="s">
        <v>16</v>
      </c>
      <c r="D46" t="s">
        <v>21</v>
      </c>
      <c r="E46" t="s">
        <v>4</v>
      </c>
      <c r="F46">
        <v>0.01</v>
      </c>
      <c r="N46" s="427"/>
      <c r="O46" s="427"/>
      <c r="P46" s="427"/>
      <c r="Q46" s="427"/>
    </row>
    <row r="47" spans="2:17">
      <c r="B47" s="7">
        <v>44</v>
      </c>
      <c r="C47" t="s">
        <v>16</v>
      </c>
      <c r="D47" t="s">
        <v>21</v>
      </c>
      <c r="E47" t="s">
        <v>5</v>
      </c>
      <c r="F47" s="8">
        <v>9.9000000000000008E-3</v>
      </c>
      <c r="G47" s="8">
        <v>1.15E-4</v>
      </c>
      <c r="N47" s="427"/>
      <c r="O47" s="427"/>
      <c r="P47" s="427"/>
      <c r="Q47" s="427"/>
    </row>
    <row r="48" spans="2:17">
      <c r="B48" s="7">
        <v>45</v>
      </c>
      <c r="C48" t="s">
        <v>16</v>
      </c>
      <c r="D48" t="s">
        <v>25</v>
      </c>
      <c r="E48" t="s">
        <v>4</v>
      </c>
      <c r="F48">
        <v>4.0000000000000001E-3</v>
      </c>
      <c r="G48">
        <v>2E-3</v>
      </c>
      <c r="N48" s="427"/>
      <c r="O48" s="427"/>
      <c r="P48" s="427"/>
      <c r="Q48" s="427"/>
    </row>
    <row r="49" spans="1:17">
      <c r="B49" s="7">
        <v>46</v>
      </c>
      <c r="C49" t="s">
        <v>16</v>
      </c>
      <c r="D49" t="s">
        <v>25</v>
      </c>
      <c r="E49" t="s">
        <v>5</v>
      </c>
      <c r="F49" s="8">
        <v>7.9400000000000006E-5</v>
      </c>
      <c r="G49">
        <f>2.1*10^-4</f>
        <v>2.1000000000000001E-4</v>
      </c>
      <c r="N49" s="427"/>
      <c r="O49" s="427"/>
      <c r="P49" s="427"/>
      <c r="Q49" s="427"/>
    </row>
    <row r="50" spans="1:17">
      <c r="B50" s="7">
        <v>47</v>
      </c>
      <c r="C50" t="s">
        <v>16</v>
      </c>
      <c r="D50" t="s">
        <v>19</v>
      </c>
      <c r="E50" t="s">
        <v>4</v>
      </c>
      <c r="F50">
        <v>1E-3</v>
      </c>
      <c r="G50">
        <v>1E-3</v>
      </c>
      <c r="N50" s="427"/>
      <c r="O50" s="427"/>
      <c r="P50" s="427"/>
      <c r="Q50" s="427"/>
    </row>
    <row r="51" spans="1:17">
      <c r="B51" s="7">
        <v>48</v>
      </c>
      <c r="C51" t="s">
        <v>16</v>
      </c>
      <c r="D51" t="s">
        <v>19</v>
      </c>
      <c r="E51" t="s">
        <v>5</v>
      </c>
      <c r="F51">
        <v>4.0000000000000001E-3</v>
      </c>
      <c r="G51">
        <v>3.0000000000000001E-3</v>
      </c>
      <c r="Q51" s="427"/>
    </row>
    <row r="52" spans="1:17">
      <c r="Q52" s="429"/>
    </row>
    <row r="53" spans="1:17">
      <c r="A53" t="s">
        <v>27</v>
      </c>
      <c r="B53" s="7">
        <v>49</v>
      </c>
      <c r="C53" t="s">
        <v>28</v>
      </c>
      <c r="D53" t="s">
        <v>18</v>
      </c>
      <c r="E53" t="s">
        <v>4</v>
      </c>
      <c r="F53">
        <v>4.8000000000000001E-2</v>
      </c>
      <c r="Q53" s="427"/>
    </row>
    <row r="54" spans="1:17">
      <c r="B54" s="7">
        <v>50</v>
      </c>
      <c r="C54" t="s">
        <v>28</v>
      </c>
      <c r="D54" t="s">
        <v>18</v>
      </c>
      <c r="E54" t="s">
        <v>5</v>
      </c>
      <c r="F54">
        <v>1E-3</v>
      </c>
      <c r="Q54" s="427"/>
    </row>
    <row r="55" spans="1:17">
      <c r="B55" s="7">
        <v>51</v>
      </c>
      <c r="C55" t="s">
        <v>28</v>
      </c>
      <c r="D55" t="s">
        <v>25</v>
      </c>
      <c r="E55" t="s">
        <v>4</v>
      </c>
      <c r="F55">
        <v>1E-3</v>
      </c>
      <c r="Q55" s="427"/>
    </row>
    <row r="56" spans="1:17">
      <c r="B56" s="7">
        <v>52</v>
      </c>
      <c r="C56" t="s">
        <v>28</v>
      </c>
      <c r="D56" t="s">
        <v>25</v>
      </c>
      <c r="E56" t="s">
        <v>5</v>
      </c>
      <c r="F56">
        <f>1.07*10^-4</f>
        <v>1.0700000000000001E-4</v>
      </c>
      <c r="N56" s="427"/>
      <c r="O56" s="427"/>
      <c r="P56" s="427"/>
      <c r="Q56" s="427"/>
    </row>
    <row r="57" spans="1:17">
      <c r="B57" s="7">
        <v>53</v>
      </c>
      <c r="C57" t="s">
        <v>28</v>
      </c>
      <c r="D57" t="s">
        <v>21</v>
      </c>
      <c r="E57" t="s">
        <v>4</v>
      </c>
      <c r="F57">
        <v>1.6E-2</v>
      </c>
      <c r="N57" s="427"/>
      <c r="O57" s="427"/>
      <c r="P57" s="427"/>
      <c r="Q57" s="427"/>
    </row>
    <row r="58" spans="1:17">
      <c r="B58" s="7">
        <v>54</v>
      </c>
      <c r="C58" t="s">
        <v>28</v>
      </c>
      <c r="D58" t="s">
        <v>21</v>
      </c>
      <c r="E58" t="s">
        <v>5</v>
      </c>
      <c r="F58">
        <v>2E-3</v>
      </c>
      <c r="N58" s="427"/>
      <c r="O58" s="427"/>
      <c r="P58" s="427"/>
      <c r="Q58" s="427"/>
    </row>
    <row r="59" spans="1:17">
      <c r="B59" s="7">
        <v>55</v>
      </c>
      <c r="C59" t="s">
        <v>28</v>
      </c>
      <c r="D59" t="s">
        <v>19</v>
      </c>
      <c r="E59" t="s">
        <v>4</v>
      </c>
      <c r="F59">
        <v>0.14699999999999999</v>
      </c>
      <c r="G59">
        <v>3.9E-2</v>
      </c>
      <c r="N59" s="427"/>
      <c r="O59" s="427"/>
      <c r="P59" s="427"/>
      <c r="Q59" s="427"/>
    </row>
    <row r="60" spans="1:17">
      <c r="B60" s="7">
        <v>56</v>
      </c>
      <c r="C60" t="s">
        <v>28</v>
      </c>
      <c r="D60" t="s">
        <v>19</v>
      </c>
      <c r="E60" t="s">
        <v>5</v>
      </c>
      <c r="F60">
        <f>5.95*10^-5</f>
        <v>5.950000000000001E-5</v>
      </c>
      <c r="N60" s="427"/>
      <c r="O60" s="427"/>
      <c r="P60" s="427"/>
      <c r="Q60" s="427"/>
    </row>
    <row r="61" spans="1:17">
      <c r="B61" s="7">
        <v>57</v>
      </c>
      <c r="C61" t="s">
        <v>28</v>
      </c>
      <c r="D61" t="s">
        <v>20</v>
      </c>
      <c r="E61" t="s">
        <v>4</v>
      </c>
      <c r="F61">
        <f>3.97*10^-4</f>
        <v>3.9700000000000005E-4</v>
      </c>
      <c r="N61" s="427"/>
      <c r="O61" s="427"/>
      <c r="P61" s="427"/>
      <c r="Q61" s="427"/>
    </row>
    <row r="62" spans="1:17">
      <c r="B62" s="7">
        <v>58</v>
      </c>
      <c r="C62" t="s">
        <v>28</v>
      </c>
      <c r="D62" t="s">
        <v>20</v>
      </c>
      <c r="E62" t="s">
        <v>5</v>
      </c>
      <c r="F62">
        <v>6.0000000000000001E-3</v>
      </c>
      <c r="N62" s="427"/>
      <c r="O62" s="427"/>
      <c r="P62" s="427"/>
      <c r="Q62" s="427"/>
    </row>
    <row r="63" spans="1:17">
      <c r="B63" s="7">
        <v>59</v>
      </c>
      <c r="C63" t="s">
        <v>28</v>
      </c>
      <c r="D63" t="s">
        <v>22</v>
      </c>
      <c r="E63" t="s">
        <v>4</v>
      </c>
      <c r="F63">
        <f>7.54*10^-5</f>
        <v>7.5400000000000003E-5</v>
      </c>
      <c r="N63" s="427"/>
      <c r="O63" s="427"/>
      <c r="P63" s="427"/>
      <c r="Q63" s="427"/>
    </row>
    <row r="64" spans="1:17">
      <c r="B64" s="7">
        <v>60</v>
      </c>
      <c r="C64" t="s">
        <v>28</v>
      </c>
      <c r="D64" t="s">
        <v>22</v>
      </c>
      <c r="E64" t="s">
        <v>5</v>
      </c>
      <c r="F64">
        <f>1.07*10^-4</f>
        <v>1.0700000000000001E-4</v>
      </c>
      <c r="G64">
        <f>7.94*10^-5</f>
        <v>7.9400000000000006E-5</v>
      </c>
      <c r="N64" s="427"/>
      <c r="O64" s="427"/>
      <c r="P64" s="427"/>
      <c r="Q64" s="427"/>
    </row>
    <row r="65" spans="2:17">
      <c r="B65" s="7">
        <v>61</v>
      </c>
      <c r="C65" t="s">
        <v>13</v>
      </c>
      <c r="D65" t="s">
        <v>29</v>
      </c>
      <c r="E65" t="s">
        <v>4</v>
      </c>
      <c r="F65">
        <v>4.7E-2</v>
      </c>
      <c r="G65">
        <v>6.0000000000000001E-3</v>
      </c>
      <c r="N65" s="427"/>
      <c r="O65" s="427"/>
      <c r="P65" s="427"/>
      <c r="Q65" s="427"/>
    </row>
    <row r="66" spans="2:17">
      <c r="B66" s="7">
        <v>62</v>
      </c>
      <c r="C66" t="s">
        <v>13</v>
      </c>
      <c r="D66" t="s">
        <v>29</v>
      </c>
      <c r="E66" t="s">
        <v>5</v>
      </c>
      <c r="F66">
        <v>2.1999999999999999E-2</v>
      </c>
      <c r="G66">
        <v>1.7999999999999999E-2</v>
      </c>
      <c r="N66" s="427"/>
      <c r="O66" s="427"/>
      <c r="P66" s="427"/>
      <c r="Q66" s="427"/>
    </row>
    <row r="67" spans="2:17">
      <c r="B67" s="7">
        <v>63</v>
      </c>
      <c r="C67" t="s">
        <v>13</v>
      </c>
      <c r="D67" t="s">
        <v>30</v>
      </c>
      <c r="E67" t="s">
        <v>4</v>
      </c>
      <c r="F67">
        <v>2.4E-2</v>
      </c>
      <c r="G67">
        <v>1.4E-2</v>
      </c>
      <c r="N67" s="427"/>
      <c r="O67" s="427"/>
      <c r="P67" s="427"/>
      <c r="Q67" s="427"/>
    </row>
    <row r="68" spans="2:17">
      <c r="B68" s="7">
        <v>64</v>
      </c>
      <c r="C68" t="s">
        <v>13</v>
      </c>
      <c r="D68" t="s">
        <v>30</v>
      </c>
      <c r="E68" t="s">
        <v>5</v>
      </c>
      <c r="F68">
        <v>4.0000000000000001E-3</v>
      </c>
      <c r="G68">
        <v>3.0000000000000001E-3</v>
      </c>
      <c r="N68" s="427"/>
      <c r="O68" s="427"/>
      <c r="P68" s="427"/>
      <c r="Q68" s="427"/>
    </row>
    <row r="69" spans="2:17">
      <c r="B69" s="7">
        <v>65</v>
      </c>
      <c r="C69" t="s">
        <v>31</v>
      </c>
      <c r="D69" t="s">
        <v>32</v>
      </c>
      <c r="E69" t="s">
        <v>4</v>
      </c>
      <c r="F69">
        <v>6.0999999999999999E-2</v>
      </c>
      <c r="N69" s="427"/>
      <c r="O69" s="427"/>
      <c r="P69" s="427"/>
      <c r="Q69" s="427"/>
    </row>
    <row r="70" spans="2:17">
      <c r="B70" s="7">
        <v>66</v>
      </c>
      <c r="C70" t="s">
        <v>31</v>
      </c>
      <c r="D70" t="s">
        <v>32</v>
      </c>
      <c r="E70" t="s">
        <v>5</v>
      </c>
      <c r="F70">
        <v>3.1E-2</v>
      </c>
      <c r="N70" s="427"/>
      <c r="O70" s="427"/>
      <c r="P70" s="427"/>
      <c r="Q70" s="427"/>
    </row>
    <row r="71" spans="2:17">
      <c r="B71" s="7">
        <v>67</v>
      </c>
      <c r="C71" t="s">
        <v>31</v>
      </c>
      <c r="D71" t="s">
        <v>25</v>
      </c>
      <c r="E71" t="s">
        <v>4</v>
      </c>
      <c r="F71">
        <v>0.158</v>
      </c>
      <c r="N71" s="427"/>
      <c r="O71" s="427"/>
      <c r="P71" s="427"/>
      <c r="Q71" s="427"/>
    </row>
    <row r="72" spans="2:17">
      <c r="B72" s="7">
        <v>68</v>
      </c>
      <c r="C72" t="s">
        <v>31</v>
      </c>
      <c r="D72" t="s">
        <v>33</v>
      </c>
      <c r="E72" t="s">
        <v>5</v>
      </c>
      <c r="F72">
        <v>0.06</v>
      </c>
      <c r="N72" s="427"/>
      <c r="O72" s="427"/>
      <c r="P72" s="427"/>
      <c r="Q72" s="427"/>
    </row>
    <row r="73" spans="2:17">
      <c r="B73" s="7">
        <v>69</v>
      </c>
      <c r="C73" t="s">
        <v>31</v>
      </c>
      <c r="D73" t="s">
        <v>34</v>
      </c>
      <c r="E73" t="s">
        <v>4</v>
      </c>
      <c r="F73">
        <v>0.112</v>
      </c>
      <c r="N73" s="427"/>
      <c r="O73" s="427"/>
      <c r="P73" s="427"/>
      <c r="Q73" s="427"/>
    </row>
    <row r="74" spans="2:17">
      <c r="B74" s="7">
        <v>70</v>
      </c>
      <c r="C74" t="s">
        <v>31</v>
      </c>
      <c r="D74" t="s">
        <v>34</v>
      </c>
      <c r="E74" t="s">
        <v>5</v>
      </c>
      <c r="F74">
        <v>0.157</v>
      </c>
      <c r="N74" s="427"/>
      <c r="O74" s="427"/>
      <c r="P74" s="427"/>
      <c r="Q74" s="427"/>
    </row>
    <row r="75" spans="2:17">
      <c r="B75" s="7">
        <v>71</v>
      </c>
      <c r="C75" t="s">
        <v>31</v>
      </c>
      <c r="D75" t="s">
        <v>21</v>
      </c>
      <c r="E75" t="s">
        <v>4</v>
      </c>
      <c r="F75">
        <v>0.51</v>
      </c>
      <c r="N75" s="427"/>
      <c r="O75" s="427"/>
      <c r="P75" s="427"/>
      <c r="Q75" s="427"/>
    </row>
    <row r="76" spans="2:17">
      <c r="B76" s="7">
        <v>72</v>
      </c>
      <c r="C76" t="s">
        <v>31</v>
      </c>
      <c r="D76" t="s">
        <v>21</v>
      </c>
      <c r="E76" t="s">
        <v>5</v>
      </c>
      <c r="F76">
        <v>0.22900000000000001</v>
      </c>
      <c r="N76" s="427"/>
      <c r="O76" s="427"/>
      <c r="P76" s="427"/>
      <c r="Q76" s="427"/>
    </row>
    <row r="77" spans="2:17">
      <c r="B77" s="7">
        <v>73</v>
      </c>
      <c r="C77" t="s">
        <v>31</v>
      </c>
      <c r="D77" t="s">
        <v>18</v>
      </c>
      <c r="E77" t="s">
        <v>4</v>
      </c>
      <c r="F77">
        <v>0.124</v>
      </c>
      <c r="G77">
        <v>2.4E-2</v>
      </c>
      <c r="N77" s="427"/>
      <c r="O77" s="427"/>
      <c r="P77" s="427"/>
      <c r="Q77" s="427"/>
    </row>
    <row r="78" spans="2:17">
      <c r="B78" s="7">
        <v>74</v>
      </c>
      <c r="C78" t="s">
        <v>31</v>
      </c>
      <c r="D78" t="s">
        <v>18</v>
      </c>
      <c r="E78" t="s">
        <v>5</v>
      </c>
      <c r="F78">
        <v>1.4E-2</v>
      </c>
      <c r="G78">
        <v>1.2999999999999999E-2</v>
      </c>
      <c r="N78" s="427"/>
      <c r="O78" s="427"/>
      <c r="P78" s="427"/>
      <c r="Q78" s="427"/>
    </row>
    <row r="79" spans="2:17">
      <c r="B79" s="7">
        <v>75</v>
      </c>
      <c r="C79" t="s">
        <v>31</v>
      </c>
      <c r="D79" t="s">
        <v>19</v>
      </c>
      <c r="E79" t="s">
        <v>4</v>
      </c>
      <c r="F79">
        <v>0.05</v>
      </c>
      <c r="N79" s="427"/>
      <c r="O79" s="427"/>
      <c r="P79" s="427"/>
      <c r="Q79" s="427"/>
    </row>
    <row r="80" spans="2:17">
      <c r="B80" s="7">
        <v>76</v>
      </c>
      <c r="C80" t="s">
        <v>31</v>
      </c>
      <c r="D80" t="s">
        <v>19</v>
      </c>
      <c r="E80" t="s">
        <v>5</v>
      </c>
      <c r="F80">
        <v>8.9999999999999993E-3</v>
      </c>
      <c r="N80" s="427"/>
      <c r="O80" s="427"/>
      <c r="P80" s="427"/>
      <c r="Q80" s="427"/>
    </row>
    <row r="81" spans="2:17">
      <c r="B81" s="7">
        <v>77</v>
      </c>
      <c r="C81" t="s">
        <v>31</v>
      </c>
      <c r="D81" t="s">
        <v>22</v>
      </c>
      <c r="E81" t="s">
        <v>4</v>
      </c>
      <c r="F81">
        <v>0.20599999999999999</v>
      </c>
      <c r="N81" s="427"/>
      <c r="O81" s="427"/>
      <c r="P81" s="427"/>
      <c r="Q81" s="427"/>
    </row>
    <row r="82" spans="2:17">
      <c r="B82" s="7">
        <v>78</v>
      </c>
      <c r="C82" t="s">
        <v>31</v>
      </c>
      <c r="D82" t="s">
        <v>22</v>
      </c>
      <c r="E82" t="s">
        <v>5</v>
      </c>
      <c r="F82">
        <v>0.184</v>
      </c>
      <c r="N82" s="427"/>
      <c r="O82" s="427"/>
      <c r="P82" s="427"/>
      <c r="Q82" s="427"/>
    </row>
    <row r="83" spans="2:17">
      <c r="B83" s="7">
        <v>79</v>
      </c>
      <c r="C83" t="s">
        <v>31</v>
      </c>
      <c r="D83" t="s">
        <v>20</v>
      </c>
      <c r="E83" t="s">
        <v>4</v>
      </c>
      <c r="F83">
        <v>0.20899999999999999</v>
      </c>
      <c r="N83" s="427"/>
      <c r="O83" s="427"/>
      <c r="P83" s="427"/>
      <c r="Q83" s="427"/>
    </row>
    <row r="84" spans="2:17">
      <c r="B84" s="7">
        <v>80</v>
      </c>
      <c r="C84" t="s">
        <v>31</v>
      </c>
      <c r="D84" t="s">
        <v>20</v>
      </c>
      <c r="E84" t="s">
        <v>5</v>
      </c>
      <c r="F84">
        <v>0.13600000000000001</v>
      </c>
      <c r="N84" s="427"/>
      <c r="O84" s="427"/>
      <c r="P84" s="427"/>
      <c r="Q84" s="427"/>
    </row>
    <row r="85" spans="2:17">
      <c r="B85" s="7">
        <v>81</v>
      </c>
      <c r="C85" t="s">
        <v>31</v>
      </c>
      <c r="D85" t="s">
        <v>35</v>
      </c>
      <c r="E85" t="s">
        <v>4</v>
      </c>
      <c r="F85">
        <v>4.4999999999999998E-2</v>
      </c>
      <c r="N85" s="427"/>
      <c r="O85" s="427"/>
      <c r="P85" s="427"/>
      <c r="Q85" s="427"/>
    </row>
    <row r="86" spans="2:17">
      <c r="B86" s="7">
        <v>82</v>
      </c>
      <c r="C86" t="s">
        <v>31</v>
      </c>
      <c r="D86" t="s">
        <v>35</v>
      </c>
      <c r="E86" t="s">
        <v>5</v>
      </c>
      <c r="F86">
        <v>2E-3</v>
      </c>
      <c r="G86">
        <v>1.8600000000000001E-3</v>
      </c>
      <c r="N86" s="427"/>
      <c r="O86" s="427"/>
      <c r="P86" s="427"/>
      <c r="Q86" s="427"/>
    </row>
    <row r="87" spans="2:17">
      <c r="B87" s="7">
        <v>83</v>
      </c>
      <c r="C87" t="s">
        <v>31</v>
      </c>
      <c r="D87" t="s">
        <v>30</v>
      </c>
      <c r="E87" t="s">
        <v>4</v>
      </c>
      <c r="F87">
        <v>0.35199999999999998</v>
      </c>
      <c r="N87" s="427"/>
      <c r="O87" s="427"/>
      <c r="P87" s="427"/>
      <c r="Q87" s="427"/>
    </row>
    <row r="88" spans="2:17">
      <c r="B88" s="7">
        <v>84</v>
      </c>
      <c r="C88" t="s">
        <v>31</v>
      </c>
      <c r="D88" t="s">
        <v>30</v>
      </c>
      <c r="E88" t="s">
        <v>5</v>
      </c>
      <c r="F88">
        <v>0.114</v>
      </c>
      <c r="N88" s="427"/>
      <c r="O88" s="427"/>
      <c r="P88" s="427"/>
      <c r="Q88" s="427"/>
    </row>
    <row r="89" spans="2:17">
      <c r="B89" s="7">
        <v>85</v>
      </c>
      <c r="C89" t="s">
        <v>31</v>
      </c>
      <c r="D89" t="s">
        <v>36</v>
      </c>
      <c r="E89" t="s">
        <v>4</v>
      </c>
      <c r="F89">
        <v>0.16300000000000001</v>
      </c>
      <c r="G89">
        <v>3.5000000000000003E-2</v>
      </c>
      <c r="N89" s="427"/>
      <c r="O89" s="427"/>
      <c r="P89" s="427"/>
      <c r="Q89" s="427"/>
    </row>
    <row r="90" spans="2:17">
      <c r="B90" s="7">
        <v>86</v>
      </c>
      <c r="C90" t="s">
        <v>31</v>
      </c>
      <c r="D90" t="s">
        <v>36</v>
      </c>
      <c r="E90" t="s">
        <v>5</v>
      </c>
      <c r="F90">
        <f>4.6*10^-3</f>
        <v>4.5999999999999999E-3</v>
      </c>
      <c r="G90">
        <f>3.36*10^-3</f>
        <v>3.3600000000000001E-3</v>
      </c>
      <c r="N90" s="427"/>
      <c r="O90" s="427"/>
      <c r="P90" s="427"/>
      <c r="Q90" s="427"/>
    </row>
    <row r="91" spans="2:17">
      <c r="B91" s="7">
        <v>87</v>
      </c>
      <c r="C91" t="s">
        <v>31</v>
      </c>
      <c r="D91" t="s">
        <v>29</v>
      </c>
      <c r="E91" t="s">
        <v>4</v>
      </c>
      <c r="F91">
        <v>0.06</v>
      </c>
      <c r="G91">
        <v>8.9999999999999993E-3</v>
      </c>
      <c r="N91" s="427"/>
      <c r="O91" s="427"/>
      <c r="P91" s="427"/>
      <c r="Q91" s="427"/>
    </row>
    <row r="92" spans="2:17">
      <c r="B92" s="7">
        <v>88</v>
      </c>
      <c r="C92" t="s">
        <v>31</v>
      </c>
      <c r="D92" t="s">
        <v>29</v>
      </c>
      <c r="E92" t="s">
        <v>5</v>
      </c>
      <c r="F92">
        <v>0.03</v>
      </c>
      <c r="G92">
        <v>0.03</v>
      </c>
      <c r="N92" s="427"/>
      <c r="O92" s="427"/>
      <c r="P92" s="427"/>
      <c r="Q92" s="427"/>
    </row>
    <row r="93" spans="2:17">
      <c r="B93" s="7">
        <v>89</v>
      </c>
      <c r="C93" t="s">
        <v>13</v>
      </c>
      <c r="D93" t="s">
        <v>25</v>
      </c>
      <c r="E93" t="s">
        <v>4</v>
      </c>
      <c r="F93">
        <v>0.02</v>
      </c>
      <c r="N93" s="427"/>
      <c r="O93" s="427"/>
      <c r="P93" s="427"/>
      <c r="Q93" s="427"/>
    </row>
    <row r="94" spans="2:17">
      <c r="B94" s="7">
        <v>90</v>
      </c>
      <c r="C94" t="s">
        <v>13</v>
      </c>
      <c r="D94" t="s">
        <v>25</v>
      </c>
      <c r="E94" t="s">
        <v>5</v>
      </c>
      <c r="F94">
        <v>7.0000000000000001E-3</v>
      </c>
      <c r="N94" s="427"/>
      <c r="O94" s="427"/>
      <c r="P94" s="427"/>
      <c r="Q94" s="427"/>
    </row>
    <row r="95" spans="2:17">
      <c r="B95" s="7">
        <v>91</v>
      </c>
      <c r="C95" t="s">
        <v>13</v>
      </c>
      <c r="D95" t="s">
        <v>19</v>
      </c>
      <c r="E95" t="s">
        <v>4</v>
      </c>
      <c r="F95">
        <v>7.2999999999999995E-2</v>
      </c>
      <c r="N95" s="427"/>
      <c r="O95" s="427"/>
      <c r="P95" s="427"/>
      <c r="Q95" s="427"/>
    </row>
    <row r="96" spans="2:17">
      <c r="B96" s="7">
        <v>92</v>
      </c>
      <c r="C96" t="s">
        <v>13</v>
      </c>
      <c r="D96" s="9" t="s">
        <v>19</v>
      </c>
      <c r="E96" t="s">
        <v>5</v>
      </c>
      <c r="F96">
        <v>1.7000000000000001E-2</v>
      </c>
      <c r="N96" s="427"/>
      <c r="O96" s="427"/>
      <c r="P96" s="427"/>
      <c r="Q96" s="427"/>
    </row>
    <row r="97" spans="2:17">
      <c r="B97" s="7">
        <v>93</v>
      </c>
      <c r="C97" t="s">
        <v>13</v>
      </c>
      <c r="D97" t="s">
        <v>18</v>
      </c>
      <c r="E97" t="s">
        <v>4</v>
      </c>
      <c r="F97">
        <v>0.63100000000000001</v>
      </c>
      <c r="G97">
        <v>0.52</v>
      </c>
      <c r="N97" s="427"/>
      <c r="O97" s="427"/>
      <c r="P97" s="427"/>
      <c r="Q97" s="427"/>
    </row>
    <row r="98" spans="2:17">
      <c r="B98" s="7">
        <v>94</v>
      </c>
      <c r="C98" t="s">
        <v>13</v>
      </c>
      <c r="D98" t="s">
        <v>18</v>
      </c>
      <c r="E98" t="s">
        <v>5</v>
      </c>
      <c r="F98">
        <v>2.9000000000000001E-2</v>
      </c>
      <c r="G98">
        <v>2.4E-2</v>
      </c>
      <c r="N98" s="427"/>
      <c r="O98" s="427"/>
      <c r="P98" s="427"/>
      <c r="Q98" s="427"/>
    </row>
    <row r="99" spans="2:17">
      <c r="B99" s="7">
        <v>95</v>
      </c>
      <c r="C99" t="s">
        <v>13</v>
      </c>
      <c r="D99" t="s">
        <v>21</v>
      </c>
      <c r="E99" t="s">
        <v>4</v>
      </c>
      <c r="F99">
        <v>4.8000000000000001E-2</v>
      </c>
      <c r="G99">
        <v>1.2E-2</v>
      </c>
      <c r="N99" s="427"/>
      <c r="O99" s="427"/>
      <c r="P99" s="427"/>
      <c r="Q99" s="427"/>
    </row>
    <row r="100" spans="2:17">
      <c r="B100" s="7">
        <v>96</v>
      </c>
      <c r="C100" t="s">
        <v>13</v>
      </c>
      <c r="D100" t="s">
        <v>21</v>
      </c>
      <c r="E100" t="s">
        <v>5</v>
      </c>
      <c r="F100" s="8">
        <v>1.0399999999999999E-3</v>
      </c>
      <c r="G100">
        <v>1.7700000000000001E-3</v>
      </c>
      <c r="N100" s="427"/>
      <c r="O100" s="427"/>
      <c r="P100" s="427"/>
      <c r="Q100" s="427"/>
    </row>
    <row r="101" spans="2:17">
      <c r="B101" s="7">
        <v>97</v>
      </c>
      <c r="C101" t="s">
        <v>13</v>
      </c>
      <c r="D101" t="s">
        <v>22</v>
      </c>
      <c r="E101" t="s">
        <v>4</v>
      </c>
      <c r="F101">
        <v>0.20899999999999999</v>
      </c>
      <c r="G101">
        <v>7.3999999999999996E-2</v>
      </c>
      <c r="N101" s="427"/>
      <c r="O101" s="427"/>
      <c r="P101" s="427"/>
      <c r="Q101" s="427"/>
    </row>
    <row r="102" spans="2:17">
      <c r="B102" s="7">
        <v>98</v>
      </c>
      <c r="C102" t="s">
        <v>13</v>
      </c>
      <c r="D102" t="s">
        <v>22</v>
      </c>
      <c r="E102" t="s">
        <v>5</v>
      </c>
      <c r="F102">
        <v>1.2E-2</v>
      </c>
      <c r="G102">
        <v>2.1000000000000001E-2</v>
      </c>
      <c r="N102" s="427"/>
      <c r="O102" s="427"/>
      <c r="P102" s="427"/>
      <c r="Q102" s="427"/>
    </row>
    <row r="103" spans="2:17">
      <c r="B103" s="7">
        <v>99</v>
      </c>
      <c r="C103" t="s">
        <v>13</v>
      </c>
      <c r="D103" t="s">
        <v>20</v>
      </c>
      <c r="E103" t="s">
        <v>4</v>
      </c>
      <c r="F103">
        <v>7.4999999999999997E-2</v>
      </c>
      <c r="G103">
        <v>0.13700000000000001</v>
      </c>
      <c r="N103" s="427"/>
      <c r="O103" s="427"/>
      <c r="P103" s="427"/>
      <c r="Q103" s="427"/>
    </row>
    <row r="104" spans="2:17">
      <c r="B104" s="7">
        <v>100</v>
      </c>
      <c r="C104" t="s">
        <v>13</v>
      </c>
      <c r="D104" t="s">
        <v>20</v>
      </c>
      <c r="E104" t="s">
        <v>5</v>
      </c>
      <c r="F104">
        <v>1.7999999999999999E-2</v>
      </c>
      <c r="G104">
        <v>9.3900000000000008E-3</v>
      </c>
      <c r="N104" s="427"/>
      <c r="O104" s="427"/>
      <c r="P104" s="427"/>
      <c r="Q104" s="427"/>
    </row>
    <row r="105" spans="2:17">
      <c r="B105" s="7">
        <v>101</v>
      </c>
      <c r="C105" t="s">
        <v>13</v>
      </c>
      <c r="D105" t="s">
        <v>35</v>
      </c>
      <c r="E105" t="s">
        <v>4</v>
      </c>
      <c r="F105">
        <v>0.72699999999999998</v>
      </c>
      <c r="G105">
        <v>0.65800000000000003</v>
      </c>
      <c r="N105" s="427"/>
      <c r="O105" s="427"/>
      <c r="P105" s="427"/>
      <c r="Q105" s="427"/>
    </row>
    <row r="106" spans="2:17">
      <c r="B106" s="7">
        <v>102</v>
      </c>
      <c r="C106" t="s">
        <v>13</v>
      </c>
      <c r="D106" t="s">
        <v>35</v>
      </c>
      <c r="E106" t="s">
        <v>5</v>
      </c>
      <c r="F106">
        <v>1.2E-2</v>
      </c>
      <c r="G106">
        <v>1.2999999999999999E-2</v>
      </c>
      <c r="N106" s="427"/>
      <c r="O106" s="427"/>
      <c r="P106" s="427"/>
      <c r="Q106" s="427"/>
    </row>
    <row r="107" spans="2:17">
      <c r="B107" s="7">
        <v>103</v>
      </c>
      <c r="C107" t="s">
        <v>13</v>
      </c>
      <c r="D107" t="s">
        <v>32</v>
      </c>
      <c r="E107" t="s">
        <v>4</v>
      </c>
      <c r="F107">
        <v>0.109</v>
      </c>
      <c r="G107">
        <v>2.4E-2</v>
      </c>
      <c r="N107" s="427"/>
      <c r="O107" s="427"/>
      <c r="P107" s="427"/>
      <c r="Q107" s="427"/>
    </row>
    <row r="108" spans="2:17">
      <c r="B108" s="7">
        <v>104</v>
      </c>
      <c r="C108" t="s">
        <v>13</v>
      </c>
      <c r="D108" t="s">
        <v>32</v>
      </c>
      <c r="E108" t="s">
        <v>5</v>
      </c>
      <c r="F108">
        <v>1.07E-3</v>
      </c>
      <c r="N108" s="427"/>
      <c r="O108" s="427"/>
      <c r="P108" s="427"/>
      <c r="Q108" s="427"/>
    </row>
    <row r="109" spans="2:17">
      <c r="B109" s="7">
        <v>105</v>
      </c>
      <c r="C109" t="s">
        <v>13</v>
      </c>
      <c r="D109" t="s">
        <v>34</v>
      </c>
      <c r="E109" t="s">
        <v>4</v>
      </c>
      <c r="F109">
        <v>0.11700000000000001</v>
      </c>
      <c r="N109" s="427"/>
      <c r="O109" s="427"/>
      <c r="P109" s="427"/>
      <c r="Q109" s="427"/>
    </row>
    <row r="110" spans="2:17">
      <c r="B110" s="7">
        <v>106</v>
      </c>
      <c r="C110" t="s">
        <v>13</v>
      </c>
      <c r="D110" t="s">
        <v>34</v>
      </c>
      <c r="E110" t="s">
        <v>5</v>
      </c>
      <c r="F110">
        <v>8.5000000000000006E-2</v>
      </c>
      <c r="N110" s="427"/>
      <c r="O110" s="427"/>
      <c r="P110" s="427"/>
      <c r="Q110" s="427"/>
    </row>
    <row r="111" spans="2:17">
      <c r="B111" s="7">
        <v>107</v>
      </c>
      <c r="C111" t="s">
        <v>13</v>
      </c>
      <c r="D111" t="s">
        <v>36</v>
      </c>
      <c r="E111" t="s">
        <v>4</v>
      </c>
      <c r="F111">
        <v>5.0999999999999997E-2</v>
      </c>
      <c r="N111" s="427"/>
      <c r="O111" s="427"/>
      <c r="P111" s="427"/>
      <c r="Q111" s="427"/>
    </row>
    <row r="112" spans="2:17">
      <c r="B112" s="7">
        <v>108</v>
      </c>
      <c r="C112" t="s">
        <v>13</v>
      </c>
      <c r="D112" t="s">
        <v>36</v>
      </c>
      <c r="E112" t="s">
        <v>5</v>
      </c>
      <c r="F112">
        <v>2E-3</v>
      </c>
      <c r="G112">
        <v>1.9499999999999999E-3</v>
      </c>
      <c r="N112" s="427"/>
      <c r="O112" s="427"/>
      <c r="P112" s="427"/>
      <c r="Q112" s="427"/>
    </row>
    <row r="113" spans="1:17">
      <c r="N113" s="427"/>
      <c r="O113" s="427"/>
      <c r="P113" s="427"/>
      <c r="Q113" s="427"/>
    </row>
    <row r="114" spans="1:17" ht="15.75">
      <c r="A114" s="100" t="s">
        <v>153</v>
      </c>
      <c r="B114">
        <v>109</v>
      </c>
      <c r="D114" t="s">
        <v>25</v>
      </c>
      <c r="E114" t="s">
        <v>4</v>
      </c>
      <c r="F114" s="8">
        <v>2.7800000000000001E-5</v>
      </c>
      <c r="N114" s="427"/>
      <c r="O114" s="427"/>
      <c r="P114" s="427"/>
      <c r="Q114" s="427"/>
    </row>
    <row r="115" spans="1:17">
      <c r="B115">
        <v>110</v>
      </c>
      <c r="D115" t="s">
        <v>25</v>
      </c>
      <c r="E115" t="s">
        <v>5</v>
      </c>
      <c r="F115" s="8">
        <v>1.5300000000000001E-4</v>
      </c>
      <c r="G115" s="8">
        <v>5.7700000000000004E-4</v>
      </c>
      <c r="N115" s="427"/>
      <c r="O115" s="427"/>
      <c r="P115" s="427"/>
      <c r="Q115" s="427"/>
    </row>
    <row r="116" spans="1:17">
      <c r="B116">
        <v>111</v>
      </c>
      <c r="D116" t="s">
        <v>19</v>
      </c>
      <c r="E116" t="s">
        <v>4</v>
      </c>
      <c r="F116" s="8">
        <v>9.4800000000000006E-3</v>
      </c>
      <c r="G116" s="8">
        <v>6.1900000000000002E-3</v>
      </c>
      <c r="N116" s="427"/>
      <c r="O116" s="427"/>
      <c r="P116" s="427"/>
      <c r="Q116" s="427"/>
    </row>
    <row r="117" spans="1:17">
      <c r="B117">
        <v>112</v>
      </c>
      <c r="D117" t="s">
        <v>19</v>
      </c>
      <c r="E117" t="s">
        <v>5</v>
      </c>
      <c r="F117" s="8">
        <v>1.36E-4</v>
      </c>
      <c r="G117" s="8">
        <v>1.84E-4</v>
      </c>
      <c r="N117" s="427"/>
      <c r="O117" s="427"/>
      <c r="P117" s="427"/>
      <c r="Q117" s="427"/>
    </row>
    <row r="118" spans="1:17">
      <c r="B118">
        <v>113</v>
      </c>
      <c r="D118" t="s">
        <v>18</v>
      </c>
      <c r="E118" t="s">
        <v>4</v>
      </c>
      <c r="F118" s="8">
        <v>5.91E-5</v>
      </c>
      <c r="G118" s="8">
        <v>2.09E-5</v>
      </c>
      <c r="N118" s="427"/>
      <c r="O118" s="427"/>
      <c r="P118" s="427"/>
      <c r="Q118" s="427"/>
    </row>
    <row r="119" spans="1:17">
      <c r="B119">
        <v>114</v>
      </c>
      <c r="D119" t="s">
        <v>18</v>
      </c>
      <c r="E119" t="s">
        <v>5</v>
      </c>
      <c r="F119" s="8">
        <v>8.0999999999999996E-4</v>
      </c>
      <c r="G119" s="8">
        <v>1.9100000000000001E-4</v>
      </c>
      <c r="N119" s="427"/>
      <c r="O119" s="427"/>
      <c r="P119" s="427"/>
      <c r="Q119" s="427"/>
    </row>
    <row r="120" spans="1:17">
      <c r="B120">
        <v>115</v>
      </c>
      <c r="D120" t="s">
        <v>21</v>
      </c>
      <c r="E120" t="s">
        <v>4</v>
      </c>
      <c r="F120" s="8">
        <v>1.91E-3</v>
      </c>
      <c r="G120">
        <v>0.01</v>
      </c>
      <c r="N120" s="427"/>
      <c r="O120" s="427"/>
      <c r="P120" s="427"/>
      <c r="Q120" s="427"/>
    </row>
    <row r="121" spans="1:17">
      <c r="B121">
        <v>116</v>
      </c>
      <c r="D121" t="s">
        <v>21</v>
      </c>
      <c r="E121" t="s">
        <v>5</v>
      </c>
      <c r="F121">
        <v>0.04</v>
      </c>
      <c r="G121">
        <v>0.01</v>
      </c>
      <c r="N121" s="427"/>
      <c r="O121" s="427"/>
      <c r="P121" s="427"/>
      <c r="Q121" s="427"/>
    </row>
    <row r="122" spans="1:17">
      <c r="B122">
        <v>117</v>
      </c>
      <c r="D122" t="s">
        <v>22</v>
      </c>
      <c r="E122" t="s">
        <v>4</v>
      </c>
      <c r="F122" s="8">
        <v>1.74E-4</v>
      </c>
      <c r="N122" s="427"/>
      <c r="O122" s="427"/>
      <c r="P122" s="427"/>
      <c r="Q122" s="427"/>
    </row>
    <row r="123" spans="1:17">
      <c r="B123">
        <v>118</v>
      </c>
      <c r="D123" t="s">
        <v>22</v>
      </c>
      <c r="E123" t="s">
        <v>5</v>
      </c>
      <c r="F123" s="8">
        <v>2.33E-4</v>
      </c>
      <c r="N123" s="427"/>
      <c r="O123" s="427"/>
      <c r="P123" s="427"/>
      <c r="Q123" s="427"/>
    </row>
    <row r="124" spans="1:17">
      <c r="B124">
        <v>119</v>
      </c>
      <c r="D124" t="s">
        <v>20</v>
      </c>
      <c r="E124" t="s">
        <v>4</v>
      </c>
      <c r="F124">
        <v>0.11</v>
      </c>
      <c r="N124" s="427"/>
      <c r="O124" s="427"/>
      <c r="P124" s="427"/>
      <c r="Q124" s="427"/>
    </row>
    <row r="125" spans="1:17">
      <c r="B125">
        <v>120</v>
      </c>
      <c r="D125" t="s">
        <v>20</v>
      </c>
      <c r="E125" t="s">
        <v>5</v>
      </c>
      <c r="F125">
        <v>0.22</v>
      </c>
      <c r="N125" s="427"/>
      <c r="O125" s="427"/>
      <c r="P125" s="427"/>
      <c r="Q125" s="427"/>
    </row>
    <row r="126" spans="1:17">
      <c r="B126">
        <v>121</v>
      </c>
      <c r="D126" t="s">
        <v>35</v>
      </c>
      <c r="E126" t="s">
        <v>4</v>
      </c>
      <c r="F126" s="8">
        <v>2.4399999999999999E-3</v>
      </c>
      <c r="N126" s="427"/>
      <c r="O126" s="427"/>
      <c r="P126" s="427"/>
      <c r="Q126" s="427"/>
    </row>
    <row r="127" spans="1:17">
      <c r="B127">
        <v>122</v>
      </c>
      <c r="D127" t="s">
        <v>35</v>
      </c>
      <c r="E127" t="s">
        <v>5</v>
      </c>
      <c r="F127" s="8">
        <v>5.8699999999999996E-4</v>
      </c>
      <c r="N127" s="427"/>
      <c r="O127" s="427"/>
      <c r="P127" s="427"/>
      <c r="Q127" s="427"/>
    </row>
    <row r="128" spans="1:17">
      <c r="B128">
        <v>123</v>
      </c>
      <c r="D128" t="s">
        <v>32</v>
      </c>
      <c r="E128" t="s">
        <v>4</v>
      </c>
      <c r="F128">
        <v>0.01</v>
      </c>
      <c r="N128" s="427"/>
      <c r="O128" s="427"/>
      <c r="P128" s="427"/>
      <c r="Q128" s="427"/>
    </row>
    <row r="129" spans="2:17">
      <c r="B129">
        <v>124</v>
      </c>
      <c r="D129" t="s">
        <v>32</v>
      </c>
      <c r="E129" t="s">
        <v>5</v>
      </c>
      <c r="F129" s="8">
        <v>2.1000000000000001E-4</v>
      </c>
      <c r="N129" s="427"/>
      <c r="O129" s="427"/>
      <c r="P129" s="427"/>
      <c r="Q129" s="427"/>
    </row>
    <row r="130" spans="2:17">
      <c r="B130">
        <v>125</v>
      </c>
      <c r="D130" t="s">
        <v>34</v>
      </c>
      <c r="E130" t="s">
        <v>4</v>
      </c>
      <c r="F130" s="8">
        <v>2.5999999999999998E-5</v>
      </c>
      <c r="N130" s="427"/>
      <c r="O130" s="427"/>
      <c r="P130" s="427"/>
      <c r="Q130" s="427"/>
    </row>
    <row r="131" spans="2:17">
      <c r="B131">
        <v>126</v>
      </c>
      <c r="D131" t="s">
        <v>34</v>
      </c>
      <c r="E131" t="s">
        <v>5</v>
      </c>
      <c r="F131" s="8">
        <v>2.5399999999999999E-4</v>
      </c>
      <c r="N131" s="427"/>
      <c r="O131" s="427"/>
      <c r="P131" s="427"/>
      <c r="Q131" s="427"/>
    </row>
    <row r="132" spans="2:17">
      <c r="B132">
        <v>127</v>
      </c>
      <c r="D132" t="s">
        <v>30</v>
      </c>
      <c r="E132" t="s">
        <v>4</v>
      </c>
      <c r="F132" s="8">
        <v>1.2300000000000001E-4</v>
      </c>
      <c r="N132" s="427"/>
      <c r="O132" s="427"/>
      <c r="P132" s="427"/>
      <c r="Q132" s="427"/>
    </row>
    <row r="133" spans="2:17">
      <c r="B133">
        <v>128</v>
      </c>
      <c r="D133" t="s">
        <v>30</v>
      </c>
      <c r="E133" t="s">
        <v>5</v>
      </c>
      <c r="F133" s="8">
        <v>6.0099999999999997E-4</v>
      </c>
      <c r="G133" s="8"/>
      <c r="N133" s="427"/>
      <c r="O133" s="427"/>
      <c r="P133" s="427"/>
      <c r="Q133" s="427"/>
    </row>
    <row r="134" spans="2:17">
      <c r="B134">
        <v>129</v>
      </c>
      <c r="D134" t="s">
        <v>36</v>
      </c>
      <c r="E134" t="s">
        <v>4</v>
      </c>
      <c r="F134" s="8">
        <v>3.7200000000000003E-5</v>
      </c>
      <c r="G134" s="8">
        <v>6.3200000000000005E-5</v>
      </c>
      <c r="N134" s="427"/>
      <c r="O134" s="427"/>
      <c r="P134" s="427"/>
      <c r="Q134" s="427"/>
    </row>
    <row r="135" spans="2:17">
      <c r="B135">
        <v>130</v>
      </c>
      <c r="D135" t="s">
        <v>36</v>
      </c>
      <c r="E135" t="s">
        <v>5</v>
      </c>
      <c r="F135" s="8">
        <v>1.04E-5</v>
      </c>
      <c r="G135" s="8">
        <v>7.6500000000000003E-5</v>
      </c>
      <c r="N135" s="427"/>
      <c r="O135" s="427"/>
      <c r="P135" s="427"/>
      <c r="Q135" s="427"/>
    </row>
    <row r="136" spans="2:17">
      <c r="B136">
        <v>131</v>
      </c>
      <c r="D136" t="s">
        <v>29</v>
      </c>
      <c r="E136" t="s">
        <v>4</v>
      </c>
      <c r="F136" s="8">
        <v>6.3200000000000005E-5</v>
      </c>
      <c r="N136" s="427"/>
      <c r="O136" s="427"/>
      <c r="P136" s="427"/>
      <c r="Q136" s="427"/>
    </row>
    <row r="137" spans="2:17">
      <c r="B137">
        <v>132</v>
      </c>
      <c r="D137" t="s">
        <v>29</v>
      </c>
      <c r="E137" t="s">
        <v>5</v>
      </c>
      <c r="F137">
        <v>0.02</v>
      </c>
      <c r="G137">
        <v>0.01</v>
      </c>
      <c r="N137" s="427"/>
      <c r="O137" s="427"/>
      <c r="P137" s="427"/>
      <c r="Q137" s="427"/>
    </row>
    <row r="140" spans="2:17">
      <c r="F140" t="s">
        <v>37</v>
      </c>
    </row>
  </sheetData>
  <mergeCells count="6">
    <mergeCell ref="F1:J1"/>
    <mergeCell ref="F2:J2"/>
    <mergeCell ref="A13:J13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1CDA-63A5-42CC-8E28-1B1D03992A1A}">
  <dimension ref="A1:BA265"/>
  <sheetViews>
    <sheetView topLeftCell="A70" zoomScaleNormal="100" workbookViewId="0">
      <selection activeCell="M57" sqref="M57"/>
    </sheetView>
  </sheetViews>
  <sheetFormatPr defaultColWidth="9" defaultRowHeight="15.75"/>
  <cols>
    <col min="3" max="3" width="9" style="310"/>
    <col min="4" max="4" width="9" style="15"/>
    <col min="5" max="5" width="16.28515625" style="46" customWidth="1"/>
    <col min="6" max="6" width="9" style="19"/>
    <col min="7" max="7" width="12.7109375" style="38" customWidth="1"/>
    <col min="8" max="8" width="18.42578125" style="23" customWidth="1"/>
    <col min="9" max="9" width="20.42578125" style="23" customWidth="1"/>
    <col min="10" max="10" width="11.7109375" style="43" customWidth="1"/>
    <col min="11" max="11" width="9" style="23"/>
    <col min="12" max="12" width="10.140625" style="23" bestFit="1" customWidth="1"/>
    <col min="13" max="13" width="12.42578125" style="23" customWidth="1"/>
    <col min="14" max="14" width="13.42578125" style="19" customWidth="1"/>
    <col min="15" max="15" width="10.28515625" style="50" bestFit="1" customWidth="1"/>
    <col min="17" max="17" width="11.85546875" customWidth="1"/>
    <col min="18" max="18" width="12.85546875" customWidth="1"/>
    <col min="21" max="21" width="11" customWidth="1"/>
    <col min="25" max="25" width="13.5703125" customWidth="1"/>
    <col min="28" max="28" width="9" style="15"/>
    <col min="31" max="31" width="12" customWidth="1"/>
    <col min="35" max="35" width="11" customWidth="1"/>
  </cols>
  <sheetData>
    <row r="1" spans="1:36">
      <c r="C1" s="53" t="s">
        <v>97</v>
      </c>
      <c r="E1" s="45" t="s">
        <v>50</v>
      </c>
      <c r="X1" s="15"/>
    </row>
    <row r="2" spans="1:36">
      <c r="C2" s="54" t="s">
        <v>98</v>
      </c>
      <c r="X2" s="15"/>
    </row>
    <row r="3" spans="1:36">
      <c r="C3" s="54" t="s">
        <v>102</v>
      </c>
      <c r="X3" s="15"/>
    </row>
    <row r="4" spans="1:36">
      <c r="Q4" s="15"/>
      <c r="R4" s="15"/>
      <c r="S4" s="15"/>
      <c r="X4" s="15"/>
    </row>
    <row r="5" spans="1:36">
      <c r="Q5" s="316" t="s">
        <v>100</v>
      </c>
      <c r="R5" s="317"/>
      <c r="S5" s="317"/>
      <c r="T5" s="50"/>
      <c r="U5" s="318" t="s">
        <v>104</v>
      </c>
      <c r="V5" s="319"/>
      <c r="W5" s="320"/>
      <c r="X5" s="15"/>
      <c r="Y5" s="317" t="s">
        <v>63</v>
      </c>
      <c r="Z5" s="317"/>
      <c r="AA5" s="317"/>
      <c r="AB5" s="52"/>
      <c r="AD5" s="50" t="s">
        <v>99</v>
      </c>
      <c r="AH5" s="321" t="s">
        <v>100</v>
      </c>
      <c r="AI5" s="322" t="s">
        <v>51</v>
      </c>
    </row>
    <row r="6" spans="1:36" ht="47.25">
      <c r="C6" s="309"/>
      <c r="D6" s="36"/>
      <c r="E6" s="47" t="s">
        <v>100</v>
      </c>
      <c r="F6" s="37"/>
      <c r="G6" s="39"/>
      <c r="H6" s="224" t="s">
        <v>778</v>
      </c>
      <c r="I6" s="224" t="s">
        <v>779</v>
      </c>
      <c r="J6" s="225" t="s">
        <v>780</v>
      </c>
      <c r="K6" s="225" t="s">
        <v>780</v>
      </c>
      <c r="L6" s="830" t="s">
        <v>132</v>
      </c>
      <c r="M6" s="830"/>
      <c r="N6" s="830"/>
      <c r="Q6" s="323" t="s">
        <v>0</v>
      </c>
      <c r="R6" s="324" t="s">
        <v>38</v>
      </c>
      <c r="S6" s="325" t="s">
        <v>44</v>
      </c>
      <c r="T6" s="50"/>
      <c r="U6" s="326" t="s">
        <v>0</v>
      </c>
      <c r="V6" s="327" t="s">
        <v>38</v>
      </c>
      <c r="W6" s="328" t="s">
        <v>44</v>
      </c>
      <c r="X6" s="156"/>
      <c r="Y6" s="323" t="s">
        <v>0</v>
      </c>
      <c r="Z6" s="324" t="s">
        <v>38</v>
      </c>
      <c r="AA6" s="325" t="s">
        <v>44</v>
      </c>
      <c r="AB6" s="329"/>
      <c r="AD6" s="321"/>
      <c r="AE6" s="822" t="s">
        <v>872</v>
      </c>
      <c r="AF6" s="823"/>
      <c r="AG6" s="321"/>
      <c r="AH6" s="330" t="s">
        <v>873</v>
      </c>
      <c r="AI6" s="831" t="s">
        <v>874</v>
      </c>
      <c r="AJ6" s="824"/>
    </row>
    <row r="7" spans="1:36" ht="31.5">
      <c r="A7" s="3"/>
      <c r="C7" s="331" t="s">
        <v>101</v>
      </c>
      <c r="D7" s="16"/>
      <c r="E7" s="26" t="s">
        <v>0</v>
      </c>
      <c r="F7" s="20" t="s">
        <v>38</v>
      </c>
      <c r="G7" s="40" t="s">
        <v>108</v>
      </c>
      <c r="H7" s="24"/>
      <c r="I7" s="24"/>
      <c r="J7" s="24" t="s">
        <v>1021</v>
      </c>
      <c r="K7" s="24" t="s">
        <v>1022</v>
      </c>
      <c r="L7" s="226" t="s">
        <v>42</v>
      </c>
      <c r="M7" s="226" t="s">
        <v>43</v>
      </c>
      <c r="N7" s="227" t="s">
        <v>44</v>
      </c>
      <c r="O7" s="50" t="s">
        <v>107</v>
      </c>
      <c r="Q7" s="332" t="str">
        <f>E18</f>
        <v>HT2#7</v>
      </c>
      <c r="R7" s="333" t="str">
        <f>F18</f>
        <v>0-5cm</v>
      </c>
      <c r="S7" s="554">
        <f>N18</f>
        <v>54.416961130741527</v>
      </c>
      <c r="T7" s="50"/>
      <c r="U7" s="334" t="str">
        <f>E22</f>
        <v>HT8#6</v>
      </c>
      <c r="V7" s="334" t="str">
        <f>F22</f>
        <v>0-5cm</v>
      </c>
      <c r="W7" s="335">
        <f>N22</f>
        <v>58.383233532934227</v>
      </c>
      <c r="X7" s="329"/>
      <c r="Y7" s="317" t="str">
        <f>E114</f>
        <v>GH#10</v>
      </c>
      <c r="Z7" s="317" t="str">
        <f>F114</f>
        <v>0-5cm</v>
      </c>
      <c r="AA7" s="336">
        <f>N114</f>
        <v>79.310344827586334</v>
      </c>
      <c r="AB7" s="329"/>
      <c r="AD7" s="353"/>
      <c r="AE7" s="359" t="s">
        <v>31</v>
      </c>
      <c r="AF7" s="441" t="s">
        <v>15</v>
      </c>
      <c r="AG7" s="441"/>
      <c r="AH7" s="359" t="s">
        <v>28</v>
      </c>
      <c r="AI7" s="339" t="s">
        <v>15</v>
      </c>
      <c r="AJ7" s="340" t="s">
        <v>28</v>
      </c>
    </row>
    <row r="8" spans="1:36">
      <c r="A8" s="3"/>
      <c r="B8" s="1"/>
      <c r="C8" s="11">
        <v>0.25</v>
      </c>
      <c r="D8" s="17">
        <v>1</v>
      </c>
      <c r="E8" s="341" t="s">
        <v>52</v>
      </c>
      <c r="F8" s="342" t="s">
        <v>5</v>
      </c>
      <c r="G8" s="41">
        <v>4.07</v>
      </c>
      <c r="H8" s="21">
        <v>190.98</v>
      </c>
      <c r="I8" s="21">
        <v>188.95</v>
      </c>
      <c r="J8" s="21">
        <v>188.65</v>
      </c>
      <c r="K8" s="21">
        <v>187.62</v>
      </c>
      <c r="L8" s="228">
        <f>H8-J8</f>
        <v>2.3299999999999841</v>
      </c>
      <c r="M8" s="228">
        <f>I8-K8</f>
        <v>1.3299999999999841</v>
      </c>
      <c r="N8" s="343">
        <f>M8*100/(L8+M8)</f>
        <v>36.338797814207531</v>
      </c>
      <c r="O8" s="51">
        <v>44214</v>
      </c>
      <c r="Q8" s="332" t="str">
        <f t="shared" ref="Q8:R9" si="0">E8</f>
        <v>HT2#7</v>
      </c>
      <c r="R8" s="333" t="str">
        <f t="shared" si="0"/>
        <v>5-10cm</v>
      </c>
      <c r="S8" s="554">
        <f t="shared" ref="S8:S9" si="1">N8</f>
        <v>36.338797814207531</v>
      </c>
      <c r="T8" s="50"/>
      <c r="U8" s="334" t="str">
        <f t="shared" ref="U8:V9" si="2">E23</f>
        <v>HT8#6</v>
      </c>
      <c r="V8" s="334" t="str">
        <f t="shared" si="2"/>
        <v>5-10cm</v>
      </c>
      <c r="W8" s="335">
        <f t="shared" ref="W8:W9" si="3">N23</f>
        <v>47.569444444444677</v>
      </c>
      <c r="X8" s="329"/>
      <c r="Y8" s="317"/>
      <c r="Z8" s="317"/>
      <c r="AA8" s="336"/>
      <c r="AB8" s="329"/>
      <c r="AD8" s="362" t="s">
        <v>4</v>
      </c>
      <c r="AE8" s="363">
        <f>AVERAGE(S7,S10,S13,S16,S19,S22,S25,S28,S31)</f>
        <v>32.487695508283679</v>
      </c>
      <c r="AF8" s="363">
        <f>AVERAGE(S35,S38,S41,S44,S47,S50,S53,S56,S59,S62,S65)</f>
        <v>38.593834912270999</v>
      </c>
      <c r="AG8" s="363"/>
      <c r="AH8" s="442">
        <f>AVERAGE(S69,S74,S79,S84,S89,S94)</f>
        <v>67.607251701427558</v>
      </c>
      <c r="AI8" s="344">
        <f>AVERAGE(AE8:AF8)</f>
        <v>35.540765210277343</v>
      </c>
      <c r="AJ8" s="344">
        <f>AH8</f>
        <v>67.607251701427558</v>
      </c>
    </row>
    <row r="9" spans="1:36">
      <c r="A9" s="3"/>
      <c r="B9" s="1"/>
      <c r="C9" s="11">
        <v>0.25</v>
      </c>
      <c r="D9" s="17">
        <v>2</v>
      </c>
      <c r="E9" s="341" t="s">
        <v>52</v>
      </c>
      <c r="F9" s="345" t="s">
        <v>45</v>
      </c>
      <c r="G9" s="41">
        <v>4.01</v>
      </c>
      <c r="H9" s="21">
        <v>189.78</v>
      </c>
      <c r="I9" s="21">
        <v>189.12</v>
      </c>
      <c r="J9" s="21">
        <v>187.58</v>
      </c>
      <c r="K9" s="21">
        <v>187.51</v>
      </c>
      <c r="L9" s="228">
        <f t="shared" ref="L9:M35" si="4">H9-J9</f>
        <v>2.1999999999999886</v>
      </c>
      <c r="M9" s="228">
        <f t="shared" si="4"/>
        <v>1.6100000000000136</v>
      </c>
      <c r="N9" s="343">
        <f>M9*100/(L9+M9)</f>
        <v>42.257217847769361</v>
      </c>
      <c r="O9" s="51">
        <v>44214</v>
      </c>
      <c r="Q9" s="332" t="str">
        <f t="shared" si="0"/>
        <v>HT2#7</v>
      </c>
      <c r="R9" s="332" t="str">
        <f t="shared" si="0"/>
        <v>10-15cm</v>
      </c>
      <c r="S9" s="554">
        <f t="shared" si="1"/>
        <v>42.257217847769361</v>
      </c>
      <c r="T9" s="50"/>
      <c r="U9" s="334" t="str">
        <f t="shared" si="2"/>
        <v>HT8#6</v>
      </c>
      <c r="V9" s="334" t="str">
        <f t="shared" si="2"/>
        <v>10-15cm</v>
      </c>
      <c r="W9" s="335">
        <f t="shared" si="3"/>
        <v>68.797953964194377</v>
      </c>
      <c r="X9" s="346"/>
      <c r="Y9" s="317" t="str">
        <f>E115</f>
        <v>GH#10</v>
      </c>
      <c r="Z9" s="317" t="str">
        <f>F115</f>
        <v>10-15cm</v>
      </c>
      <c r="AA9" s="336">
        <f>N115</f>
        <v>66.005665722379661</v>
      </c>
      <c r="AB9" s="329"/>
      <c r="AD9" s="366" t="s">
        <v>5</v>
      </c>
      <c r="AE9" s="363">
        <f t="shared" ref="AE9" si="5">AVERAGE(S8,S11,S14,S17,S20,S23,S26,S29,S32)</f>
        <v>40.556898657367952</v>
      </c>
      <c r="AF9" s="363">
        <f t="shared" ref="AF9:AF10" si="6">AVERAGE(S36,S39,S42,S45,S48,S51,S54,S57,S60,S63,S66)</f>
        <v>42.191251448527204</v>
      </c>
      <c r="AG9" s="363"/>
      <c r="AH9" s="442">
        <f t="shared" ref="AH9:AH12" si="7">AVERAGE(S70,S75,S80,S85,S90,S95)</f>
        <v>64.372737929931489</v>
      </c>
      <c r="AI9" s="344">
        <f>AVERAGE(AE9:AF9)</f>
        <v>41.374075052947575</v>
      </c>
      <c r="AJ9" s="344">
        <f t="shared" ref="AJ9:AJ12" si="8">AH9</f>
        <v>64.372737929931489</v>
      </c>
    </row>
    <row r="10" spans="1:36">
      <c r="A10" s="3"/>
      <c r="B10" s="1"/>
      <c r="C10" s="11">
        <v>0.25</v>
      </c>
      <c r="D10" s="17">
        <v>3</v>
      </c>
      <c r="E10" s="341" t="s">
        <v>10</v>
      </c>
      <c r="F10" s="345" t="s">
        <v>4</v>
      </c>
      <c r="G10" s="41">
        <v>4.0599999999999996</v>
      </c>
      <c r="H10" s="21">
        <v>188.66</v>
      </c>
      <c r="I10" s="21">
        <v>190.69</v>
      </c>
      <c r="J10" s="21">
        <v>187.35</v>
      </c>
      <c r="K10" s="21">
        <v>188.74</v>
      </c>
      <c r="L10" s="228">
        <f t="shared" si="4"/>
        <v>1.3100000000000023</v>
      </c>
      <c r="M10" s="228">
        <f t="shared" si="4"/>
        <v>1.9499999999999886</v>
      </c>
      <c r="N10" s="343">
        <f t="shared" ref="N10:N35" si="9">M10*100/(L10+M10)</f>
        <v>59.815950920245214</v>
      </c>
      <c r="O10" s="51">
        <v>44214</v>
      </c>
      <c r="Q10" s="332" t="str">
        <f t="shared" ref="Q10:R12" si="10">E19</f>
        <v>HT2#6</v>
      </c>
      <c r="R10" s="332" t="str">
        <f t="shared" si="10"/>
        <v>0-5cm</v>
      </c>
      <c r="S10" s="554">
        <f>N19</f>
        <v>70.437956204379276</v>
      </c>
      <c r="T10" s="50"/>
      <c r="U10" s="347" t="str">
        <f t="shared" ref="U10:V12" si="11">E201</f>
        <v>HT8 R3#4</v>
      </c>
      <c r="V10" s="347" t="str">
        <f t="shared" si="11"/>
        <v>0-5cm</v>
      </c>
      <c r="W10" s="348">
        <f>N201</f>
        <v>59.259259259261015</v>
      </c>
      <c r="X10" s="346"/>
      <c r="Y10" s="317" t="str">
        <f t="shared" ref="Y10:Z17" si="12">E128</f>
        <v>GH#5</v>
      </c>
      <c r="Z10" s="317" t="str">
        <f t="shared" si="12"/>
        <v>0-5cm</v>
      </c>
      <c r="AA10" s="336">
        <f t="shared" ref="AA10:AA17" si="13">N128</f>
        <v>84.385382059800662</v>
      </c>
      <c r="AB10" s="329"/>
      <c r="AD10" s="366" t="s">
        <v>45</v>
      </c>
      <c r="AE10" s="363">
        <f>AVERAGE(S9,S12,S15,S18,S21,S24,S27,S30,S33)</f>
        <v>41.758691403595904</v>
      </c>
      <c r="AF10" s="363">
        <f t="shared" si="6"/>
        <v>43.882270174155103</v>
      </c>
      <c r="AG10" s="363"/>
      <c r="AH10" s="442">
        <f t="shared" si="7"/>
        <v>61.801245190611638</v>
      </c>
      <c r="AI10" s="344">
        <f>AVERAGE(AE10:AF10)</f>
        <v>42.8204807888755</v>
      </c>
      <c r="AJ10" s="344">
        <f t="shared" si="8"/>
        <v>61.801245190611638</v>
      </c>
    </row>
    <row r="11" spans="1:36">
      <c r="A11" s="3"/>
      <c r="B11" s="1"/>
      <c r="C11" s="11">
        <v>0.25</v>
      </c>
      <c r="D11" s="17">
        <v>4</v>
      </c>
      <c r="E11" s="341" t="s">
        <v>10</v>
      </c>
      <c r="F11" s="342" t="s">
        <v>5</v>
      </c>
      <c r="G11" s="41">
        <v>3.99</v>
      </c>
      <c r="H11" s="21">
        <v>188.89</v>
      </c>
      <c r="I11" s="21">
        <v>190.82</v>
      </c>
      <c r="J11" s="21">
        <v>187.5</v>
      </c>
      <c r="K11" s="21">
        <v>188.82</v>
      </c>
      <c r="L11" s="228">
        <f t="shared" si="4"/>
        <v>1.3899999999999864</v>
      </c>
      <c r="M11" s="228">
        <f t="shared" si="4"/>
        <v>2</v>
      </c>
      <c r="N11" s="343">
        <f t="shared" si="9"/>
        <v>58.997050147492864</v>
      </c>
      <c r="O11" s="51">
        <v>44214</v>
      </c>
      <c r="Q11" s="332" t="str">
        <f t="shared" si="10"/>
        <v>HT2#6</v>
      </c>
      <c r="R11" s="332" t="str">
        <f t="shared" si="10"/>
        <v>5-10cm</v>
      </c>
      <c r="S11" s="554">
        <f>N20</f>
        <v>60.641399416909536</v>
      </c>
      <c r="T11" s="50"/>
      <c r="U11" s="347" t="str">
        <f t="shared" si="11"/>
        <v>HT8 R3#4</v>
      </c>
      <c r="V11" s="347" t="str">
        <f t="shared" si="11"/>
        <v>5-10cm</v>
      </c>
      <c r="W11" s="348">
        <f>N202</f>
        <v>86.315789473681946</v>
      </c>
      <c r="X11" s="346"/>
      <c r="Y11" s="317" t="str">
        <f t="shared" si="12"/>
        <v>GH#5</v>
      </c>
      <c r="Z11" s="317" t="str">
        <f t="shared" si="12"/>
        <v>5-10cm</v>
      </c>
      <c r="AA11" s="336">
        <f t="shared" si="13"/>
        <v>87.390029325512984</v>
      </c>
      <c r="AB11" s="329"/>
      <c r="AD11" s="362" t="s">
        <v>53</v>
      </c>
      <c r="AE11" s="359"/>
      <c r="AF11" s="363"/>
      <c r="AG11" s="363"/>
      <c r="AH11" s="442">
        <f t="shared" si="7"/>
        <v>60.973659705588055</v>
      </c>
      <c r="AI11" s="339"/>
      <c r="AJ11" s="344">
        <f t="shared" si="8"/>
        <v>60.973659705588055</v>
      </c>
    </row>
    <row r="12" spans="1:36">
      <c r="A12" s="3"/>
      <c r="B12" s="1"/>
      <c r="C12" s="11">
        <v>0.25</v>
      </c>
      <c r="D12" s="17">
        <v>5</v>
      </c>
      <c r="E12" s="341" t="s">
        <v>10</v>
      </c>
      <c r="F12" s="342" t="s">
        <v>45</v>
      </c>
      <c r="G12" s="41">
        <v>4.16</v>
      </c>
      <c r="H12" s="21">
        <v>189.26</v>
      </c>
      <c r="I12" s="21">
        <v>190.57</v>
      </c>
      <c r="J12" s="21">
        <v>187.93</v>
      </c>
      <c r="K12" s="21">
        <v>188.28</v>
      </c>
      <c r="L12" s="228">
        <f t="shared" si="4"/>
        <v>1.3299999999999841</v>
      </c>
      <c r="M12" s="228">
        <f t="shared" si="4"/>
        <v>2.289999999999992</v>
      </c>
      <c r="N12" s="343">
        <f t="shared" si="9"/>
        <v>63.25966850828749</v>
      </c>
      <c r="O12" s="51">
        <v>44214</v>
      </c>
      <c r="Q12" s="332" t="str">
        <f t="shared" si="10"/>
        <v>HT2#6</v>
      </c>
      <c r="R12" s="332" t="str">
        <f t="shared" si="10"/>
        <v>10-15cm</v>
      </c>
      <c r="S12" s="554">
        <f>N21</f>
        <v>58.550724637680823</v>
      </c>
      <c r="T12" s="50"/>
      <c r="U12" s="347" t="str">
        <f t="shared" si="11"/>
        <v>HT8 R3#4</v>
      </c>
      <c r="V12" s="347" t="str">
        <f t="shared" si="11"/>
        <v>10-15cm</v>
      </c>
      <c r="W12" s="348">
        <f>N203</f>
        <v>27.777777777778752</v>
      </c>
      <c r="X12" s="346"/>
      <c r="Y12" s="317" t="str">
        <f t="shared" si="12"/>
        <v>GH#5</v>
      </c>
      <c r="Z12" s="317" t="str">
        <f t="shared" si="12"/>
        <v>10-15cm</v>
      </c>
      <c r="AA12" s="336">
        <f t="shared" si="13"/>
        <v>68.545994065281874</v>
      </c>
      <c r="AB12" s="329"/>
      <c r="AD12" s="366" t="s">
        <v>792</v>
      </c>
      <c r="AE12" s="359"/>
      <c r="AF12" s="363"/>
      <c r="AG12" s="363"/>
      <c r="AH12" s="442">
        <f t="shared" si="7"/>
        <v>65.00134103805442</v>
      </c>
      <c r="AI12" s="339"/>
      <c r="AJ12" s="344">
        <f t="shared" si="8"/>
        <v>65.00134103805442</v>
      </c>
    </row>
    <row r="13" spans="1:36">
      <c r="A13" s="3"/>
      <c r="B13" s="1"/>
      <c r="C13" s="11">
        <v>0.25</v>
      </c>
      <c r="D13" s="17">
        <v>6</v>
      </c>
      <c r="E13" s="341" t="s">
        <v>39</v>
      </c>
      <c r="F13" s="345" t="s">
        <v>4</v>
      </c>
      <c r="G13" s="41">
        <v>4.08</v>
      </c>
      <c r="H13" s="21">
        <v>189.36</v>
      </c>
      <c r="I13" s="21">
        <v>190.32</v>
      </c>
      <c r="J13" s="21">
        <v>187.64</v>
      </c>
      <c r="K13" s="21">
        <v>188.85</v>
      </c>
      <c r="L13" s="228">
        <f t="shared" si="4"/>
        <v>1.7200000000000273</v>
      </c>
      <c r="M13" s="228">
        <f t="shared" si="4"/>
        <v>1.4699999999999989</v>
      </c>
      <c r="N13" s="343">
        <f t="shared" si="9"/>
        <v>46.081504702193946</v>
      </c>
      <c r="O13" s="51">
        <v>44214</v>
      </c>
      <c r="Q13" s="332" t="str">
        <f>E168</f>
        <v>HT2 R1#1</v>
      </c>
      <c r="R13" s="332" t="str">
        <f>F168</f>
        <v>0-5cm</v>
      </c>
      <c r="S13" s="554">
        <f>N168</f>
        <v>24.880382775119728</v>
      </c>
      <c r="T13" s="50"/>
      <c r="U13" s="334" t="str">
        <f t="shared" ref="U13:V15" si="14">E218</f>
        <v>HT8 R2#2</v>
      </c>
      <c r="V13" s="334" t="str">
        <f t="shared" si="14"/>
        <v>0-5cm</v>
      </c>
      <c r="W13" s="349">
        <f>N218</f>
        <v>39.823008849556679</v>
      </c>
      <c r="X13" s="346"/>
      <c r="Y13" s="317" t="str">
        <f t="shared" si="12"/>
        <v>GH#6</v>
      </c>
      <c r="Z13" s="317" t="str">
        <f t="shared" si="12"/>
        <v>0-5cm</v>
      </c>
      <c r="AA13" s="336">
        <f t="shared" si="13"/>
        <v>54.918032786885114</v>
      </c>
      <c r="AB13" s="329"/>
      <c r="AD13" s="321"/>
      <c r="AE13" s="338"/>
      <c r="AF13" s="338"/>
      <c r="AG13" s="338"/>
      <c r="AH13" s="74"/>
      <c r="AI13" s="321"/>
      <c r="AJ13" s="321"/>
    </row>
    <row r="14" spans="1:36">
      <c r="A14" s="3"/>
      <c r="B14" s="1"/>
      <c r="C14" s="11">
        <v>0.25</v>
      </c>
      <c r="D14" s="17">
        <v>7</v>
      </c>
      <c r="E14" s="341" t="s">
        <v>39</v>
      </c>
      <c r="F14" s="342" t="s">
        <v>5</v>
      </c>
      <c r="G14" s="41">
        <v>4.0199999999999996</v>
      </c>
      <c r="H14" s="21">
        <v>189.37</v>
      </c>
      <c r="I14" s="21">
        <v>189.4</v>
      </c>
      <c r="J14" s="21">
        <v>187.72</v>
      </c>
      <c r="K14" s="21">
        <v>187.8</v>
      </c>
      <c r="L14" s="228">
        <f t="shared" si="4"/>
        <v>1.6500000000000057</v>
      </c>
      <c r="M14" s="228">
        <f t="shared" si="4"/>
        <v>1.5999999999999943</v>
      </c>
      <c r="N14" s="343">
        <f t="shared" si="9"/>
        <v>49.230769230769056</v>
      </c>
      <c r="O14" s="51">
        <v>44214</v>
      </c>
      <c r="Q14" s="332" t="str">
        <f>E169</f>
        <v>HT2 R1#1</v>
      </c>
      <c r="R14" s="332" t="str">
        <f>F169</f>
        <v>5-10cm</v>
      </c>
      <c r="S14" s="554">
        <f>N169</f>
        <v>42.738589211618368</v>
      </c>
      <c r="T14" s="50"/>
      <c r="U14" s="334" t="str">
        <f t="shared" si="14"/>
        <v>HT8 R2#2</v>
      </c>
      <c r="V14" s="334" t="str">
        <f t="shared" si="14"/>
        <v>5-10cm</v>
      </c>
      <c r="W14" s="349">
        <f>N219</f>
        <v>46.451612903226241</v>
      </c>
      <c r="X14" s="346"/>
      <c r="Y14" s="317" t="str">
        <f t="shared" si="12"/>
        <v>GH#6</v>
      </c>
      <c r="Z14" s="317" t="str">
        <f t="shared" si="12"/>
        <v>5-10cm</v>
      </c>
      <c r="AA14" s="336">
        <f t="shared" si="13"/>
        <v>91.228070175438305</v>
      </c>
      <c r="AB14" s="329"/>
      <c r="AD14" s="337"/>
      <c r="AE14" s="337"/>
      <c r="AF14" s="337"/>
      <c r="AG14" s="337"/>
      <c r="AH14" s="321"/>
      <c r="AI14" s="321"/>
      <c r="AJ14" s="321"/>
    </row>
    <row r="15" spans="1:36">
      <c r="A15" s="3"/>
      <c r="B15" s="1"/>
      <c r="C15" s="11">
        <v>0.25</v>
      </c>
      <c r="D15" s="17">
        <v>8</v>
      </c>
      <c r="E15" s="341" t="s">
        <v>39</v>
      </c>
      <c r="F15" s="342" t="s">
        <v>45</v>
      </c>
      <c r="G15" s="41">
        <v>4.07</v>
      </c>
      <c r="H15" s="21">
        <v>190.52</v>
      </c>
      <c r="I15" s="21">
        <v>190.66</v>
      </c>
      <c r="J15" s="21">
        <v>188.74</v>
      </c>
      <c r="K15" s="21">
        <v>188.84</v>
      </c>
      <c r="L15" s="228">
        <f>H15-J15</f>
        <v>1.7800000000000011</v>
      </c>
      <c r="M15" s="228">
        <f t="shared" si="4"/>
        <v>1.8199999999999932</v>
      </c>
      <c r="N15" s="343">
        <f t="shared" si="9"/>
        <v>50.555555555555443</v>
      </c>
      <c r="O15" s="51">
        <v>44214</v>
      </c>
      <c r="Q15" s="350" t="str">
        <f>E261</f>
        <v>HT2 #1</v>
      </c>
      <c r="R15" s="350" t="str">
        <f>F261</f>
        <v>10-15cm</v>
      </c>
      <c r="S15" s="555">
        <f>N261</f>
        <v>38.721804511278286</v>
      </c>
      <c r="T15" s="50"/>
      <c r="U15" s="334" t="str">
        <f t="shared" si="14"/>
        <v>HT8 R2#2</v>
      </c>
      <c r="V15" s="334" t="str">
        <f t="shared" si="14"/>
        <v>10-15cm</v>
      </c>
      <c r="W15" s="349">
        <f>N220</f>
        <v>39.428571428571296</v>
      </c>
      <c r="X15" s="346"/>
      <c r="Y15" s="317" t="str">
        <f t="shared" si="12"/>
        <v>GH#6</v>
      </c>
      <c r="Z15" s="317" t="str">
        <f t="shared" si="12"/>
        <v>10-15cm</v>
      </c>
      <c r="AA15" s="336">
        <f t="shared" si="13"/>
        <v>86.494252873563212</v>
      </c>
      <c r="AB15" s="329"/>
      <c r="AD15" s="337"/>
      <c r="AE15" s="337"/>
      <c r="AF15" s="337"/>
      <c r="AG15" s="337"/>
      <c r="AH15" s="321"/>
      <c r="AI15" s="321"/>
      <c r="AJ15" s="321"/>
    </row>
    <row r="16" spans="1:36">
      <c r="A16" s="3"/>
      <c r="B16" s="1"/>
      <c r="C16" s="29"/>
      <c r="D16" s="35"/>
      <c r="E16" s="31"/>
      <c r="F16" s="30"/>
      <c r="G16" s="41"/>
      <c r="H16" s="31"/>
      <c r="I16" s="31"/>
      <c r="J16" s="31"/>
      <c r="K16" s="31"/>
      <c r="L16" s="31"/>
      <c r="M16" s="31"/>
      <c r="N16" s="32"/>
      <c r="Q16" s="332" t="str">
        <f t="shared" ref="Q16:R21" si="15">E170</f>
        <v>HT2 R5#11</v>
      </c>
      <c r="R16" s="332" t="str">
        <f t="shared" si="15"/>
        <v>0-5cm</v>
      </c>
      <c r="S16" s="554">
        <f t="shared" ref="S16:S21" si="16">N170</f>
        <v>26.696832579185578</v>
      </c>
      <c r="T16" s="50"/>
      <c r="U16" s="334" t="str">
        <f t="shared" ref="U16:V20" si="17">E91</f>
        <v>HT8#3</v>
      </c>
      <c r="V16" s="334" t="str">
        <f t="shared" si="17"/>
        <v>0-5cm</v>
      </c>
      <c r="W16" s="335">
        <f>N91</f>
        <v>47.252747252747412</v>
      </c>
      <c r="X16" s="346"/>
      <c r="Y16" s="317" t="str">
        <f t="shared" si="12"/>
        <v>GH#7</v>
      </c>
      <c r="Z16" s="317" t="str">
        <f t="shared" si="12"/>
        <v>0-5cm</v>
      </c>
      <c r="AA16" s="336">
        <f t="shared" si="13"/>
        <v>84.488448844883735</v>
      </c>
      <c r="AB16" s="329"/>
      <c r="AD16" s="337"/>
      <c r="AE16" s="337"/>
      <c r="AF16" s="337"/>
      <c r="AG16" s="337"/>
      <c r="AH16" s="321" t="s">
        <v>104</v>
      </c>
      <c r="AI16" s="352" t="s">
        <v>57</v>
      </c>
      <c r="AJ16" s="321"/>
    </row>
    <row r="17" spans="1:53" ht="31.5">
      <c r="A17" s="3"/>
      <c r="B17" s="1"/>
      <c r="C17" s="10"/>
      <c r="D17" s="18"/>
      <c r="E17" s="23" t="s">
        <v>106</v>
      </c>
      <c r="F17" s="22"/>
      <c r="G17" s="40" t="s">
        <v>108</v>
      </c>
      <c r="H17" s="224"/>
      <c r="I17" s="224"/>
      <c r="J17" s="24" t="s">
        <v>1023</v>
      </c>
      <c r="K17" s="44" t="s">
        <v>1024</v>
      </c>
      <c r="L17" s="226" t="s">
        <v>42</v>
      </c>
      <c r="M17" s="226" t="s">
        <v>43</v>
      </c>
      <c r="N17" s="227" t="s">
        <v>44</v>
      </c>
      <c r="O17" s="50" t="s">
        <v>107</v>
      </c>
      <c r="Q17" s="332" t="str">
        <f t="shared" si="15"/>
        <v>HT2 R5#11</v>
      </c>
      <c r="R17" s="332" t="str">
        <f t="shared" si="15"/>
        <v>5-10cm</v>
      </c>
      <c r="S17" s="554">
        <f t="shared" si="16"/>
        <v>36.764705882353084</v>
      </c>
      <c r="T17" s="50"/>
      <c r="U17" s="334" t="str">
        <f t="shared" si="17"/>
        <v>HT8#3</v>
      </c>
      <c r="V17" s="334" t="str">
        <f t="shared" si="17"/>
        <v>5-10cm</v>
      </c>
      <c r="W17" s="335">
        <f>N92</f>
        <v>69.496021220159079</v>
      </c>
      <c r="X17" s="346"/>
      <c r="Y17" s="317" t="str">
        <f t="shared" si="12"/>
        <v>GH#7</v>
      </c>
      <c r="Z17" s="317" t="str">
        <f t="shared" si="12"/>
        <v>5-10cm</v>
      </c>
      <c r="AA17" s="336">
        <f t="shared" si="13"/>
        <v>75.226586102719253</v>
      </c>
      <c r="AB17" s="329"/>
      <c r="AD17" s="353"/>
      <c r="AE17" s="354" t="s">
        <v>875</v>
      </c>
      <c r="AF17" s="818" t="s">
        <v>876</v>
      </c>
      <c r="AG17" s="819"/>
      <c r="AH17" s="330" t="s">
        <v>873</v>
      </c>
      <c r="AI17" s="820" t="s">
        <v>877</v>
      </c>
      <c r="AJ17" s="821"/>
    </row>
    <row r="18" spans="1:53">
      <c r="A18" s="3"/>
      <c r="B18" s="1"/>
      <c r="C18" s="10">
        <v>0.25</v>
      </c>
      <c r="D18" s="18">
        <v>1</v>
      </c>
      <c r="E18" s="355" t="s">
        <v>52</v>
      </c>
      <c r="F18" s="356" t="s">
        <v>4</v>
      </c>
      <c r="G18" s="41">
        <v>4.07</v>
      </c>
      <c r="H18" s="23">
        <v>191.52</v>
      </c>
      <c r="I18" s="23">
        <v>189.04</v>
      </c>
      <c r="J18" s="44">
        <v>190.23</v>
      </c>
      <c r="K18" s="44">
        <v>187.5</v>
      </c>
      <c r="L18" s="229">
        <f t="shared" si="4"/>
        <v>1.2900000000000205</v>
      </c>
      <c r="M18" s="229">
        <f t="shared" si="4"/>
        <v>1.539999999999992</v>
      </c>
      <c r="N18" s="357">
        <f t="shared" si="9"/>
        <v>54.416961130741527</v>
      </c>
      <c r="O18" s="51">
        <v>44215</v>
      </c>
      <c r="Q18" s="332" t="str">
        <f t="shared" si="15"/>
        <v>HT2 R5#11</v>
      </c>
      <c r="R18" s="332" t="str">
        <f t="shared" si="15"/>
        <v>10-15cm</v>
      </c>
      <c r="S18" s="554">
        <f t="shared" si="16"/>
        <v>41.269841269841251</v>
      </c>
      <c r="T18" s="50"/>
      <c r="U18" s="334" t="str">
        <f t="shared" si="17"/>
        <v>HT8#3</v>
      </c>
      <c r="V18" s="334" t="str">
        <f t="shared" si="17"/>
        <v>10-15cm</v>
      </c>
      <c r="W18" s="335">
        <f>N93</f>
        <v>68.090452261306197</v>
      </c>
      <c r="X18" s="346"/>
      <c r="Y18" s="317" t="str">
        <f>E138</f>
        <v>GH#7</v>
      </c>
      <c r="Z18" s="317" t="str">
        <f>F138</f>
        <v>10-15cm</v>
      </c>
      <c r="AA18" s="336">
        <f>N138</f>
        <v>63.037249283667435</v>
      </c>
      <c r="AB18" s="329"/>
      <c r="AD18" s="353"/>
      <c r="AE18" s="358" t="s">
        <v>26</v>
      </c>
      <c r="AF18" s="358" t="s">
        <v>24</v>
      </c>
      <c r="AG18" s="358" t="s">
        <v>17</v>
      </c>
      <c r="AH18" s="359" t="s">
        <v>56</v>
      </c>
      <c r="AI18" s="360" t="s">
        <v>15</v>
      </c>
      <c r="AJ18" s="360" t="s">
        <v>16</v>
      </c>
    </row>
    <row r="19" spans="1:53">
      <c r="A19" s="3"/>
      <c r="B19" s="1"/>
      <c r="C19" s="10">
        <v>0.25</v>
      </c>
      <c r="D19" s="18">
        <v>2</v>
      </c>
      <c r="E19" s="355" t="s">
        <v>58</v>
      </c>
      <c r="F19" s="361" t="s">
        <v>4</v>
      </c>
      <c r="G19" s="41">
        <v>4.01</v>
      </c>
      <c r="H19" s="23">
        <v>188.44</v>
      </c>
      <c r="I19" s="23">
        <v>189.51</v>
      </c>
      <c r="J19" s="23">
        <v>187.63</v>
      </c>
      <c r="K19" s="23">
        <v>187.58</v>
      </c>
      <c r="L19" s="229">
        <f t="shared" si="4"/>
        <v>0.81000000000000227</v>
      </c>
      <c r="M19" s="229">
        <f t="shared" si="4"/>
        <v>1.9299999999999784</v>
      </c>
      <c r="N19" s="357">
        <f t="shared" si="9"/>
        <v>70.437956204379276</v>
      </c>
      <c r="O19" s="51">
        <v>44215</v>
      </c>
      <c r="Q19" s="332" t="str">
        <f t="shared" si="15"/>
        <v>HT2 #10</v>
      </c>
      <c r="R19" s="332" t="str">
        <f t="shared" si="15"/>
        <v>0-5cm</v>
      </c>
      <c r="S19" s="554">
        <f t="shared" si="16"/>
        <v>18.243243243243711</v>
      </c>
      <c r="T19" s="50"/>
      <c r="U19" s="334" t="str">
        <f t="shared" si="17"/>
        <v>HT8#5</v>
      </c>
      <c r="V19" s="334" t="str">
        <f t="shared" si="17"/>
        <v>0-5cm</v>
      </c>
      <c r="W19" s="335">
        <f>N94</f>
        <v>72.555205047318367</v>
      </c>
      <c r="X19" s="50"/>
      <c r="Y19" s="317"/>
      <c r="Z19" s="317"/>
      <c r="AA19" s="336"/>
      <c r="AB19" s="329"/>
      <c r="AD19" s="362" t="s">
        <v>4</v>
      </c>
      <c r="AE19" s="363">
        <f>AVERAGE(W7,W10,W13,W16,W19)</f>
        <v>55.454690788363543</v>
      </c>
      <c r="AF19" s="363">
        <f>AVERAGE(W23,W26,W29,W32,W35)</f>
        <v>60.746853330704695</v>
      </c>
      <c r="AG19" s="363">
        <f>AVERAGE(W39,W42,W45,W48,W51)</f>
        <v>78.817852810305652</v>
      </c>
      <c r="AH19" s="364">
        <f>AVERAGE(W55,W58,W61,W64,W67,W70)</f>
        <v>66.434999881920703</v>
      </c>
      <c r="AI19" s="365">
        <f>AVERAGE(AE19:AG19)</f>
        <v>65.006465643124628</v>
      </c>
      <c r="AJ19" s="365">
        <f>AH19</f>
        <v>66.434999881920703</v>
      </c>
    </row>
    <row r="20" spans="1:53">
      <c r="A20" s="3"/>
      <c r="B20" s="1"/>
      <c r="C20" s="10">
        <v>0.25</v>
      </c>
      <c r="D20" s="18">
        <v>3</v>
      </c>
      <c r="E20" s="355" t="s">
        <v>58</v>
      </c>
      <c r="F20" s="356" t="s">
        <v>5</v>
      </c>
      <c r="G20" s="41">
        <v>4.03</v>
      </c>
      <c r="H20" s="23">
        <v>189.47</v>
      </c>
      <c r="I20" s="23">
        <v>192.35</v>
      </c>
      <c r="J20" s="23">
        <v>188.12</v>
      </c>
      <c r="K20" s="23">
        <v>190.27</v>
      </c>
      <c r="L20" s="229">
        <f t="shared" si="4"/>
        <v>1.3499999999999943</v>
      </c>
      <c r="M20" s="229">
        <f t="shared" si="4"/>
        <v>2.0799999999999841</v>
      </c>
      <c r="N20" s="357">
        <f t="shared" si="9"/>
        <v>60.641399416909536</v>
      </c>
      <c r="O20" s="51">
        <v>44215</v>
      </c>
      <c r="Q20" s="332" t="str">
        <f t="shared" si="15"/>
        <v>HT2 #10</v>
      </c>
      <c r="R20" s="332" t="str">
        <f t="shared" si="15"/>
        <v>5-10cm</v>
      </c>
      <c r="S20" s="554">
        <f t="shared" si="16"/>
        <v>57.854406130267549</v>
      </c>
      <c r="T20" s="50"/>
      <c r="U20" s="334" t="str">
        <f t="shared" si="17"/>
        <v>HT8#5</v>
      </c>
      <c r="V20" s="334" t="str">
        <f t="shared" si="17"/>
        <v>5-10cm</v>
      </c>
      <c r="W20" s="335">
        <f>N95</f>
        <v>68.80222841225617</v>
      </c>
      <c r="X20" s="50"/>
      <c r="Y20" s="317"/>
      <c r="Z20" s="317"/>
      <c r="AA20" s="336"/>
      <c r="AB20" s="329"/>
      <c r="AD20" s="366" t="s">
        <v>5</v>
      </c>
      <c r="AE20" s="363">
        <f>AVERAGE(W8,W11,W14,W17,W20)</f>
        <v>63.727019290753631</v>
      </c>
      <c r="AF20" s="363">
        <f t="shared" ref="AF20:AF21" si="18">AVERAGE(W24,W27,W30,W33,W36)</f>
        <v>50.221937285727734</v>
      </c>
      <c r="AG20" s="363">
        <f>AVERAGE(W40,W43,W46,W49,W52)</f>
        <v>81.475837983978437</v>
      </c>
      <c r="AH20" s="364">
        <f t="shared" ref="AH20" si="19">AVERAGE(W56,W59,W62,W65,W68,W71)</f>
        <v>75.857081429783562</v>
      </c>
      <c r="AI20" s="365">
        <f t="shared" ref="AI20:AI21" si="20">AVERAGE(AE20:AG20)</f>
        <v>65.141598186819934</v>
      </c>
      <c r="AJ20" s="365">
        <f t="shared" ref="AJ20:AJ21" si="21">AH20</f>
        <v>75.857081429783562</v>
      </c>
    </row>
    <row r="21" spans="1:53">
      <c r="A21" s="3"/>
      <c r="B21" s="1"/>
      <c r="C21" s="10">
        <v>0.25</v>
      </c>
      <c r="D21" s="18">
        <v>4</v>
      </c>
      <c r="E21" s="355" t="s">
        <v>58</v>
      </c>
      <c r="F21" s="356" t="s">
        <v>45</v>
      </c>
      <c r="G21" s="41">
        <v>4.04</v>
      </c>
      <c r="H21" s="23">
        <v>189.07</v>
      </c>
      <c r="I21" s="23">
        <v>191.7</v>
      </c>
      <c r="J21" s="23">
        <v>187.64</v>
      </c>
      <c r="K21" s="23">
        <v>189.68</v>
      </c>
      <c r="L21" s="229">
        <f t="shared" si="4"/>
        <v>1.4300000000000068</v>
      </c>
      <c r="M21" s="229">
        <f t="shared" si="4"/>
        <v>2.0199999999999818</v>
      </c>
      <c r="N21" s="357">
        <f t="shared" si="9"/>
        <v>58.550724637680823</v>
      </c>
      <c r="O21" s="51">
        <v>44215</v>
      </c>
      <c r="Q21" s="332" t="str">
        <f t="shared" si="15"/>
        <v>HT2 #10</v>
      </c>
      <c r="R21" s="332" t="str">
        <f t="shared" si="15"/>
        <v>10-15cm</v>
      </c>
      <c r="S21" s="554">
        <f t="shared" si="16"/>
        <v>38.222222222222051</v>
      </c>
      <c r="T21" s="50"/>
      <c r="U21" s="334" t="str">
        <f>E98</f>
        <v>HT8#5</v>
      </c>
      <c r="V21" s="367" t="str">
        <f>F98</f>
        <v>10-15cm</v>
      </c>
      <c r="W21" s="335">
        <f>N98</f>
        <v>66.120218579234958</v>
      </c>
      <c r="X21" s="50"/>
      <c r="Y21" s="317" t="str">
        <f t="shared" ref="Y21:Z28" si="22">E118</f>
        <v>HT#4</v>
      </c>
      <c r="Z21" s="317" t="str">
        <f t="shared" si="22"/>
        <v>0-5cm</v>
      </c>
      <c r="AA21" s="336">
        <f t="shared" ref="AA21:AA28" si="23">N118</f>
        <v>67.578124999999545</v>
      </c>
      <c r="AB21" s="329"/>
      <c r="AD21" s="366" t="s">
        <v>45</v>
      </c>
      <c r="AE21" s="363">
        <f t="shared" ref="AE21" si="24">AVERAGE(W9,W12,W15,W18,W21)</f>
        <v>54.042994802217116</v>
      </c>
      <c r="AF21" s="363">
        <f t="shared" si="18"/>
        <v>53.123441413083206</v>
      </c>
      <c r="AG21" s="363">
        <f>AVERAGE(W41,W44,W47,W50,W53)</f>
        <v>78.752037672239027</v>
      </c>
      <c r="AH21" s="364">
        <f>AVERAGE(W57,W60,W63,W66,W69,W72)</f>
        <v>63.218078502719756</v>
      </c>
      <c r="AI21" s="365">
        <f t="shared" si="20"/>
        <v>61.972824629179776</v>
      </c>
      <c r="AJ21" s="365">
        <f t="shared" si="21"/>
        <v>63.218078502719756</v>
      </c>
    </row>
    <row r="22" spans="1:53">
      <c r="A22" s="3"/>
      <c r="B22" s="1"/>
      <c r="C22" s="10">
        <v>0.25</v>
      </c>
      <c r="D22" s="18">
        <v>5</v>
      </c>
      <c r="E22" s="355" t="s">
        <v>59</v>
      </c>
      <c r="F22" s="361" t="s">
        <v>4</v>
      </c>
      <c r="G22" s="41">
        <v>4.0199999999999996</v>
      </c>
      <c r="H22" s="23">
        <v>189.63</v>
      </c>
      <c r="I22" s="23">
        <v>190.41</v>
      </c>
      <c r="J22" s="23">
        <v>188.24</v>
      </c>
      <c r="K22" s="23">
        <v>188.46</v>
      </c>
      <c r="L22" s="229">
        <f t="shared" si="4"/>
        <v>1.3899999999999864</v>
      </c>
      <c r="M22" s="229">
        <f t="shared" si="4"/>
        <v>1.9499999999999886</v>
      </c>
      <c r="N22" s="357">
        <f t="shared" si="9"/>
        <v>58.383233532934227</v>
      </c>
      <c r="O22" s="51">
        <v>44215</v>
      </c>
      <c r="Q22" s="317" t="str">
        <f>E228</f>
        <v>HT2 R2#3</v>
      </c>
      <c r="R22" s="317" t="str">
        <f>F228</f>
        <v>0-5cm</v>
      </c>
      <c r="S22" s="555">
        <f>N228</f>
        <v>29.530201342281547</v>
      </c>
      <c r="T22" s="50"/>
      <c r="X22" s="50"/>
      <c r="Y22" s="317" t="str">
        <f t="shared" si="22"/>
        <v>HT#4</v>
      </c>
      <c r="Z22" s="317" t="str">
        <f t="shared" si="22"/>
        <v>5-10cm</v>
      </c>
      <c r="AA22" s="336">
        <f t="shared" si="23"/>
        <v>74.525745257452627</v>
      </c>
      <c r="AB22" s="329"/>
      <c r="AD22" s="2"/>
    </row>
    <row r="23" spans="1:53">
      <c r="A23" s="3"/>
      <c r="B23" s="1"/>
      <c r="C23" s="10">
        <v>0.25</v>
      </c>
      <c r="D23" s="18">
        <v>6</v>
      </c>
      <c r="E23" s="355" t="s">
        <v>59</v>
      </c>
      <c r="F23" s="356" t="s">
        <v>5</v>
      </c>
      <c r="G23" s="41">
        <v>4.09</v>
      </c>
      <c r="H23" s="23">
        <v>189.19</v>
      </c>
      <c r="I23" s="23">
        <v>191.61</v>
      </c>
      <c r="J23" s="23">
        <v>187.68</v>
      </c>
      <c r="K23" s="23">
        <v>190.24</v>
      </c>
      <c r="L23" s="229">
        <f t="shared" si="4"/>
        <v>1.5099999999999909</v>
      </c>
      <c r="M23" s="229">
        <f t="shared" si="4"/>
        <v>1.3700000000000045</v>
      </c>
      <c r="N23" s="357">
        <f t="shared" si="9"/>
        <v>47.569444444444677</v>
      </c>
      <c r="O23" s="51">
        <v>44215</v>
      </c>
      <c r="Q23" s="317" t="str">
        <f>E229</f>
        <v>HT2 R2#3</v>
      </c>
      <c r="R23" s="317" t="str">
        <f>F229</f>
        <v>5-10cm</v>
      </c>
      <c r="S23" s="555">
        <f>N229</f>
        <v>31.351351351351642</v>
      </c>
      <c r="T23" s="50"/>
      <c r="U23" s="50" t="str">
        <f t="shared" ref="U23:V25" si="25">E88</f>
        <v>HT7#3</v>
      </c>
      <c r="V23" s="50" t="str">
        <f t="shared" si="25"/>
        <v>0-5cm</v>
      </c>
      <c r="W23" s="346">
        <f>N88</f>
        <v>54.42176870748284</v>
      </c>
      <c r="X23" s="50"/>
      <c r="Y23" s="317" t="str">
        <f t="shared" si="22"/>
        <v>HT#4</v>
      </c>
      <c r="Z23" s="317" t="str">
        <f t="shared" si="22"/>
        <v>10-15cm</v>
      </c>
      <c r="AA23" s="336">
        <f t="shared" si="23"/>
        <v>73.79679144385041</v>
      </c>
      <c r="AB23" s="329"/>
      <c r="AD23" s="4"/>
    </row>
    <row r="24" spans="1:53">
      <c r="A24" s="3"/>
      <c r="B24" s="1"/>
      <c r="C24" s="10">
        <v>0.25</v>
      </c>
      <c r="D24" s="18">
        <v>7</v>
      </c>
      <c r="E24" s="355" t="s">
        <v>59</v>
      </c>
      <c r="F24" s="356" t="s">
        <v>45</v>
      </c>
      <c r="G24" s="41">
        <v>4.0999999999999996</v>
      </c>
      <c r="H24" s="23">
        <v>190.07</v>
      </c>
      <c r="I24" s="23">
        <v>190.38</v>
      </c>
      <c r="J24" s="23">
        <v>188.85</v>
      </c>
      <c r="K24" s="23">
        <v>187.69</v>
      </c>
      <c r="L24" s="229">
        <f t="shared" si="4"/>
        <v>1.2199999999999989</v>
      </c>
      <c r="M24" s="229">
        <f t="shared" si="4"/>
        <v>2.6899999999999977</v>
      </c>
      <c r="N24" s="357">
        <f t="shared" si="9"/>
        <v>68.797953964194377</v>
      </c>
      <c r="O24" s="51">
        <v>44215</v>
      </c>
      <c r="Q24" s="368" t="str">
        <f>E191</f>
        <v>HT2 R2#3</v>
      </c>
      <c r="R24" s="368" t="str">
        <f>F191</f>
        <v>10-15cm</v>
      </c>
      <c r="S24" s="554">
        <f>N191</f>
        <v>39.024390243902538</v>
      </c>
      <c r="T24" s="50"/>
      <c r="U24" s="50" t="str">
        <f t="shared" si="25"/>
        <v>HT7#3</v>
      </c>
      <c r="V24" s="50" t="str">
        <f t="shared" si="25"/>
        <v>5-10cm</v>
      </c>
      <c r="W24" s="346">
        <f>N89</f>
        <v>85.835694050991506</v>
      </c>
      <c r="X24" s="50"/>
      <c r="Y24" s="317" t="str">
        <f t="shared" si="22"/>
        <v>HT#6+HT#7</v>
      </c>
      <c r="Z24" s="317" t="str">
        <f t="shared" si="22"/>
        <v>0-5cm</v>
      </c>
      <c r="AA24" s="336">
        <f t="shared" si="23"/>
        <v>69.381107491856042</v>
      </c>
      <c r="AB24" s="329"/>
      <c r="AD24" s="4"/>
    </row>
    <row r="25" spans="1:53">
      <c r="A25" s="3"/>
      <c r="B25" s="1"/>
      <c r="C25" s="10">
        <v>0.25</v>
      </c>
      <c r="D25" s="18">
        <v>8</v>
      </c>
      <c r="E25" s="28" t="s">
        <v>60</v>
      </c>
      <c r="F25" s="361" t="s">
        <v>4</v>
      </c>
      <c r="G25" s="41">
        <v>4.03</v>
      </c>
      <c r="H25" s="23">
        <v>188</v>
      </c>
      <c r="I25" s="23">
        <v>190.42</v>
      </c>
      <c r="J25" s="23">
        <v>187.8</v>
      </c>
      <c r="K25" s="23">
        <v>188.52</v>
      </c>
      <c r="L25" s="229">
        <f t="shared" si="4"/>
        <v>0.19999999999998863</v>
      </c>
      <c r="M25" s="229">
        <f t="shared" si="4"/>
        <v>1.8999999999999773</v>
      </c>
      <c r="N25" s="357">
        <f t="shared" si="9"/>
        <v>90.476190476190865</v>
      </c>
      <c r="O25" s="51">
        <v>44215</v>
      </c>
      <c r="Q25" s="368" t="str">
        <f>E188</f>
        <v>HT2 #4</v>
      </c>
      <c r="R25" s="368" t="str">
        <f>F188</f>
        <v>0-5cm</v>
      </c>
      <c r="S25" s="554">
        <f>N188</f>
        <v>23.448275862068925</v>
      </c>
      <c r="T25" s="50"/>
      <c r="U25" s="50" t="str">
        <f t="shared" si="25"/>
        <v>HT7#3</v>
      </c>
      <c r="V25" s="50" t="str">
        <f t="shared" si="25"/>
        <v>10-15cm</v>
      </c>
      <c r="W25" s="346">
        <f>N90</f>
        <v>78.516624040920604</v>
      </c>
      <c r="X25" s="50"/>
      <c r="Y25" s="317" t="str">
        <f t="shared" si="22"/>
        <v>HT#5</v>
      </c>
      <c r="Z25" s="317" t="str">
        <f t="shared" si="22"/>
        <v>5-10cm</v>
      </c>
      <c r="AA25" s="336">
        <f t="shared" si="23"/>
        <v>73.878627968337995</v>
      </c>
      <c r="AB25" s="329"/>
      <c r="AD25" s="556" t="s">
        <v>100</v>
      </c>
      <c r="AE25" s="556"/>
      <c r="AF25" s="556"/>
      <c r="AG25" s="556"/>
      <c r="AH25" s="112" t="s">
        <v>104</v>
      </c>
      <c r="AI25" s="112"/>
      <c r="AJ25" s="112"/>
      <c r="AK25" s="112"/>
      <c r="AL25" s="556" t="s">
        <v>100</v>
      </c>
      <c r="AM25" s="556"/>
      <c r="AN25" s="556"/>
      <c r="AO25" s="556"/>
      <c r="AP25" s="112" t="s">
        <v>104</v>
      </c>
      <c r="AQ25" s="112"/>
      <c r="AR25" s="112"/>
      <c r="AS25" s="112"/>
      <c r="AT25" s="556" t="s">
        <v>100</v>
      </c>
      <c r="AU25" s="556"/>
      <c r="AV25" s="556"/>
      <c r="AW25" s="556"/>
      <c r="AX25" s="112" t="s">
        <v>104</v>
      </c>
      <c r="AY25" s="112"/>
      <c r="AZ25" s="112"/>
      <c r="BA25" s="112"/>
    </row>
    <row r="26" spans="1:53" s="15" customFormat="1">
      <c r="A26" s="33"/>
      <c r="B26" s="18"/>
      <c r="C26" s="34"/>
      <c r="D26" s="18"/>
      <c r="E26" s="23"/>
      <c r="F26" s="23"/>
      <c r="G26" s="41"/>
      <c r="H26" s="23"/>
      <c r="I26" s="23"/>
      <c r="J26" s="23"/>
      <c r="K26" s="23"/>
      <c r="L26" s="23"/>
      <c r="M26" s="23"/>
      <c r="N26" s="25"/>
      <c r="O26" s="52"/>
      <c r="Q26" s="368" t="str">
        <f t="shared" ref="Q26:R29" si="26">E192</f>
        <v>HT2 #4</v>
      </c>
      <c r="R26" s="368" t="str">
        <f t="shared" si="26"/>
        <v>5-10cm</v>
      </c>
      <c r="S26" s="554">
        <f>N192</f>
        <v>40.62499999999978</v>
      </c>
      <c r="T26" s="52"/>
      <c r="U26" s="369" t="str">
        <f t="shared" ref="U26:V28" si="27">E30</f>
        <v>HT7#4</v>
      </c>
      <c r="V26" s="370" t="str">
        <f t="shared" si="27"/>
        <v>0-5cm</v>
      </c>
      <c r="W26" s="371">
        <f>N30</f>
        <v>68.012422360248394</v>
      </c>
      <c r="X26" s="52"/>
      <c r="Y26" s="317" t="str">
        <f t="shared" si="22"/>
        <v>HT#5</v>
      </c>
      <c r="Z26" s="317" t="str">
        <f t="shared" si="22"/>
        <v>10-15cm</v>
      </c>
      <c r="AA26" s="336">
        <f t="shared" si="23"/>
        <v>72.117962466488066</v>
      </c>
      <c r="AB26" s="329"/>
      <c r="AD26" s="556" t="s">
        <v>0</v>
      </c>
      <c r="AE26" s="556" t="s">
        <v>38</v>
      </c>
      <c r="AF26" s="556" t="s">
        <v>44</v>
      </c>
      <c r="AG26" s="556"/>
      <c r="AH26" s="112" t="s">
        <v>0</v>
      </c>
      <c r="AI26" s="112" t="s">
        <v>38</v>
      </c>
      <c r="AJ26" s="112" t="s">
        <v>44</v>
      </c>
      <c r="AK26" s="112"/>
      <c r="AL26" s="556" t="s">
        <v>0</v>
      </c>
      <c r="AM26" s="556" t="s">
        <v>38</v>
      </c>
      <c r="AN26" s="556" t="s">
        <v>44</v>
      </c>
      <c r="AO26" s="556"/>
      <c r="AP26" s="112" t="s">
        <v>0</v>
      </c>
      <c r="AQ26" s="112" t="s">
        <v>38</v>
      </c>
      <c r="AR26" s="112" t="s">
        <v>44</v>
      </c>
      <c r="AS26" s="112"/>
      <c r="AT26" s="556" t="s">
        <v>0</v>
      </c>
      <c r="AU26" s="556" t="s">
        <v>38</v>
      </c>
      <c r="AV26" s="556" t="s">
        <v>44</v>
      </c>
      <c r="AW26" s="556"/>
      <c r="AX26" s="112" t="s">
        <v>0</v>
      </c>
      <c r="AY26" s="112" t="s">
        <v>38</v>
      </c>
      <c r="AZ26" s="112" t="s">
        <v>44</v>
      </c>
      <c r="BA26" s="112"/>
    </row>
    <row r="27" spans="1:53" ht="31.5">
      <c r="A27" s="3"/>
      <c r="B27" s="1"/>
      <c r="C27" s="10"/>
      <c r="D27" s="18"/>
      <c r="E27" s="27" t="s">
        <v>104</v>
      </c>
      <c r="F27" s="23"/>
      <c r="G27" s="42"/>
      <c r="J27" s="44" t="s">
        <v>1025</v>
      </c>
      <c r="K27" s="44" t="s">
        <v>1026</v>
      </c>
      <c r="L27" s="226" t="s">
        <v>42</v>
      </c>
      <c r="M27" s="226" t="s">
        <v>43</v>
      </c>
      <c r="N27" s="227" t="s">
        <v>44</v>
      </c>
      <c r="O27" s="50" t="s">
        <v>107</v>
      </c>
      <c r="Q27" s="368" t="str">
        <f t="shared" si="26"/>
        <v>HT2 #4</v>
      </c>
      <c r="R27" s="368" t="str">
        <f t="shared" si="26"/>
        <v>10-15cm</v>
      </c>
      <c r="S27" s="554">
        <f>N193</f>
        <v>30.303030303029782</v>
      </c>
      <c r="T27" s="50"/>
      <c r="U27" s="369" t="str">
        <f t="shared" si="27"/>
        <v>HT7#4</v>
      </c>
      <c r="V27" s="370" t="str">
        <f t="shared" si="27"/>
        <v>5-10cm</v>
      </c>
      <c r="W27" s="371">
        <f>N31</f>
        <v>40.108892921960077</v>
      </c>
      <c r="X27" s="50"/>
      <c r="Y27" s="317" t="str">
        <f t="shared" si="22"/>
        <v>HT#12</v>
      </c>
      <c r="Z27" s="317" t="str">
        <f t="shared" si="22"/>
        <v>5-10cm</v>
      </c>
      <c r="AA27" s="336">
        <f t="shared" si="23"/>
        <v>78.770949720669918</v>
      </c>
      <c r="AB27" s="329"/>
      <c r="AD27" s="556" t="s">
        <v>52</v>
      </c>
      <c r="AE27" s="556" t="s">
        <v>4</v>
      </c>
      <c r="AF27" s="556">
        <v>54.416961130741527</v>
      </c>
      <c r="AG27" s="556"/>
      <c r="AH27" s="112" t="s">
        <v>59</v>
      </c>
      <c r="AI27" s="112" t="s">
        <v>4</v>
      </c>
      <c r="AJ27" s="112">
        <v>58.383233532934227</v>
      </c>
      <c r="AK27" s="112"/>
      <c r="AL27" s="556" t="s">
        <v>52</v>
      </c>
      <c r="AM27" s="556" t="s">
        <v>5</v>
      </c>
      <c r="AN27" s="556">
        <v>36.338797814207531</v>
      </c>
      <c r="AO27" s="556"/>
      <c r="AP27" s="112" t="s">
        <v>59</v>
      </c>
      <c r="AQ27" s="112" t="s">
        <v>5</v>
      </c>
      <c r="AR27" s="112">
        <v>47.569444444444677</v>
      </c>
      <c r="AS27" s="112"/>
      <c r="AT27" s="556" t="s">
        <v>52</v>
      </c>
      <c r="AU27" s="556" t="s">
        <v>45</v>
      </c>
      <c r="AV27" s="556">
        <v>42.257217847769361</v>
      </c>
      <c r="AW27" s="556"/>
      <c r="AX27" s="112" t="s">
        <v>59</v>
      </c>
      <c r="AY27" s="112" t="s">
        <v>45</v>
      </c>
      <c r="AZ27" s="112">
        <v>68.797953964194377</v>
      </c>
      <c r="BA27" s="112"/>
    </row>
    <row r="28" spans="1:53">
      <c r="A28" s="3"/>
      <c r="B28" s="1"/>
      <c r="C28" s="10">
        <v>0.25</v>
      </c>
      <c r="D28" s="18">
        <v>1</v>
      </c>
      <c r="E28" s="355" t="s">
        <v>60</v>
      </c>
      <c r="F28" s="356" t="s">
        <v>5</v>
      </c>
      <c r="G28" s="41">
        <v>4.01</v>
      </c>
      <c r="H28" s="23">
        <v>191.42</v>
      </c>
      <c r="I28" s="23">
        <v>193.52</v>
      </c>
      <c r="J28" s="23">
        <v>190.71</v>
      </c>
      <c r="K28" s="23">
        <v>191.12</v>
      </c>
      <c r="L28" s="229">
        <f t="shared" si="4"/>
        <v>0.70999999999997954</v>
      </c>
      <c r="M28" s="229">
        <f t="shared" si="4"/>
        <v>2.4000000000000057</v>
      </c>
      <c r="N28" s="357">
        <f t="shared" si="9"/>
        <v>77.170418006431419</v>
      </c>
      <c r="O28" s="51">
        <v>44215</v>
      </c>
      <c r="Q28" s="368" t="str">
        <f t="shared" si="26"/>
        <v>HT2 #5</v>
      </c>
      <c r="R28" s="368" t="str">
        <f t="shared" si="26"/>
        <v>0-5cm</v>
      </c>
      <c r="S28" s="554">
        <f>N194</f>
        <v>12.820512820512306</v>
      </c>
      <c r="T28" s="50"/>
      <c r="U28" s="369" t="str">
        <f t="shared" si="27"/>
        <v>HT7#4</v>
      </c>
      <c r="V28" s="370" t="str">
        <f t="shared" si="27"/>
        <v>10-15cm</v>
      </c>
      <c r="W28" s="371">
        <f>N32</f>
        <v>61.684782608695819</v>
      </c>
      <c r="X28" s="50"/>
      <c r="Y28" s="317" t="str">
        <f t="shared" si="22"/>
        <v>HT#12</v>
      </c>
      <c r="Z28" s="317" t="str">
        <f t="shared" si="22"/>
        <v>10-15cm</v>
      </c>
      <c r="AA28" s="336">
        <f t="shared" si="23"/>
        <v>80.110497237568964</v>
      </c>
      <c r="AB28" s="329"/>
      <c r="AD28" s="556" t="s">
        <v>58</v>
      </c>
      <c r="AE28" s="556" t="s">
        <v>4</v>
      </c>
      <c r="AF28" s="556">
        <v>70.437956204379276</v>
      </c>
      <c r="AG28" s="556"/>
      <c r="AH28" s="112" t="s">
        <v>797</v>
      </c>
      <c r="AI28" s="112" t="s">
        <v>4</v>
      </c>
      <c r="AJ28" s="112">
        <v>59.259259259261015</v>
      </c>
      <c r="AK28" s="112"/>
      <c r="AL28" s="556" t="s">
        <v>58</v>
      </c>
      <c r="AM28" s="556" t="s">
        <v>5</v>
      </c>
      <c r="AN28" s="556">
        <v>60.641399416909536</v>
      </c>
      <c r="AO28" s="556"/>
      <c r="AP28" s="112" t="s">
        <v>797</v>
      </c>
      <c r="AQ28" s="112" t="s">
        <v>5</v>
      </c>
      <c r="AR28" s="112">
        <v>86.315789473681946</v>
      </c>
      <c r="AS28" s="112"/>
      <c r="AT28" s="556" t="s">
        <v>58</v>
      </c>
      <c r="AU28" s="556" t="s">
        <v>45</v>
      </c>
      <c r="AV28" s="556">
        <v>58.550724637680823</v>
      </c>
      <c r="AW28" s="556"/>
      <c r="AX28" s="112" t="s">
        <v>797</v>
      </c>
      <c r="AY28" s="112" t="s">
        <v>45</v>
      </c>
      <c r="AZ28" s="112">
        <v>27.777777777778752</v>
      </c>
      <c r="BA28" s="112"/>
    </row>
    <row r="29" spans="1:53">
      <c r="A29" s="3"/>
      <c r="B29" s="1"/>
      <c r="C29" s="10">
        <v>0.25</v>
      </c>
      <c r="D29" s="18">
        <v>2</v>
      </c>
      <c r="E29" s="355" t="s">
        <v>60</v>
      </c>
      <c r="F29" s="356" t="s">
        <v>45</v>
      </c>
      <c r="G29" s="41">
        <v>4.01</v>
      </c>
      <c r="H29" s="23">
        <v>190.82</v>
      </c>
      <c r="I29" s="23">
        <v>193.72</v>
      </c>
      <c r="J29" s="23">
        <v>190.23</v>
      </c>
      <c r="K29" s="23">
        <v>190.59</v>
      </c>
      <c r="L29" s="229">
        <f t="shared" si="4"/>
        <v>0.59000000000000341</v>
      </c>
      <c r="M29" s="229">
        <f t="shared" si="4"/>
        <v>3.1299999999999955</v>
      </c>
      <c r="N29" s="357">
        <f t="shared" si="9"/>
        <v>84.13978494623646</v>
      </c>
      <c r="O29" s="51">
        <v>44215</v>
      </c>
      <c r="Q29" s="368" t="str">
        <f t="shared" si="26"/>
        <v>HT2 #5</v>
      </c>
      <c r="R29" s="368" t="str">
        <f t="shared" si="26"/>
        <v>5-10cm</v>
      </c>
      <c r="S29" s="554">
        <f>N195</f>
        <v>18.954248366014042</v>
      </c>
      <c r="T29" s="50"/>
      <c r="U29" s="369" t="str">
        <f t="shared" ref="U29:V31" si="28">E183</f>
        <v>HT7 R5#6</v>
      </c>
      <c r="V29" s="369" t="str">
        <f t="shared" si="28"/>
        <v>0-5cm</v>
      </c>
      <c r="W29" s="371">
        <f>N183</f>
        <v>44.897959183673706</v>
      </c>
      <c r="X29" s="50"/>
      <c r="Y29" s="317" t="str">
        <f t="shared" ref="Y29:Z35" si="29">E139</f>
        <v>HT#2+#3</v>
      </c>
      <c r="Z29" s="317" t="str">
        <f t="shared" si="29"/>
        <v>0-5cm</v>
      </c>
      <c r="AA29" s="336">
        <f t="shared" ref="AA29:AA35" si="30">N139</f>
        <v>78.947368421053227</v>
      </c>
      <c r="AB29" s="329"/>
      <c r="AD29" s="556" t="s">
        <v>785</v>
      </c>
      <c r="AE29" s="556" t="s">
        <v>4</v>
      </c>
      <c r="AF29" s="556">
        <v>24.880382775119728</v>
      </c>
      <c r="AG29" s="556"/>
      <c r="AH29" s="556" t="s">
        <v>803</v>
      </c>
      <c r="AI29" s="556" t="s">
        <v>4</v>
      </c>
      <c r="AJ29" s="556">
        <v>39.823008849556679</v>
      </c>
      <c r="AK29" s="112"/>
      <c r="AL29" s="556" t="s">
        <v>785</v>
      </c>
      <c r="AM29" s="556" t="s">
        <v>5</v>
      </c>
      <c r="AN29" s="556">
        <v>42.738589211618368</v>
      </c>
      <c r="AO29" s="556"/>
      <c r="AP29" s="556" t="s">
        <v>803</v>
      </c>
      <c r="AQ29" s="556" t="s">
        <v>5</v>
      </c>
      <c r="AR29" s="556">
        <v>46.451612903226241</v>
      </c>
      <c r="AS29" s="112"/>
      <c r="AT29" s="556" t="s">
        <v>815</v>
      </c>
      <c r="AU29" s="556" t="s">
        <v>45</v>
      </c>
      <c r="AV29" s="556">
        <v>38.721804511278286</v>
      </c>
      <c r="AW29" s="556"/>
      <c r="AX29" s="112" t="s">
        <v>803</v>
      </c>
      <c r="AY29" s="112" t="s">
        <v>45</v>
      </c>
      <c r="AZ29" s="112">
        <v>39.428571428571296</v>
      </c>
      <c r="BA29" s="112"/>
    </row>
    <row r="30" spans="1:53">
      <c r="A30" s="3"/>
      <c r="B30" s="1"/>
      <c r="C30" s="10">
        <v>0.25</v>
      </c>
      <c r="D30" s="18">
        <v>3</v>
      </c>
      <c r="E30" s="355" t="s">
        <v>61</v>
      </c>
      <c r="F30" s="361" t="s">
        <v>4</v>
      </c>
      <c r="G30" s="41">
        <v>3.99</v>
      </c>
      <c r="H30" s="23">
        <v>192.13</v>
      </c>
      <c r="I30" s="23">
        <v>193.12</v>
      </c>
      <c r="J30" s="23">
        <v>191.1</v>
      </c>
      <c r="K30" s="23">
        <v>190.93</v>
      </c>
      <c r="L30" s="229">
        <f t="shared" si="4"/>
        <v>1.0300000000000011</v>
      </c>
      <c r="M30" s="229">
        <f t="shared" si="4"/>
        <v>2.1899999999999977</v>
      </c>
      <c r="N30" s="357">
        <f t="shared" si="9"/>
        <v>68.012422360248394</v>
      </c>
      <c r="O30" s="51">
        <v>44215</v>
      </c>
      <c r="Q30" s="368" t="str">
        <f>E189</f>
        <v>HT2 #5</v>
      </c>
      <c r="R30" s="368" t="str">
        <f>F189</f>
        <v>10-15cm</v>
      </c>
      <c r="S30" s="554">
        <f>N189</f>
        <v>41.596638655462648</v>
      </c>
      <c r="T30" s="50"/>
      <c r="U30" s="369" t="str">
        <f t="shared" si="28"/>
        <v>HT7 R5#6</v>
      </c>
      <c r="V30" s="369" t="str">
        <f t="shared" si="28"/>
        <v>5-10cm</v>
      </c>
      <c r="W30" s="371">
        <f>N184</f>
        <v>43.195266272189528</v>
      </c>
      <c r="X30" s="50"/>
      <c r="Y30" s="317" t="str">
        <f t="shared" si="29"/>
        <v>HT#2</v>
      </c>
      <c r="Z30" s="317" t="str">
        <f t="shared" si="29"/>
        <v>5-10cm</v>
      </c>
      <c r="AA30" s="336">
        <f t="shared" si="30"/>
        <v>75.73333333333342</v>
      </c>
      <c r="AB30" s="329"/>
      <c r="AD30" s="556" t="s">
        <v>786</v>
      </c>
      <c r="AE30" s="556" t="s">
        <v>4</v>
      </c>
      <c r="AF30" s="556">
        <v>26.696832579185578</v>
      </c>
      <c r="AG30" s="556"/>
      <c r="AH30" s="112" t="s">
        <v>77</v>
      </c>
      <c r="AI30" s="112" t="s">
        <v>4</v>
      </c>
      <c r="AJ30" s="112">
        <v>47.252747252747412</v>
      </c>
      <c r="AK30" s="112"/>
      <c r="AL30" s="556" t="s">
        <v>786</v>
      </c>
      <c r="AM30" s="556" t="s">
        <v>5</v>
      </c>
      <c r="AN30" s="556">
        <v>36.764705882353084</v>
      </c>
      <c r="AO30" s="556"/>
      <c r="AP30" s="112" t="s">
        <v>77</v>
      </c>
      <c r="AQ30" s="112" t="s">
        <v>5</v>
      </c>
      <c r="AR30" s="112">
        <v>69.496021220159079</v>
      </c>
      <c r="AS30" s="112"/>
      <c r="AT30" s="556" t="s">
        <v>786</v>
      </c>
      <c r="AU30" s="556" t="s">
        <v>45</v>
      </c>
      <c r="AV30" s="556">
        <v>41.269841269841251</v>
      </c>
      <c r="AW30" s="556"/>
      <c r="AX30" s="112" t="s">
        <v>77</v>
      </c>
      <c r="AY30" s="112" t="s">
        <v>45</v>
      </c>
      <c r="AZ30" s="112">
        <v>68.090452261306197</v>
      </c>
      <c r="BA30" s="112"/>
    </row>
    <row r="31" spans="1:53">
      <c r="A31" s="3"/>
      <c r="B31" s="1"/>
      <c r="C31" s="10">
        <v>0.25</v>
      </c>
      <c r="D31" s="18">
        <v>4</v>
      </c>
      <c r="E31" s="355" t="s">
        <v>61</v>
      </c>
      <c r="F31" s="356" t="s">
        <v>5</v>
      </c>
      <c r="G31" s="41">
        <v>4</v>
      </c>
      <c r="H31" s="23">
        <v>191.06</v>
      </c>
      <c r="I31" s="23">
        <v>192.35</v>
      </c>
      <c r="J31" s="23">
        <v>187.76</v>
      </c>
      <c r="K31" s="23">
        <v>190.14</v>
      </c>
      <c r="L31" s="229">
        <f t="shared" si="4"/>
        <v>3.3000000000000114</v>
      </c>
      <c r="M31" s="229">
        <f t="shared" si="4"/>
        <v>2.210000000000008</v>
      </c>
      <c r="N31" s="357">
        <f t="shared" si="9"/>
        <v>40.108892921960077</v>
      </c>
      <c r="O31" s="51">
        <v>44215</v>
      </c>
      <c r="Q31" s="317" t="str">
        <f t="shared" ref="Q31:R33" si="31">E180</f>
        <v>HT2 R4#8</v>
      </c>
      <c r="R31" s="317" t="str">
        <f t="shared" si="31"/>
        <v>0-5cm</v>
      </c>
      <c r="S31" s="554">
        <f>N180</f>
        <v>31.914893617020546</v>
      </c>
      <c r="T31" s="50"/>
      <c r="U31" s="369" t="str">
        <f t="shared" si="28"/>
        <v>HT7 R5#6</v>
      </c>
      <c r="V31" s="369" t="str">
        <f t="shared" si="28"/>
        <v>10-15cm</v>
      </c>
      <c r="W31" s="371">
        <f>N185</f>
        <v>52.307692307692378</v>
      </c>
      <c r="X31" s="50"/>
      <c r="Y31" s="317" t="str">
        <f t="shared" si="29"/>
        <v>HT#1</v>
      </c>
      <c r="Z31" s="317" t="str">
        <f t="shared" si="29"/>
        <v>10-15cm</v>
      </c>
      <c r="AA31" s="336">
        <f t="shared" si="30"/>
        <v>73.243243243243114</v>
      </c>
      <c r="AB31" s="329"/>
      <c r="AD31" s="112" t="s">
        <v>787</v>
      </c>
      <c r="AE31" s="112" t="s">
        <v>4</v>
      </c>
      <c r="AF31" s="112">
        <v>18.243243243243711</v>
      </c>
      <c r="AG31" s="112"/>
      <c r="AH31" s="112" t="s">
        <v>78</v>
      </c>
      <c r="AI31" s="112" t="s">
        <v>4</v>
      </c>
      <c r="AJ31" s="112">
        <v>72.555205047318367</v>
      </c>
      <c r="AK31" s="112"/>
      <c r="AL31" s="112" t="s">
        <v>787</v>
      </c>
      <c r="AM31" s="112" t="s">
        <v>5</v>
      </c>
      <c r="AN31" s="112">
        <v>57.854406130267549</v>
      </c>
      <c r="AO31" s="112"/>
      <c r="AP31" s="112" t="s">
        <v>78</v>
      </c>
      <c r="AQ31" s="112" t="s">
        <v>5</v>
      </c>
      <c r="AR31" s="112">
        <v>68.80222841225617</v>
      </c>
      <c r="AS31" s="112"/>
      <c r="AT31" s="556" t="s">
        <v>787</v>
      </c>
      <c r="AU31" s="556" t="s">
        <v>45</v>
      </c>
      <c r="AV31" s="556">
        <v>38.222222222222051</v>
      </c>
      <c r="AW31" s="556"/>
      <c r="AX31" s="556" t="s">
        <v>78</v>
      </c>
      <c r="AY31" s="556" t="s">
        <v>45</v>
      </c>
      <c r="AZ31" s="556">
        <v>66.120218579234958</v>
      </c>
      <c r="BA31" s="112"/>
    </row>
    <row r="32" spans="1:53">
      <c r="A32" s="3"/>
      <c r="B32" s="1"/>
      <c r="C32" s="10">
        <v>0.25</v>
      </c>
      <c r="D32" s="18">
        <v>5</v>
      </c>
      <c r="E32" s="355" t="s">
        <v>61</v>
      </c>
      <c r="F32" s="356" t="s">
        <v>45</v>
      </c>
      <c r="G32" s="41">
        <v>4</v>
      </c>
      <c r="H32" s="23">
        <v>191.44</v>
      </c>
      <c r="I32" s="23">
        <v>192.22</v>
      </c>
      <c r="J32" s="23">
        <v>190.03</v>
      </c>
      <c r="K32" s="23">
        <v>189.95</v>
      </c>
      <c r="L32" s="229">
        <f t="shared" si="4"/>
        <v>1.4099999999999966</v>
      </c>
      <c r="M32" s="229">
        <f t="shared" si="4"/>
        <v>2.2700000000000102</v>
      </c>
      <c r="N32" s="357">
        <f t="shared" si="9"/>
        <v>61.684782608695819</v>
      </c>
      <c r="O32" s="51">
        <v>44215</v>
      </c>
      <c r="Q32" s="317" t="str">
        <f t="shared" si="31"/>
        <v>HT2 R4#8</v>
      </c>
      <c r="R32" s="317" t="str">
        <f t="shared" si="31"/>
        <v>5-10cm</v>
      </c>
      <c r="S32" s="554">
        <f>N181</f>
        <v>39.743589743589979</v>
      </c>
      <c r="T32" s="50"/>
      <c r="U32" s="369" t="str">
        <f t="shared" ref="U32:V34" si="32">E233</f>
        <v>HT7 R4#5</v>
      </c>
      <c r="V32" s="369" t="str">
        <f t="shared" si="32"/>
        <v>0-5cm</v>
      </c>
      <c r="W32" s="372">
        <f>N233</f>
        <v>59.259259259261341</v>
      </c>
      <c r="X32" s="50"/>
      <c r="Y32" s="317" t="str">
        <f t="shared" si="29"/>
        <v>HT#9</v>
      </c>
      <c r="Z32" s="317" t="str">
        <f t="shared" si="29"/>
        <v>0-5cm</v>
      </c>
      <c r="AA32" s="336">
        <f t="shared" si="30"/>
        <v>71.866295264624242</v>
      </c>
      <c r="AB32" s="329"/>
      <c r="AD32" s="556" t="s">
        <v>795</v>
      </c>
      <c r="AE32" s="556" t="s">
        <v>4</v>
      </c>
      <c r="AF32" s="556">
        <v>29.530201342281547</v>
      </c>
      <c r="AG32" s="556"/>
      <c r="AH32" s="556" t="s">
        <v>76</v>
      </c>
      <c r="AI32" s="556" t="s">
        <v>4</v>
      </c>
      <c r="AJ32" s="556">
        <v>54.42176870748284</v>
      </c>
      <c r="AK32" s="112"/>
      <c r="AL32" s="556" t="s">
        <v>795</v>
      </c>
      <c r="AM32" s="556" t="s">
        <v>5</v>
      </c>
      <c r="AN32" s="556">
        <v>31.351351351351642</v>
      </c>
      <c r="AO32" s="556"/>
      <c r="AP32" s="556" t="s">
        <v>76</v>
      </c>
      <c r="AQ32" s="556" t="s">
        <v>5</v>
      </c>
      <c r="AR32" s="556">
        <v>85.835694050991506</v>
      </c>
      <c r="AS32" s="112"/>
      <c r="AT32" s="556" t="s">
        <v>795</v>
      </c>
      <c r="AU32" s="556" t="s">
        <v>45</v>
      </c>
      <c r="AV32" s="556">
        <v>39.024390243902538</v>
      </c>
      <c r="AW32" s="556"/>
      <c r="AX32" s="556" t="s">
        <v>76</v>
      </c>
      <c r="AY32" s="556" t="s">
        <v>45</v>
      </c>
      <c r="AZ32" s="556">
        <v>78.516624040920604</v>
      </c>
      <c r="BA32" s="112"/>
    </row>
    <row r="33" spans="1:53">
      <c r="A33" s="3"/>
      <c r="B33" s="1"/>
      <c r="C33" s="10">
        <v>0.25</v>
      </c>
      <c r="D33" s="18">
        <v>6</v>
      </c>
      <c r="E33" s="355" t="s">
        <v>62</v>
      </c>
      <c r="F33" s="361" t="s">
        <v>4</v>
      </c>
      <c r="G33" s="41">
        <v>4</v>
      </c>
      <c r="H33" s="23">
        <v>191.36</v>
      </c>
      <c r="I33" s="23">
        <v>193.73</v>
      </c>
      <c r="J33" s="23">
        <v>191.01</v>
      </c>
      <c r="K33" s="23">
        <v>190.96</v>
      </c>
      <c r="L33" s="229">
        <f t="shared" si="4"/>
        <v>0.35000000000002274</v>
      </c>
      <c r="M33" s="229">
        <f t="shared" si="4"/>
        <v>2.7699999999999818</v>
      </c>
      <c r="N33" s="357">
        <f t="shared" si="9"/>
        <v>88.782051282050574</v>
      </c>
      <c r="O33" s="51">
        <v>44215</v>
      </c>
      <c r="Q33" s="317" t="str">
        <f t="shared" si="31"/>
        <v>HT2 R4#8</v>
      </c>
      <c r="R33" s="317" t="str">
        <f t="shared" si="31"/>
        <v>10-15cm</v>
      </c>
      <c r="S33" s="554">
        <f>N182</f>
        <v>45.882352941176379</v>
      </c>
      <c r="T33" s="50"/>
      <c r="U33" s="369" t="str">
        <f t="shared" si="32"/>
        <v>HT7 R4#5</v>
      </c>
      <c r="V33" s="369" t="str">
        <f t="shared" si="32"/>
        <v>5-10cm</v>
      </c>
      <c r="W33" s="372">
        <f>N234</f>
        <v>39.716312056737848</v>
      </c>
      <c r="X33" s="346"/>
      <c r="Y33" s="317" t="str">
        <f t="shared" si="29"/>
        <v>HT#9</v>
      </c>
      <c r="Z33" s="317" t="str">
        <f t="shared" si="29"/>
        <v>5-10cm</v>
      </c>
      <c r="AA33" s="336">
        <f t="shared" si="30"/>
        <v>74.175824175823564</v>
      </c>
      <c r="AB33" s="329"/>
      <c r="AD33" s="556" t="s">
        <v>793</v>
      </c>
      <c r="AE33" s="556" t="s">
        <v>4</v>
      </c>
      <c r="AF33" s="556">
        <v>23.448275862068925</v>
      </c>
      <c r="AG33" s="556"/>
      <c r="AH33" s="556" t="s">
        <v>61</v>
      </c>
      <c r="AI33" s="556" t="s">
        <v>4</v>
      </c>
      <c r="AJ33" s="556">
        <v>68.012422360248394</v>
      </c>
      <c r="AK33" s="556"/>
      <c r="AL33" s="556" t="s">
        <v>793</v>
      </c>
      <c r="AM33" s="556" t="s">
        <v>5</v>
      </c>
      <c r="AN33" s="556">
        <v>40.62499999999978</v>
      </c>
      <c r="AO33" s="556"/>
      <c r="AP33" s="556" t="s">
        <v>61</v>
      </c>
      <c r="AQ33" s="556" t="s">
        <v>5</v>
      </c>
      <c r="AR33" s="556">
        <v>40.108892921960077</v>
      </c>
      <c r="AS33" s="556"/>
      <c r="AT33" s="556" t="s">
        <v>793</v>
      </c>
      <c r="AU33" s="556" t="s">
        <v>45</v>
      </c>
      <c r="AV33" s="556">
        <v>30.303030303029782</v>
      </c>
      <c r="AW33" s="556"/>
      <c r="AX33" s="556" t="s">
        <v>61</v>
      </c>
      <c r="AY33" s="556" t="s">
        <v>45</v>
      </c>
      <c r="AZ33" s="556">
        <v>61.684782608695819</v>
      </c>
      <c r="BA33" s="112"/>
    </row>
    <row r="34" spans="1:53">
      <c r="A34" s="3"/>
      <c r="B34" s="1"/>
      <c r="C34" s="10">
        <v>0.25</v>
      </c>
      <c r="D34" s="18">
        <v>7</v>
      </c>
      <c r="E34" s="355" t="s">
        <v>62</v>
      </c>
      <c r="F34" s="356" t="s">
        <v>5</v>
      </c>
      <c r="G34" s="41">
        <v>4.01</v>
      </c>
      <c r="H34" s="23">
        <v>191.27</v>
      </c>
      <c r="I34" s="23">
        <v>194.12</v>
      </c>
      <c r="J34" s="23">
        <v>190.89</v>
      </c>
      <c r="K34" s="23">
        <v>191.02</v>
      </c>
      <c r="L34" s="229">
        <f t="shared" si="4"/>
        <v>0.38000000000002387</v>
      </c>
      <c r="M34" s="229">
        <f t="shared" si="4"/>
        <v>3.0999999999999943</v>
      </c>
      <c r="N34" s="357">
        <f t="shared" si="9"/>
        <v>89.080459770114317</v>
      </c>
      <c r="O34" s="51">
        <v>44215</v>
      </c>
      <c r="Q34" s="157"/>
      <c r="R34" s="157"/>
      <c r="S34" s="373"/>
      <c r="T34" s="50"/>
      <c r="U34" s="369" t="str">
        <f t="shared" si="32"/>
        <v>HT7 R4#5</v>
      </c>
      <c r="V34" s="369" t="str">
        <f t="shared" si="32"/>
        <v>10-15cm</v>
      </c>
      <c r="W34" s="372">
        <f>N235</f>
        <v>30.405405405404846</v>
      </c>
      <c r="X34" s="346"/>
      <c r="Y34" s="317" t="str">
        <f t="shared" si="29"/>
        <v>HT#9</v>
      </c>
      <c r="Z34" s="317" t="str">
        <f t="shared" si="29"/>
        <v>10-15cm</v>
      </c>
      <c r="AA34" s="336">
        <f t="shared" si="30"/>
        <v>76.22950819672117</v>
      </c>
      <c r="AB34" s="329"/>
      <c r="AD34" s="556" t="s">
        <v>794</v>
      </c>
      <c r="AE34" s="556" t="s">
        <v>4</v>
      </c>
      <c r="AF34" s="556">
        <v>12.820512820512306</v>
      </c>
      <c r="AG34" s="556"/>
      <c r="AH34" s="556" t="s">
        <v>791</v>
      </c>
      <c r="AI34" s="556" t="s">
        <v>4</v>
      </c>
      <c r="AJ34" s="556">
        <v>44.897959183673706</v>
      </c>
      <c r="AK34" s="556"/>
      <c r="AL34" s="556" t="s">
        <v>794</v>
      </c>
      <c r="AM34" s="556" t="s">
        <v>5</v>
      </c>
      <c r="AN34" s="556">
        <v>18.954248366014042</v>
      </c>
      <c r="AO34" s="556"/>
      <c r="AP34" s="556" t="s">
        <v>791</v>
      </c>
      <c r="AQ34" s="556" t="s">
        <v>5</v>
      </c>
      <c r="AR34" s="556">
        <v>43.195266272189528</v>
      </c>
      <c r="AS34" s="556"/>
      <c r="AT34" s="556" t="s">
        <v>794</v>
      </c>
      <c r="AU34" s="556" t="s">
        <v>45</v>
      </c>
      <c r="AV34" s="556">
        <v>41.596638655462648</v>
      </c>
      <c r="AW34" s="556"/>
      <c r="AX34" s="556" t="s">
        <v>791</v>
      </c>
      <c r="AY34" s="556" t="s">
        <v>45</v>
      </c>
      <c r="AZ34" s="556">
        <v>52.307692307692378</v>
      </c>
      <c r="BA34" s="112"/>
    </row>
    <row r="35" spans="1:53">
      <c r="A35" s="3"/>
      <c r="B35" s="1"/>
      <c r="C35" s="10">
        <v>0.25</v>
      </c>
      <c r="D35" s="18">
        <v>8</v>
      </c>
      <c r="E35" s="355" t="s">
        <v>62</v>
      </c>
      <c r="F35" s="356" t="s">
        <v>45</v>
      </c>
      <c r="G35" s="41">
        <v>4</v>
      </c>
      <c r="H35" s="23">
        <v>191.12</v>
      </c>
      <c r="I35" s="23">
        <v>194.19</v>
      </c>
      <c r="J35" s="23">
        <v>190.63</v>
      </c>
      <c r="K35" s="23">
        <v>191.07</v>
      </c>
      <c r="L35" s="229">
        <f t="shared" si="4"/>
        <v>0.49000000000000909</v>
      </c>
      <c r="M35" s="229">
        <f t="shared" si="4"/>
        <v>3.1200000000000045</v>
      </c>
      <c r="N35" s="357">
        <f t="shared" si="9"/>
        <v>86.426592797783726</v>
      </c>
      <c r="O35" s="51">
        <v>44215</v>
      </c>
      <c r="Q35" s="374" t="str">
        <f t="shared" ref="Q35:R40" si="33">E238</f>
        <v>GH3</v>
      </c>
      <c r="R35" s="374" t="str">
        <f t="shared" si="33"/>
        <v>0-5cm</v>
      </c>
      <c r="S35" s="375">
        <f t="shared" ref="S35:S40" si="34">N238</f>
        <v>38.596491228069794</v>
      </c>
      <c r="T35" s="50"/>
      <c r="U35" s="376" t="str">
        <f t="shared" ref="U35:V37" si="35">E263</f>
        <v>HT7 R2 #2</v>
      </c>
      <c r="V35" s="376" t="str">
        <f t="shared" si="35"/>
        <v>0-5cm</v>
      </c>
      <c r="W35" s="372">
        <f>N263</f>
        <v>77.142857142857252</v>
      </c>
      <c r="X35" s="346"/>
      <c r="Y35" s="317" t="str">
        <f t="shared" si="29"/>
        <v>HT#10</v>
      </c>
      <c r="Z35" s="317" t="str">
        <f t="shared" si="29"/>
        <v>0-5cm</v>
      </c>
      <c r="AA35" s="336">
        <f t="shared" si="30"/>
        <v>77.197802197801948</v>
      </c>
      <c r="AB35" s="329"/>
      <c r="AD35" s="556" t="s">
        <v>790</v>
      </c>
      <c r="AE35" s="556" t="s">
        <v>4</v>
      </c>
      <c r="AF35" s="556">
        <v>31.914893617020546</v>
      </c>
      <c r="AG35" s="556"/>
      <c r="AH35" s="556" t="s">
        <v>806</v>
      </c>
      <c r="AI35" s="556" t="s">
        <v>4</v>
      </c>
      <c r="AJ35" s="556">
        <v>59.259259259261341</v>
      </c>
      <c r="AK35" s="112"/>
      <c r="AL35" s="556" t="s">
        <v>790</v>
      </c>
      <c r="AM35" s="556" t="s">
        <v>5</v>
      </c>
      <c r="AN35" s="556">
        <v>39.743589743589979</v>
      </c>
      <c r="AO35" s="556"/>
      <c r="AP35" s="556" t="s">
        <v>806</v>
      </c>
      <c r="AQ35" s="556" t="s">
        <v>5</v>
      </c>
      <c r="AR35" s="556">
        <v>39.716312056737848</v>
      </c>
      <c r="AS35" s="112"/>
      <c r="AT35" s="556" t="s">
        <v>790</v>
      </c>
      <c r="AU35" s="556" t="s">
        <v>45</v>
      </c>
      <c r="AV35" s="556">
        <v>45.882352941176379</v>
      </c>
      <c r="AW35" s="556"/>
      <c r="AX35" s="556" t="s">
        <v>806</v>
      </c>
      <c r="AY35" s="556" t="s">
        <v>45</v>
      </c>
      <c r="AZ35" s="556">
        <v>30.405405405404846</v>
      </c>
      <c r="BA35" s="112"/>
    </row>
    <row r="36" spans="1:53">
      <c r="A36" s="3"/>
      <c r="B36" s="1"/>
      <c r="C36" s="10"/>
      <c r="D36" s="18"/>
      <c r="E36" s="23"/>
      <c r="F36" s="22"/>
      <c r="G36" s="42"/>
      <c r="J36" s="23"/>
      <c r="N36" s="25"/>
      <c r="Q36" s="374" t="str">
        <f t="shared" si="33"/>
        <v>GH3</v>
      </c>
      <c r="R36" s="374" t="str">
        <f t="shared" si="33"/>
        <v>5-10cm</v>
      </c>
      <c r="S36" s="375">
        <f t="shared" si="34"/>
        <v>29.245283018868076</v>
      </c>
      <c r="T36" s="50"/>
      <c r="U36" s="376" t="str">
        <f t="shared" si="35"/>
        <v>HT7 R2 #2</v>
      </c>
      <c r="V36" s="376" t="str">
        <f t="shared" si="35"/>
        <v>5-10cm</v>
      </c>
      <c r="W36" s="372">
        <f>N264</f>
        <v>42.253521126759686</v>
      </c>
      <c r="X36" s="346"/>
      <c r="Y36" s="317" t="str">
        <f t="shared" ref="Y36:Z43" si="36">E148</f>
        <v>HT#10</v>
      </c>
      <c r="Z36" s="317" t="str">
        <f t="shared" si="36"/>
        <v>5-10cm</v>
      </c>
      <c r="AA36" s="336">
        <f t="shared" ref="AA36:AA43" si="37">N148</f>
        <v>78.021978021978413</v>
      </c>
      <c r="AB36" s="329"/>
      <c r="AD36" s="556" t="s">
        <v>710</v>
      </c>
      <c r="AE36" s="556" t="s">
        <v>4</v>
      </c>
      <c r="AF36" s="556">
        <v>38.596491228069794</v>
      </c>
      <c r="AG36" s="556"/>
      <c r="AH36" s="556" t="s">
        <v>826</v>
      </c>
      <c r="AI36" s="556" t="s">
        <v>4</v>
      </c>
      <c r="AJ36" s="556">
        <v>77.142857142857252</v>
      </c>
      <c r="AK36" s="112"/>
      <c r="AL36" s="556" t="s">
        <v>710</v>
      </c>
      <c r="AM36" s="556" t="s">
        <v>5</v>
      </c>
      <c r="AN36" s="556">
        <v>29.245283018868076</v>
      </c>
      <c r="AO36" s="556"/>
      <c r="AP36" s="556" t="s">
        <v>826</v>
      </c>
      <c r="AQ36" s="556" t="s">
        <v>5</v>
      </c>
      <c r="AR36" s="556">
        <v>42.253521126759686</v>
      </c>
      <c r="AS36" s="112"/>
      <c r="AT36" s="556" t="s">
        <v>710</v>
      </c>
      <c r="AU36" s="556" t="s">
        <v>45</v>
      </c>
      <c r="AV36" s="556">
        <v>28.368794326239591</v>
      </c>
      <c r="AW36" s="556"/>
      <c r="AX36" s="556" t="s">
        <v>826</v>
      </c>
      <c r="AY36" s="556" t="s">
        <v>45</v>
      </c>
      <c r="AZ36" s="556">
        <v>42.702702702702403</v>
      </c>
      <c r="BA36" s="556"/>
    </row>
    <row r="37" spans="1:53" ht="31.5">
      <c r="E37" s="23" t="s">
        <v>63</v>
      </c>
      <c r="J37" s="44" t="s">
        <v>1027</v>
      </c>
      <c r="K37" s="44" t="s">
        <v>1028</v>
      </c>
      <c r="L37" s="226" t="s">
        <v>42</v>
      </c>
      <c r="M37" s="226" t="s">
        <v>43</v>
      </c>
      <c r="N37" s="227" t="s">
        <v>44</v>
      </c>
      <c r="O37" s="50" t="s">
        <v>107</v>
      </c>
      <c r="Q37" s="374" t="str">
        <f t="shared" si="33"/>
        <v>GH3</v>
      </c>
      <c r="R37" s="374" t="str">
        <f t="shared" si="33"/>
        <v>10-15cm</v>
      </c>
      <c r="S37" s="375">
        <f t="shared" si="34"/>
        <v>28.368794326239591</v>
      </c>
      <c r="T37" s="50"/>
      <c r="U37" s="376" t="str">
        <f t="shared" si="35"/>
        <v>HT7 R2 #2</v>
      </c>
      <c r="V37" s="376" t="str">
        <f t="shared" si="35"/>
        <v>10-15cm</v>
      </c>
      <c r="W37" s="372">
        <f>N265</f>
        <v>42.702702702702403</v>
      </c>
      <c r="X37" s="346"/>
      <c r="Y37" s="317" t="str">
        <f t="shared" si="36"/>
        <v>HT#10</v>
      </c>
      <c r="Z37" s="317" t="str">
        <f t="shared" si="36"/>
        <v>10-15cm</v>
      </c>
      <c r="AA37" s="336">
        <f t="shared" si="37"/>
        <v>78.630136986301366</v>
      </c>
      <c r="AB37" s="329"/>
      <c r="AD37" s="556" t="s">
        <v>163</v>
      </c>
      <c r="AE37" s="556" t="s">
        <v>4</v>
      </c>
      <c r="AF37" s="556">
        <v>31.249999999999446</v>
      </c>
      <c r="AG37" s="556"/>
      <c r="AH37" s="556" t="s">
        <v>79</v>
      </c>
      <c r="AI37" s="556" t="s">
        <v>4</v>
      </c>
      <c r="AJ37" s="556">
        <v>89.641434262948536</v>
      </c>
      <c r="AK37" s="112"/>
      <c r="AL37" s="556" t="s">
        <v>163</v>
      </c>
      <c r="AM37" s="556" t="s">
        <v>5</v>
      </c>
      <c r="AN37" s="556">
        <v>36.244541484716379</v>
      </c>
      <c r="AO37" s="556"/>
      <c r="AP37" s="556" t="s">
        <v>79</v>
      </c>
      <c r="AQ37" s="556" t="s">
        <v>5</v>
      </c>
      <c r="AR37" s="556">
        <v>81.222707423580417</v>
      </c>
      <c r="AS37" s="112"/>
      <c r="AT37" s="556" t="s">
        <v>163</v>
      </c>
      <c r="AU37" s="556" t="s">
        <v>45</v>
      </c>
      <c r="AV37" s="556">
        <v>38.306451612902926</v>
      </c>
      <c r="AW37" s="556"/>
      <c r="AX37" s="556" t="s">
        <v>79</v>
      </c>
      <c r="AY37" s="556" t="s">
        <v>45</v>
      </c>
      <c r="AZ37" s="556">
        <v>79.829545454545283</v>
      </c>
      <c r="BA37" s="112"/>
    </row>
    <row r="38" spans="1:53">
      <c r="A38" s="3"/>
      <c r="B38" s="1"/>
      <c r="C38" s="10">
        <v>0.25</v>
      </c>
      <c r="D38" s="18">
        <v>1</v>
      </c>
      <c r="E38" s="377" t="s">
        <v>6</v>
      </c>
      <c r="F38" s="356" t="s">
        <v>5</v>
      </c>
      <c r="G38" s="41">
        <v>4</v>
      </c>
      <c r="H38" s="23">
        <v>188.12</v>
      </c>
      <c r="I38" s="23">
        <v>190.7</v>
      </c>
      <c r="J38" s="23">
        <v>187.89</v>
      </c>
      <c r="K38" s="23">
        <v>187.67</v>
      </c>
      <c r="L38" s="229">
        <f t="shared" ref="L38:M45" si="38">H38-J38</f>
        <v>0.23000000000001819</v>
      </c>
      <c r="M38" s="229">
        <f t="shared" si="38"/>
        <v>3.0300000000000011</v>
      </c>
      <c r="N38" s="357">
        <f t="shared" ref="N38:N45" si="39">M38*100/(L38+M38)</f>
        <v>92.944785276073105</v>
      </c>
      <c r="O38" s="51">
        <v>44215</v>
      </c>
      <c r="Q38" s="374" t="str">
        <f t="shared" si="33"/>
        <v>GH5</v>
      </c>
      <c r="R38" s="374" t="str">
        <f t="shared" si="33"/>
        <v>0-5cm</v>
      </c>
      <c r="S38" s="375">
        <f t="shared" si="34"/>
        <v>31.249999999999446</v>
      </c>
      <c r="T38" s="50"/>
      <c r="X38" s="346"/>
      <c r="Y38" s="317" t="str">
        <f t="shared" si="36"/>
        <v>#2+#1</v>
      </c>
      <c r="Z38" s="317" t="str">
        <f t="shared" si="36"/>
        <v>0-5cm</v>
      </c>
      <c r="AA38" s="336">
        <f t="shared" si="37"/>
        <v>73.278236914600555</v>
      </c>
      <c r="AB38" s="329"/>
      <c r="AD38" s="556" t="s">
        <v>814</v>
      </c>
      <c r="AE38" s="556" t="s">
        <v>4</v>
      </c>
      <c r="AF38" s="556">
        <v>33.333333333334288</v>
      </c>
      <c r="AG38" s="556"/>
      <c r="AH38" s="556" t="s">
        <v>80</v>
      </c>
      <c r="AI38" s="556" t="s">
        <v>4</v>
      </c>
      <c r="AJ38" s="556">
        <v>89.895470383275551</v>
      </c>
      <c r="AK38" s="112"/>
      <c r="AL38" s="556" t="s">
        <v>814</v>
      </c>
      <c r="AM38" s="556" t="s">
        <v>5</v>
      </c>
      <c r="AN38" s="556">
        <v>36.686390532544699</v>
      </c>
      <c r="AO38" s="556"/>
      <c r="AP38" s="556" t="s">
        <v>80</v>
      </c>
      <c r="AQ38" s="556" t="s">
        <v>5</v>
      </c>
      <c r="AR38" s="556">
        <v>87.905604719763332</v>
      </c>
      <c r="AS38" s="556"/>
      <c r="AT38" s="556" t="s">
        <v>814</v>
      </c>
      <c r="AU38" s="556" t="s">
        <v>45</v>
      </c>
      <c r="AV38" s="556">
        <v>39.449541284403381</v>
      </c>
      <c r="AW38" s="556"/>
      <c r="AX38" s="556" t="s">
        <v>80</v>
      </c>
      <c r="AY38" s="556" t="s">
        <v>45</v>
      </c>
      <c r="AZ38" s="556">
        <v>83.923705722070821</v>
      </c>
      <c r="BA38" s="112"/>
    </row>
    <row r="39" spans="1:53">
      <c r="A39" s="3"/>
      <c r="B39" s="1"/>
      <c r="C39" s="10">
        <v>0.25</v>
      </c>
      <c r="D39" s="18">
        <v>2</v>
      </c>
      <c r="E39" s="377" t="s">
        <v>64</v>
      </c>
      <c r="F39" s="361" t="s">
        <v>4</v>
      </c>
      <c r="G39" s="41">
        <v>4.01</v>
      </c>
      <c r="H39" s="23">
        <v>188.12</v>
      </c>
      <c r="I39" s="23">
        <v>190.91</v>
      </c>
      <c r="J39" s="23">
        <v>187.86</v>
      </c>
      <c r="K39" s="23">
        <v>187.75</v>
      </c>
      <c r="L39" s="229">
        <f t="shared" si="38"/>
        <v>0.25999999999999091</v>
      </c>
      <c r="M39" s="229">
        <f t="shared" si="38"/>
        <v>3.1599999999999966</v>
      </c>
      <c r="N39" s="357">
        <f t="shared" si="39"/>
        <v>92.397660818713689</v>
      </c>
      <c r="O39" s="51">
        <v>44215</v>
      </c>
      <c r="Q39" s="374" t="str">
        <f t="shared" si="33"/>
        <v>GH5</v>
      </c>
      <c r="R39" s="374" t="str">
        <f t="shared" si="33"/>
        <v>5-10cm</v>
      </c>
      <c r="S39" s="375">
        <f t="shared" si="34"/>
        <v>36.244541484716379</v>
      </c>
      <c r="T39" s="50"/>
      <c r="U39" s="317" t="str">
        <f>E99</f>
        <v>HT6#4</v>
      </c>
      <c r="V39" s="378" t="str">
        <f>F99</f>
        <v>0-5cm</v>
      </c>
      <c r="W39" s="336">
        <f>N99</f>
        <v>89.641434262948536</v>
      </c>
      <c r="X39" s="346"/>
      <c r="Y39" s="317" t="str">
        <f t="shared" si="36"/>
        <v>#1</v>
      </c>
      <c r="Z39" s="317" t="str">
        <f t="shared" si="36"/>
        <v>5-10cm</v>
      </c>
      <c r="AA39" s="336">
        <f t="shared" si="37"/>
        <v>69.973190348525492</v>
      </c>
      <c r="AB39" s="329"/>
      <c r="AD39" s="556" t="s">
        <v>164</v>
      </c>
      <c r="AE39" s="556" t="s">
        <v>4</v>
      </c>
      <c r="AF39" s="556">
        <v>21.348314606742559</v>
      </c>
      <c r="AG39" s="556"/>
      <c r="AH39" s="556" t="s">
        <v>62</v>
      </c>
      <c r="AI39" s="556" t="s">
        <v>4</v>
      </c>
      <c r="AJ39" s="556">
        <v>88.782051282050574</v>
      </c>
      <c r="AK39" s="112"/>
      <c r="AL39" s="556" t="s">
        <v>164</v>
      </c>
      <c r="AM39" s="556" t="s">
        <v>5</v>
      </c>
      <c r="AN39" s="556">
        <v>29.499999999999751</v>
      </c>
      <c r="AO39" s="556"/>
      <c r="AP39" s="556" t="s">
        <v>62</v>
      </c>
      <c r="AQ39" s="556" t="s">
        <v>5</v>
      </c>
      <c r="AR39" s="556">
        <v>89.080459770114317</v>
      </c>
      <c r="AS39" s="112"/>
      <c r="AT39" s="556" t="s">
        <v>164</v>
      </c>
      <c r="AU39" s="556" t="s">
        <v>45</v>
      </c>
      <c r="AV39" s="556">
        <v>37.85310734463345</v>
      </c>
      <c r="AW39" s="556"/>
      <c r="AX39" s="112" t="s">
        <v>62</v>
      </c>
      <c r="AY39" s="112" t="s">
        <v>45</v>
      </c>
      <c r="AZ39" s="112">
        <v>86.426592797783726</v>
      </c>
      <c r="BA39" s="112"/>
    </row>
    <row r="40" spans="1:53">
      <c r="A40" s="3"/>
      <c r="B40" s="1"/>
      <c r="C40" s="10">
        <v>0.25</v>
      </c>
      <c r="D40" s="18">
        <v>3</v>
      </c>
      <c r="E40" s="377" t="s">
        <v>64</v>
      </c>
      <c r="F40" s="356" t="s">
        <v>5</v>
      </c>
      <c r="G40" s="41">
        <v>4.0199999999999996</v>
      </c>
      <c r="H40" s="23">
        <v>187.11</v>
      </c>
      <c r="I40" s="23">
        <v>190.69</v>
      </c>
      <c r="J40" s="23">
        <v>186.71</v>
      </c>
      <c r="K40" s="23">
        <v>187.62</v>
      </c>
      <c r="L40" s="229">
        <f t="shared" si="38"/>
        <v>0.40000000000000568</v>
      </c>
      <c r="M40" s="229">
        <f t="shared" si="38"/>
        <v>3.0699999999999932</v>
      </c>
      <c r="N40" s="357">
        <f t="shared" si="39"/>
        <v>88.472622478386</v>
      </c>
      <c r="O40" s="51">
        <v>44215</v>
      </c>
      <c r="Q40" s="374" t="str">
        <f t="shared" si="33"/>
        <v>GH5</v>
      </c>
      <c r="R40" s="374" t="str">
        <f t="shared" si="33"/>
        <v>10-15cm</v>
      </c>
      <c r="S40" s="375">
        <f t="shared" si="34"/>
        <v>38.306451612902926</v>
      </c>
      <c r="T40" s="50"/>
      <c r="U40" s="317" t="str">
        <f>E108</f>
        <v>HT6#4</v>
      </c>
      <c r="V40" s="317" t="str">
        <f>F108</f>
        <v>5-10cm</v>
      </c>
      <c r="W40" s="336">
        <f>N108</f>
        <v>81.222707423580417</v>
      </c>
      <c r="X40" s="346"/>
      <c r="Y40" s="317" t="str">
        <f t="shared" si="36"/>
        <v>#1</v>
      </c>
      <c r="Z40" s="317" t="str">
        <f t="shared" si="36"/>
        <v>10-15cm</v>
      </c>
      <c r="AA40" s="336">
        <f t="shared" si="37"/>
        <v>65.322580645161494</v>
      </c>
      <c r="AB40" s="329"/>
      <c r="AD40" s="112" t="s">
        <v>718</v>
      </c>
      <c r="AE40" s="112" t="s">
        <v>4</v>
      </c>
      <c r="AF40" s="112">
        <v>34.269662921348008</v>
      </c>
      <c r="AG40" s="556"/>
      <c r="AH40" s="112" t="s">
        <v>60</v>
      </c>
      <c r="AI40" s="112" t="s">
        <v>4</v>
      </c>
      <c r="AJ40" s="112">
        <v>90.476190476190865</v>
      </c>
      <c r="AK40" s="112"/>
      <c r="AL40" s="112" t="s">
        <v>718</v>
      </c>
      <c r="AM40" s="112" t="s">
        <v>5</v>
      </c>
      <c r="AN40" s="112">
        <v>26.388888888888616</v>
      </c>
      <c r="AO40" s="112"/>
      <c r="AP40" s="112" t="s">
        <v>60</v>
      </c>
      <c r="AQ40" s="112" t="s">
        <v>5</v>
      </c>
      <c r="AR40" s="112">
        <v>77.170418006431419</v>
      </c>
      <c r="AS40" s="112"/>
      <c r="AT40" s="112" t="s">
        <v>718</v>
      </c>
      <c r="AU40" s="112" t="s">
        <v>45</v>
      </c>
      <c r="AV40" s="112">
        <v>39.024390243902637</v>
      </c>
      <c r="AW40" s="112"/>
      <c r="AX40" s="112" t="s">
        <v>60</v>
      </c>
      <c r="AY40" s="112" t="s">
        <v>45</v>
      </c>
      <c r="AZ40" s="112">
        <v>84.13978494623646</v>
      </c>
      <c r="BA40" s="112"/>
    </row>
    <row r="41" spans="1:53">
      <c r="A41" s="3"/>
      <c r="B41" s="1"/>
      <c r="C41" s="10">
        <v>0.25</v>
      </c>
      <c r="D41" s="18">
        <v>4</v>
      </c>
      <c r="E41" s="377" t="s">
        <v>64</v>
      </c>
      <c r="F41" s="356" t="s">
        <v>45</v>
      </c>
      <c r="G41" s="41">
        <v>4.0199999999999996</v>
      </c>
      <c r="H41" s="23">
        <v>181.78</v>
      </c>
      <c r="I41" s="23">
        <v>183.47</v>
      </c>
      <c r="J41" s="23">
        <v>180.84</v>
      </c>
      <c r="K41" s="23">
        <v>180.89</v>
      </c>
      <c r="L41" s="229">
        <f t="shared" si="38"/>
        <v>0.93999999999999773</v>
      </c>
      <c r="M41" s="229">
        <f t="shared" si="38"/>
        <v>2.5800000000000125</v>
      </c>
      <c r="N41" s="357">
        <f t="shared" si="39"/>
        <v>73.295454545454689</v>
      </c>
      <c r="O41" s="51">
        <v>44215</v>
      </c>
      <c r="Q41" s="374" t="str">
        <f t="shared" ref="Q41:R48" si="40">E248</f>
        <v>GH6</v>
      </c>
      <c r="R41" s="374" t="str">
        <f t="shared" si="40"/>
        <v>0-5cm</v>
      </c>
      <c r="S41" s="375">
        <f t="shared" ref="S41:S48" si="41">N248</f>
        <v>33.333333333334288</v>
      </c>
      <c r="T41" s="50"/>
      <c r="U41" s="317" t="str">
        <f t="shared" ref="U41:V44" si="42">E101</f>
        <v>HT6#4</v>
      </c>
      <c r="V41" s="378" t="str">
        <f t="shared" si="42"/>
        <v>10-15cm</v>
      </c>
      <c r="W41" s="336">
        <f>N101</f>
        <v>79.829545454545283</v>
      </c>
      <c r="X41" s="346"/>
      <c r="Y41" s="317" t="str">
        <f t="shared" si="36"/>
        <v>#2</v>
      </c>
      <c r="Z41" s="317" t="str">
        <f t="shared" si="36"/>
        <v>5-10cm</v>
      </c>
      <c r="AA41" s="336">
        <f t="shared" si="37"/>
        <v>61.956521739130352</v>
      </c>
      <c r="AB41" s="329"/>
      <c r="AC41" s="50"/>
      <c r="AD41" s="112" t="s">
        <v>10</v>
      </c>
      <c r="AE41" s="112" t="s">
        <v>4</v>
      </c>
      <c r="AF41" s="112">
        <v>59.815950920245214</v>
      </c>
      <c r="AG41" s="112"/>
      <c r="AH41" s="112" t="s">
        <v>805</v>
      </c>
      <c r="AI41" s="112" t="s">
        <v>4</v>
      </c>
      <c r="AJ41" s="112">
        <v>35.294117647062755</v>
      </c>
      <c r="AK41" s="556"/>
      <c r="AL41" s="112" t="s">
        <v>10</v>
      </c>
      <c r="AM41" s="112" t="s">
        <v>5</v>
      </c>
      <c r="AN41" s="112">
        <v>58.997050147492864</v>
      </c>
      <c r="AO41" s="112"/>
      <c r="AP41" s="112" t="s">
        <v>805</v>
      </c>
      <c r="AQ41" s="112" t="s">
        <v>5</v>
      </c>
      <c r="AR41" s="112">
        <v>72.000000000002728</v>
      </c>
      <c r="AS41" s="112"/>
      <c r="AT41" s="112" t="s">
        <v>10</v>
      </c>
      <c r="AU41" s="112" t="s">
        <v>45</v>
      </c>
      <c r="AV41" s="112">
        <v>63.25966850828749</v>
      </c>
      <c r="AW41" s="112"/>
      <c r="AX41" s="112" t="s">
        <v>805</v>
      </c>
      <c r="AY41" s="112" t="s">
        <v>45</v>
      </c>
      <c r="AZ41" s="112">
        <v>59.440559440558758</v>
      </c>
      <c r="BA41" s="112"/>
    </row>
    <row r="42" spans="1:53">
      <c r="A42" s="3"/>
      <c r="B42" s="1"/>
      <c r="C42" s="10">
        <v>0.25</v>
      </c>
      <c r="D42" s="18">
        <v>5</v>
      </c>
      <c r="E42" s="377" t="s">
        <v>65</v>
      </c>
      <c r="F42" s="361" t="s">
        <v>4</v>
      </c>
      <c r="G42" s="41">
        <v>4.03</v>
      </c>
      <c r="H42" s="23">
        <v>189.28</v>
      </c>
      <c r="I42" s="23">
        <v>191.36</v>
      </c>
      <c r="J42" s="23">
        <v>188.88</v>
      </c>
      <c r="K42" s="23">
        <v>188.42</v>
      </c>
      <c r="L42" s="229">
        <f t="shared" si="38"/>
        <v>0.40000000000000568</v>
      </c>
      <c r="M42" s="229">
        <f t="shared" si="38"/>
        <v>2.9400000000000261</v>
      </c>
      <c r="N42" s="357">
        <f t="shared" si="39"/>
        <v>88.023952095808326</v>
      </c>
      <c r="O42" s="51">
        <v>44215</v>
      </c>
      <c r="Q42" s="374" t="str">
        <f t="shared" si="40"/>
        <v>GH6</v>
      </c>
      <c r="R42" s="374" t="str">
        <f t="shared" si="40"/>
        <v>5-10cm</v>
      </c>
      <c r="S42" s="375">
        <f t="shared" si="41"/>
        <v>36.686390532544699</v>
      </c>
      <c r="T42" s="50"/>
      <c r="U42" s="317" t="str">
        <f t="shared" si="42"/>
        <v>HT6#6</v>
      </c>
      <c r="V42" s="378" t="str">
        <f t="shared" si="42"/>
        <v>0-5cm</v>
      </c>
      <c r="W42" s="336">
        <f>N102</f>
        <v>89.895470383275551</v>
      </c>
      <c r="X42" s="346"/>
      <c r="Y42" s="317" t="str">
        <f t="shared" si="36"/>
        <v>#2</v>
      </c>
      <c r="Z42" s="317" t="str">
        <f t="shared" si="36"/>
        <v>10-15cm</v>
      </c>
      <c r="AA42" s="336">
        <f t="shared" si="37"/>
        <v>73.243243243242915</v>
      </c>
      <c r="AB42" s="329"/>
      <c r="AC42" s="50"/>
      <c r="AD42" s="112" t="s">
        <v>720</v>
      </c>
      <c r="AE42" s="112" t="s">
        <v>4</v>
      </c>
      <c r="AF42" s="112">
        <v>18.627450980392005</v>
      </c>
      <c r="AG42" s="112"/>
      <c r="AH42" s="112"/>
      <c r="AI42" s="112"/>
      <c r="AJ42" s="112"/>
      <c r="AK42" s="112"/>
      <c r="AL42" s="556"/>
      <c r="AM42" s="556"/>
      <c r="AN42" s="556"/>
      <c r="AO42" s="556"/>
      <c r="AP42" s="556"/>
      <c r="AQ42" s="556"/>
      <c r="AR42" s="556"/>
      <c r="AS42" s="556"/>
      <c r="AT42" s="112" t="s">
        <v>720</v>
      </c>
      <c r="AU42" s="112" t="s">
        <v>45</v>
      </c>
      <c r="AV42" s="112">
        <v>35.555555555555614</v>
      </c>
      <c r="AW42" s="112"/>
      <c r="AX42" s="112"/>
      <c r="AY42" s="112"/>
      <c r="AZ42" s="112"/>
      <c r="BA42" s="112"/>
    </row>
    <row r="43" spans="1:53">
      <c r="A43" s="3"/>
      <c r="B43" s="1"/>
      <c r="C43" s="10">
        <v>0.25</v>
      </c>
      <c r="D43" s="18">
        <v>6</v>
      </c>
      <c r="E43" s="377" t="s">
        <v>65</v>
      </c>
      <c r="F43" s="356" t="s">
        <v>5</v>
      </c>
      <c r="G43" s="41">
        <v>4</v>
      </c>
      <c r="H43" s="23">
        <v>188.03</v>
      </c>
      <c r="I43" s="23">
        <v>191.04</v>
      </c>
      <c r="J43" s="23">
        <v>187.64</v>
      </c>
      <c r="K43" s="23">
        <v>187.97</v>
      </c>
      <c r="L43" s="229">
        <f t="shared" si="38"/>
        <v>0.39000000000001478</v>
      </c>
      <c r="M43" s="229">
        <f t="shared" si="38"/>
        <v>3.0699999999999932</v>
      </c>
      <c r="N43" s="357">
        <f t="shared" si="39"/>
        <v>88.728323699421566</v>
      </c>
      <c r="O43" s="51">
        <v>44215</v>
      </c>
      <c r="Q43" s="374" t="str">
        <f t="shared" si="40"/>
        <v>GH6</v>
      </c>
      <c r="R43" s="374" t="str">
        <f t="shared" si="40"/>
        <v>10-15cm</v>
      </c>
      <c r="S43" s="375">
        <f t="shared" si="41"/>
        <v>39.449541284403381</v>
      </c>
      <c r="T43" s="50"/>
      <c r="U43" s="317" t="str">
        <f t="shared" si="42"/>
        <v>HT6#6</v>
      </c>
      <c r="V43" s="378" t="str">
        <f t="shared" si="42"/>
        <v>5-10cm</v>
      </c>
      <c r="W43" s="336">
        <f>N103</f>
        <v>87.905604719763332</v>
      </c>
      <c r="X43" s="346"/>
      <c r="Y43" s="317" t="str">
        <f t="shared" si="36"/>
        <v>#3</v>
      </c>
      <c r="Z43" s="317" t="str">
        <f t="shared" si="36"/>
        <v>0-5cm</v>
      </c>
      <c r="AA43" s="336">
        <f t="shared" si="37"/>
        <v>69.705093833780197</v>
      </c>
      <c r="AB43" s="329"/>
      <c r="AD43" s="112" t="s">
        <v>158</v>
      </c>
      <c r="AE43" s="112" t="s">
        <v>4</v>
      </c>
      <c r="AF43" s="112">
        <v>40.291262135922892</v>
      </c>
      <c r="AG43" s="112"/>
      <c r="AH43" s="112"/>
      <c r="AI43" s="112"/>
      <c r="AJ43" s="112"/>
      <c r="AK43" s="556"/>
      <c r="AL43" s="112" t="s">
        <v>158</v>
      </c>
      <c r="AM43" s="112" t="s">
        <v>5</v>
      </c>
      <c r="AN43" s="112">
        <v>47.413793103448171</v>
      </c>
      <c r="AO43" s="556"/>
      <c r="AP43" s="556"/>
      <c r="AQ43" s="556"/>
      <c r="AR43" s="556"/>
      <c r="AS43" s="556"/>
      <c r="AT43" s="112" t="s">
        <v>158</v>
      </c>
      <c r="AU43" s="112" t="s">
        <v>45</v>
      </c>
      <c r="AV43" s="112">
        <v>34.768211920530057</v>
      </c>
      <c r="AW43" s="112"/>
      <c r="AX43" s="112"/>
      <c r="AY43" s="112"/>
      <c r="AZ43" s="112"/>
      <c r="BA43" s="112"/>
    </row>
    <row r="44" spans="1:53">
      <c r="A44" s="3"/>
      <c r="B44" s="1"/>
      <c r="C44" s="10">
        <v>0.25</v>
      </c>
      <c r="D44" s="18">
        <v>7</v>
      </c>
      <c r="E44" s="377" t="s">
        <v>65</v>
      </c>
      <c r="F44" s="356" t="s">
        <v>45</v>
      </c>
      <c r="G44" s="41">
        <v>4.01</v>
      </c>
      <c r="H44" s="23">
        <v>190.81</v>
      </c>
      <c r="I44" s="23">
        <v>192.43</v>
      </c>
      <c r="J44" s="23">
        <v>190.01</v>
      </c>
      <c r="K44" s="23">
        <v>189.72</v>
      </c>
      <c r="L44" s="229">
        <f t="shared" si="38"/>
        <v>0.80000000000001137</v>
      </c>
      <c r="M44" s="229">
        <f t="shared" si="38"/>
        <v>2.710000000000008</v>
      </c>
      <c r="N44" s="357">
        <f t="shared" si="39"/>
        <v>77.207977207977009</v>
      </c>
      <c r="O44" s="51">
        <v>44215</v>
      </c>
      <c r="Q44" s="374" t="str">
        <f t="shared" si="40"/>
        <v>GH7</v>
      </c>
      <c r="R44" s="374" t="str">
        <f t="shared" si="40"/>
        <v>0-5cm</v>
      </c>
      <c r="S44" s="375">
        <f t="shared" si="41"/>
        <v>21.348314606742559</v>
      </c>
      <c r="T44" s="50"/>
      <c r="U44" s="317" t="str">
        <f t="shared" si="42"/>
        <v>HT6#6</v>
      </c>
      <c r="V44" s="378" t="str">
        <f t="shared" si="42"/>
        <v>10-15cm</v>
      </c>
      <c r="W44" s="336">
        <f>N104</f>
        <v>83.923705722070821</v>
      </c>
      <c r="X44" s="346"/>
      <c r="Y44" s="317" t="str">
        <f t="shared" ref="Y44:Z51" si="43">E158</f>
        <v>#3</v>
      </c>
      <c r="Z44" s="317" t="str">
        <f t="shared" si="43"/>
        <v>5-10cm</v>
      </c>
      <c r="AA44" s="336">
        <f t="shared" ref="AA44:AA51" si="44">N158</f>
        <v>72.677595628415276</v>
      </c>
      <c r="AB44" s="329"/>
      <c r="AD44" s="112" t="s">
        <v>39</v>
      </c>
      <c r="AE44" s="112" t="s">
        <v>4</v>
      </c>
      <c r="AF44" s="112">
        <v>46.081504702193946</v>
      </c>
      <c r="AG44" s="112"/>
      <c r="AH44" s="112"/>
      <c r="AI44" s="112"/>
      <c r="AJ44" s="112"/>
      <c r="AK44" s="556"/>
      <c r="AL44" s="112" t="s">
        <v>39</v>
      </c>
      <c r="AM44" s="112" t="s">
        <v>5</v>
      </c>
      <c r="AN44" s="112">
        <v>49.230769230769056</v>
      </c>
      <c r="AO44" s="556"/>
      <c r="AP44" s="556"/>
      <c r="AQ44" s="556"/>
      <c r="AR44" s="556"/>
      <c r="AS44" s="556"/>
      <c r="AT44" s="112" t="s">
        <v>39</v>
      </c>
      <c r="AU44" s="112" t="s">
        <v>45</v>
      </c>
      <c r="AV44" s="112">
        <v>50.555555555555443</v>
      </c>
      <c r="AW44" s="112"/>
      <c r="AX44" s="112"/>
      <c r="AY44" s="112"/>
      <c r="AZ44" s="112"/>
      <c r="BA44" s="112"/>
    </row>
    <row r="45" spans="1:53">
      <c r="A45" s="3"/>
      <c r="B45" s="1"/>
      <c r="C45" s="10">
        <v>0.25</v>
      </c>
      <c r="D45" s="18">
        <v>8</v>
      </c>
      <c r="E45" s="377" t="s">
        <v>66</v>
      </c>
      <c r="F45" s="361" t="s">
        <v>4</v>
      </c>
      <c r="G45" s="41">
        <v>3.63</v>
      </c>
      <c r="H45" s="23">
        <v>190.64</v>
      </c>
      <c r="I45" s="23">
        <v>191.38</v>
      </c>
      <c r="J45" s="23">
        <v>190.38</v>
      </c>
      <c r="K45" s="23">
        <v>188.89</v>
      </c>
      <c r="L45" s="229">
        <f t="shared" si="38"/>
        <v>0.25999999999999091</v>
      </c>
      <c r="M45" s="229">
        <f t="shared" si="38"/>
        <v>2.4900000000000091</v>
      </c>
      <c r="N45" s="357">
        <f t="shared" si="39"/>
        <v>90.545454545454874</v>
      </c>
      <c r="O45" s="51">
        <v>44215</v>
      </c>
      <c r="Q45" s="374" t="str">
        <f t="shared" si="40"/>
        <v>GH7</v>
      </c>
      <c r="R45" s="374" t="str">
        <f t="shared" si="40"/>
        <v>5-10cm</v>
      </c>
      <c r="S45" s="375">
        <f t="shared" si="41"/>
        <v>29.499999999999751</v>
      </c>
      <c r="T45" s="50"/>
      <c r="U45" s="317" t="str">
        <f t="shared" ref="U45:V47" si="45">E33</f>
        <v>HT6#1</v>
      </c>
      <c r="V45" s="378" t="str">
        <f t="shared" si="45"/>
        <v>0-5cm</v>
      </c>
      <c r="W45" s="336">
        <f>N33</f>
        <v>88.782051282050574</v>
      </c>
      <c r="X45" s="50"/>
      <c r="Y45" s="317" t="str">
        <f t="shared" si="43"/>
        <v>#3</v>
      </c>
      <c r="Z45" s="317" t="str">
        <f t="shared" si="43"/>
        <v>10-15cm</v>
      </c>
      <c r="AA45" s="336">
        <f t="shared" si="44"/>
        <v>70.777479892761221</v>
      </c>
      <c r="AB45" s="329"/>
      <c r="AD45" s="112" t="s">
        <v>11</v>
      </c>
      <c r="AE45" s="112" t="s">
        <v>4</v>
      </c>
      <c r="AF45" s="112">
        <v>43.214285714285822</v>
      </c>
      <c r="AG45" s="112"/>
      <c r="AH45" s="112"/>
      <c r="AI45" s="112"/>
      <c r="AJ45" s="112"/>
      <c r="AK45" s="556"/>
      <c r="AL45" s="112" t="s">
        <v>11</v>
      </c>
      <c r="AM45" s="112" t="s">
        <v>5</v>
      </c>
      <c r="AN45" s="112">
        <v>45.558739255014679</v>
      </c>
      <c r="AO45" s="556"/>
      <c r="AP45" s="556"/>
      <c r="AQ45" s="556"/>
      <c r="AR45" s="556"/>
      <c r="AS45" s="556"/>
      <c r="AT45" s="112" t="s">
        <v>11</v>
      </c>
      <c r="AU45" s="112" t="s">
        <v>45</v>
      </c>
      <c r="AV45" s="112">
        <v>52.706552706552678</v>
      </c>
      <c r="AW45" s="112"/>
      <c r="AX45" s="112"/>
      <c r="AY45" s="112"/>
      <c r="AZ45" s="112"/>
      <c r="BA45" s="112"/>
    </row>
    <row r="46" spans="1:53">
      <c r="A46" s="3"/>
      <c r="B46" s="1"/>
      <c r="C46" s="10"/>
      <c r="D46" s="18"/>
      <c r="E46" s="23"/>
      <c r="F46" s="23"/>
      <c r="G46" s="42"/>
      <c r="J46" s="23"/>
      <c r="N46" s="25"/>
      <c r="Q46" s="374" t="str">
        <f t="shared" si="40"/>
        <v>GH7</v>
      </c>
      <c r="R46" s="374" t="str">
        <f t="shared" si="40"/>
        <v>10-15cm</v>
      </c>
      <c r="S46" s="375">
        <f t="shared" si="41"/>
        <v>37.85310734463345</v>
      </c>
      <c r="T46" s="50"/>
      <c r="U46" s="317" t="str">
        <f t="shared" si="45"/>
        <v>HT6#1</v>
      </c>
      <c r="V46" s="378" t="str">
        <f t="shared" si="45"/>
        <v>5-10cm</v>
      </c>
      <c r="W46" s="336">
        <f>N34</f>
        <v>89.080459770114317</v>
      </c>
      <c r="X46" s="50"/>
      <c r="Y46" s="317" t="str">
        <f t="shared" si="43"/>
        <v>#4+#6</v>
      </c>
      <c r="Z46" s="317" t="str">
        <f t="shared" si="43"/>
        <v>0-5cm</v>
      </c>
      <c r="AA46" s="336">
        <f t="shared" si="44"/>
        <v>75.880758807587654</v>
      </c>
      <c r="AB46" s="329"/>
      <c r="AD46" s="112" t="s">
        <v>81</v>
      </c>
      <c r="AE46" s="112" t="s">
        <v>4</v>
      </c>
      <c r="AF46" s="112">
        <v>57.703927492446986</v>
      </c>
      <c r="AG46" s="112"/>
      <c r="AH46" s="112"/>
      <c r="AI46" s="112"/>
      <c r="AJ46" s="112"/>
      <c r="AK46" s="556"/>
      <c r="AL46" s="112" t="s">
        <v>81</v>
      </c>
      <c r="AM46" s="112" t="s">
        <v>5</v>
      </c>
      <c r="AN46" s="112">
        <v>62.647058823529697</v>
      </c>
      <c r="AO46" s="556"/>
      <c r="AP46" s="556"/>
      <c r="AQ46" s="556"/>
      <c r="AR46" s="556"/>
      <c r="AS46" s="556"/>
      <c r="AT46" s="112" t="s">
        <v>81</v>
      </c>
      <c r="AU46" s="112" t="s">
        <v>45</v>
      </c>
      <c r="AV46" s="112">
        <v>62.857142857142833</v>
      </c>
      <c r="AW46" s="112"/>
      <c r="AX46" s="112"/>
      <c r="AY46" s="112"/>
      <c r="AZ46" s="112"/>
      <c r="BA46" s="112"/>
    </row>
    <row r="47" spans="1:53" ht="31.5">
      <c r="E47" s="23" t="s">
        <v>103</v>
      </c>
      <c r="J47" s="44" t="s">
        <v>1021</v>
      </c>
      <c r="K47" s="44" t="s">
        <v>1022</v>
      </c>
      <c r="L47" s="226" t="s">
        <v>42</v>
      </c>
      <c r="M47" s="226" t="s">
        <v>43</v>
      </c>
      <c r="N47" s="227" t="s">
        <v>44</v>
      </c>
      <c r="O47" s="50" t="s">
        <v>107</v>
      </c>
      <c r="Q47" s="374" t="str">
        <f t="shared" si="40"/>
        <v>GH8</v>
      </c>
      <c r="R47" s="374" t="str">
        <f t="shared" si="40"/>
        <v>0-5cm</v>
      </c>
      <c r="S47" s="375">
        <f t="shared" si="41"/>
        <v>34.269662921348008</v>
      </c>
      <c r="T47" s="50"/>
      <c r="U47" s="317" t="str">
        <f t="shared" si="45"/>
        <v>HT6#1</v>
      </c>
      <c r="V47" s="378" t="str">
        <f t="shared" si="45"/>
        <v>10-15cm</v>
      </c>
      <c r="W47" s="336">
        <f>N35</f>
        <v>86.426592797783726</v>
      </c>
      <c r="X47" s="50"/>
      <c r="Y47" s="317" t="str">
        <f t="shared" si="43"/>
        <v>#4</v>
      </c>
      <c r="Z47" s="317" t="str">
        <f t="shared" si="43"/>
        <v>5-10cm</v>
      </c>
      <c r="AA47" s="336">
        <f t="shared" si="44"/>
        <v>45.534150612959827</v>
      </c>
      <c r="AB47" s="329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556"/>
      <c r="AT47" s="556"/>
      <c r="AU47" s="112"/>
      <c r="AV47" s="112"/>
      <c r="AW47" s="112"/>
      <c r="AX47" s="112"/>
      <c r="AY47" s="112"/>
      <c r="AZ47" s="112"/>
      <c r="BA47" s="112"/>
    </row>
    <row r="48" spans="1:53">
      <c r="A48" s="3"/>
      <c r="B48" s="1"/>
      <c r="C48" s="10">
        <v>0.25</v>
      </c>
      <c r="D48" s="18">
        <v>1</v>
      </c>
      <c r="E48" s="377" t="s">
        <v>66</v>
      </c>
      <c r="F48" s="356" t="s">
        <v>5</v>
      </c>
      <c r="G48" s="42">
        <v>4.01</v>
      </c>
      <c r="H48" s="23">
        <v>188.88</v>
      </c>
      <c r="I48" s="23">
        <v>190.61</v>
      </c>
      <c r="J48" s="23">
        <v>188.65</v>
      </c>
      <c r="K48" s="23">
        <v>187.62</v>
      </c>
      <c r="L48" s="229">
        <f t="shared" ref="L48:M55" si="46">H48-J48</f>
        <v>0.22999999999998977</v>
      </c>
      <c r="M48" s="229">
        <f t="shared" si="46"/>
        <v>2.9900000000000091</v>
      </c>
      <c r="N48" s="357">
        <f t="shared" ref="N48:N55" si="47">M48*100/(L48+M48)</f>
        <v>92.857142857143174</v>
      </c>
      <c r="O48" s="51">
        <v>44216</v>
      </c>
      <c r="Q48" s="374" t="str">
        <f t="shared" si="40"/>
        <v>GH8</v>
      </c>
      <c r="R48" s="374" t="str">
        <f t="shared" si="40"/>
        <v>5-10cm</v>
      </c>
      <c r="S48" s="375">
        <f t="shared" si="41"/>
        <v>26.388888888888616</v>
      </c>
      <c r="T48" s="50"/>
      <c r="U48" s="317" t="str">
        <f>E25</f>
        <v>HT6#3</v>
      </c>
      <c r="V48" s="317" t="str">
        <f>F25</f>
        <v>0-5cm</v>
      </c>
      <c r="W48" s="336">
        <f>N25</f>
        <v>90.476190476190865</v>
      </c>
      <c r="X48" s="50"/>
      <c r="Y48" s="317" t="str">
        <f t="shared" si="43"/>
        <v>#4</v>
      </c>
      <c r="Z48" s="317" t="str">
        <f t="shared" si="43"/>
        <v>10-15cm</v>
      </c>
      <c r="AA48" s="336">
        <f t="shared" si="44"/>
        <v>70.604395604395904</v>
      </c>
      <c r="AD48" s="112" t="s">
        <v>72</v>
      </c>
      <c r="AE48" s="112" t="s">
        <v>4</v>
      </c>
      <c r="AF48" s="112">
        <v>78.635014836795321</v>
      </c>
      <c r="AG48" s="112"/>
      <c r="AH48" s="112" t="s">
        <v>68</v>
      </c>
      <c r="AI48" s="112" t="s">
        <v>4</v>
      </c>
      <c r="AJ48" s="112">
        <v>88.059701492536888</v>
      </c>
      <c r="AK48" s="556"/>
      <c r="AL48" s="112" t="s">
        <v>72</v>
      </c>
      <c r="AM48" s="112" t="s">
        <v>5</v>
      </c>
      <c r="AN48" s="112">
        <v>75.892857142856968</v>
      </c>
      <c r="AO48" s="112"/>
      <c r="AP48" s="112" t="s">
        <v>68</v>
      </c>
      <c r="AQ48" s="112" t="s">
        <v>5</v>
      </c>
      <c r="AR48" s="112">
        <v>69.099756690997211</v>
      </c>
      <c r="AS48" s="556"/>
      <c r="AT48" s="112" t="s">
        <v>72</v>
      </c>
      <c r="AU48" s="112" t="s">
        <v>45</v>
      </c>
      <c r="AV48" s="112">
        <v>75.370919881306151</v>
      </c>
      <c r="AW48" s="112"/>
      <c r="AX48" s="112" t="s">
        <v>68</v>
      </c>
      <c r="AY48" s="112" t="s">
        <v>45</v>
      </c>
      <c r="AZ48" s="112">
        <v>39.663461538461711</v>
      </c>
      <c r="BA48" s="112"/>
    </row>
    <row r="49" spans="1:53">
      <c r="A49" s="3"/>
      <c r="B49" s="1"/>
      <c r="C49" s="10">
        <v>0.25</v>
      </c>
      <c r="D49" s="18">
        <v>2</v>
      </c>
      <c r="E49" s="377" t="s">
        <v>66</v>
      </c>
      <c r="F49" s="361" t="s">
        <v>45</v>
      </c>
      <c r="G49" s="42">
        <v>4</v>
      </c>
      <c r="H49" s="23">
        <v>188.01</v>
      </c>
      <c r="I49" s="23">
        <v>190.56</v>
      </c>
      <c r="J49" s="23">
        <v>187.58</v>
      </c>
      <c r="K49" s="23">
        <v>187.51</v>
      </c>
      <c r="L49" s="229">
        <f t="shared" si="46"/>
        <v>0.4299999999999784</v>
      </c>
      <c r="M49" s="229">
        <f t="shared" si="46"/>
        <v>3.0500000000000114</v>
      </c>
      <c r="N49" s="357">
        <f t="shared" si="47"/>
        <v>87.643678160920118</v>
      </c>
      <c r="O49" s="51">
        <v>44216</v>
      </c>
      <c r="Q49" s="374" t="str">
        <f>E262</f>
        <v>GH8</v>
      </c>
      <c r="R49" s="374" t="str">
        <f>F262</f>
        <v>10-15cm</v>
      </c>
      <c r="S49" s="375">
        <f>N262</f>
        <v>39.024390243902637</v>
      </c>
      <c r="T49" s="50"/>
      <c r="U49" s="317" t="str">
        <f>E28</f>
        <v>HT6#3</v>
      </c>
      <c r="V49" s="378" t="str">
        <f>F28</f>
        <v>5-10cm</v>
      </c>
      <c r="W49" s="336">
        <f>N28</f>
        <v>77.170418006431419</v>
      </c>
      <c r="X49" s="50"/>
      <c r="Y49" s="317" t="str">
        <f t="shared" si="43"/>
        <v>#5</v>
      </c>
      <c r="Z49" s="317" t="str">
        <f t="shared" si="43"/>
        <v>0-5cm</v>
      </c>
      <c r="AA49" s="336">
        <f t="shared" si="44"/>
        <v>69.337016574585292</v>
      </c>
      <c r="AD49" s="112" t="s">
        <v>74</v>
      </c>
      <c r="AE49" s="112" t="s">
        <v>4</v>
      </c>
      <c r="AF49" s="112">
        <v>97.683397683397601</v>
      </c>
      <c r="AG49" s="112"/>
      <c r="AH49" s="112" t="s">
        <v>69</v>
      </c>
      <c r="AI49" s="112" t="s">
        <v>4</v>
      </c>
      <c r="AJ49" s="112">
        <v>63.592233009708778</v>
      </c>
      <c r="AK49" s="556"/>
      <c r="AL49" s="112" t="s">
        <v>74</v>
      </c>
      <c r="AM49" s="112" t="s">
        <v>5</v>
      </c>
      <c r="AN49" s="112">
        <v>79.551820728290934</v>
      </c>
      <c r="AO49" s="112"/>
      <c r="AP49" s="112" t="s">
        <v>69</v>
      </c>
      <c r="AQ49" s="112" t="s">
        <v>5</v>
      </c>
      <c r="AR49" s="112">
        <v>79.818594104308175</v>
      </c>
      <c r="AS49" s="556"/>
      <c r="AT49" s="112" t="s">
        <v>74</v>
      </c>
      <c r="AU49" s="112" t="s">
        <v>45</v>
      </c>
      <c r="AV49" s="112">
        <v>74.927113702623558</v>
      </c>
      <c r="AW49" s="112"/>
      <c r="AX49" s="112" t="s">
        <v>69</v>
      </c>
      <c r="AY49" s="112" t="s">
        <v>45</v>
      </c>
      <c r="AZ49" s="112">
        <v>70.289855072463439</v>
      </c>
      <c r="BA49" s="112"/>
    </row>
    <row r="50" spans="1:53">
      <c r="A50" s="3"/>
      <c r="B50" s="1"/>
      <c r="C50" s="10">
        <v>0.25</v>
      </c>
      <c r="D50" s="18">
        <v>3</v>
      </c>
      <c r="E50" s="377" t="s">
        <v>67</v>
      </c>
      <c r="F50" s="361" t="s">
        <v>4</v>
      </c>
      <c r="G50" s="42">
        <v>4.0199999999999996</v>
      </c>
      <c r="H50" s="23">
        <v>187.87</v>
      </c>
      <c r="I50" s="23">
        <v>191.67</v>
      </c>
      <c r="J50" s="23">
        <v>187.35</v>
      </c>
      <c r="K50" s="23">
        <v>188.74</v>
      </c>
      <c r="L50" s="229">
        <f t="shared" si="46"/>
        <v>0.52000000000001023</v>
      </c>
      <c r="M50" s="229">
        <f t="shared" si="46"/>
        <v>2.9299999999999784</v>
      </c>
      <c r="N50" s="357">
        <f t="shared" si="47"/>
        <v>84.927536231883707</v>
      </c>
      <c r="O50" s="51">
        <v>44216</v>
      </c>
      <c r="Q50" s="379" t="str">
        <f t="shared" ref="Q50:R52" si="48">E10</f>
        <v>GH2</v>
      </c>
      <c r="R50" s="379" t="str">
        <f t="shared" si="48"/>
        <v>0-5cm</v>
      </c>
      <c r="S50" s="380">
        <f>N10</f>
        <v>59.815950920245214</v>
      </c>
      <c r="T50" s="50"/>
      <c r="U50" s="317" t="str">
        <f>E29</f>
        <v>HT6#3</v>
      </c>
      <c r="V50" s="378" t="str">
        <f>F29</f>
        <v>10-15cm</v>
      </c>
      <c r="W50" s="336">
        <f>N29</f>
        <v>84.13978494623646</v>
      </c>
      <c r="X50" s="50"/>
      <c r="Y50" s="317" t="str">
        <f t="shared" si="43"/>
        <v>#5</v>
      </c>
      <c r="Z50" s="317" t="str">
        <f t="shared" si="43"/>
        <v>5-10cm</v>
      </c>
      <c r="AA50" s="336">
        <f t="shared" si="44"/>
        <v>64.850136239781605</v>
      </c>
      <c r="AC50" s="50"/>
      <c r="AD50" s="112" t="s">
        <v>75</v>
      </c>
      <c r="AE50" s="112" t="s">
        <v>4</v>
      </c>
      <c r="AF50" s="112">
        <v>66.022099447513355</v>
      </c>
      <c r="AG50" s="112"/>
      <c r="AH50" s="112" t="s">
        <v>70</v>
      </c>
      <c r="AI50" s="112" t="s">
        <v>4</v>
      </c>
      <c r="AJ50" s="112">
        <v>59.934318555008268</v>
      </c>
      <c r="AK50" s="556"/>
      <c r="AL50" s="112" t="s">
        <v>75</v>
      </c>
      <c r="AM50" s="112" t="s">
        <v>5</v>
      </c>
      <c r="AN50" s="112">
        <v>72.282608695652499</v>
      </c>
      <c r="AO50" s="112"/>
      <c r="AP50" s="112" t="s">
        <v>70</v>
      </c>
      <c r="AQ50" s="112" t="s">
        <v>5</v>
      </c>
      <c r="AR50" s="112">
        <v>59.852216748768605</v>
      </c>
      <c r="AS50" s="556"/>
      <c r="AT50" s="112" t="s">
        <v>75</v>
      </c>
      <c r="AU50" s="112" t="s">
        <v>45</v>
      </c>
      <c r="AV50" s="112">
        <v>71.614583333333272</v>
      </c>
      <c r="AW50" s="112"/>
      <c r="AX50" s="112" t="s">
        <v>70</v>
      </c>
      <c r="AY50" s="112" t="s">
        <v>45</v>
      </c>
      <c r="AZ50" s="112">
        <v>52.731591448930992</v>
      </c>
      <c r="BA50" s="112"/>
    </row>
    <row r="51" spans="1:53">
      <c r="A51" s="3"/>
      <c r="B51" s="1"/>
      <c r="C51" s="10">
        <v>0.25</v>
      </c>
      <c r="D51" s="18">
        <v>4</v>
      </c>
      <c r="E51" s="377" t="s">
        <v>67</v>
      </c>
      <c r="F51" s="356" t="s">
        <v>5</v>
      </c>
      <c r="G51" s="42">
        <v>4.0199999999999996</v>
      </c>
      <c r="H51" s="23">
        <v>188.12</v>
      </c>
      <c r="I51" s="23">
        <v>191.7</v>
      </c>
      <c r="J51" s="23">
        <v>187.5</v>
      </c>
      <c r="K51" s="23">
        <v>188.82</v>
      </c>
      <c r="L51" s="229">
        <f t="shared" si="46"/>
        <v>0.62000000000000455</v>
      </c>
      <c r="M51" s="229">
        <f t="shared" si="46"/>
        <v>2.8799999999999955</v>
      </c>
      <c r="N51" s="357">
        <f t="shared" si="47"/>
        <v>82.28571428571415</v>
      </c>
      <c r="O51" s="51">
        <v>44216</v>
      </c>
      <c r="Q51" s="379" t="str">
        <f t="shared" si="48"/>
        <v>GH2</v>
      </c>
      <c r="R51" s="381" t="str">
        <f t="shared" si="48"/>
        <v>5-10cm</v>
      </c>
      <c r="S51" s="380">
        <f>N11</f>
        <v>58.997050147492864</v>
      </c>
      <c r="T51" s="50"/>
      <c r="U51" s="317" t="str">
        <f t="shared" ref="U51:V53" si="49">E230</f>
        <v>HT6 R4#5</v>
      </c>
      <c r="V51" s="317" t="str">
        <f t="shared" si="49"/>
        <v>0-5cm</v>
      </c>
      <c r="W51" s="351">
        <f>N230</f>
        <v>35.294117647062755</v>
      </c>
      <c r="X51" s="50"/>
      <c r="Y51" s="317" t="str">
        <f t="shared" si="43"/>
        <v>#5</v>
      </c>
      <c r="Z51" s="317" t="str">
        <f t="shared" si="43"/>
        <v>10-15cm</v>
      </c>
      <c r="AA51" s="336">
        <f t="shared" si="44"/>
        <v>74.380165289256183</v>
      </c>
      <c r="AC51" s="50"/>
      <c r="AD51" s="112" t="s">
        <v>788</v>
      </c>
      <c r="AE51" s="112" t="s">
        <v>4</v>
      </c>
      <c r="AF51" s="112">
        <v>53.068592057761975</v>
      </c>
      <c r="AG51" s="112"/>
      <c r="AH51" s="112" t="s">
        <v>71</v>
      </c>
      <c r="AI51" s="112" t="s">
        <v>4</v>
      </c>
      <c r="AJ51" s="112">
        <v>92.67676767676717</v>
      </c>
      <c r="AK51" s="556"/>
      <c r="AL51" s="112" t="s">
        <v>788</v>
      </c>
      <c r="AM51" s="112" t="s">
        <v>5</v>
      </c>
      <c r="AN51" s="112">
        <v>65.467625899280307</v>
      </c>
      <c r="AO51" s="112"/>
      <c r="AP51" s="112" t="s">
        <v>71</v>
      </c>
      <c r="AQ51" s="112" t="s">
        <v>5</v>
      </c>
      <c r="AR51" s="112">
        <v>88.557213930348084</v>
      </c>
      <c r="AS51" s="556"/>
      <c r="AT51" s="112" t="s">
        <v>788</v>
      </c>
      <c r="AU51" s="112" t="s">
        <v>45</v>
      </c>
      <c r="AV51" s="112">
        <v>55.384615384615415</v>
      </c>
      <c r="AW51" s="112"/>
      <c r="AX51" s="112" t="s">
        <v>71</v>
      </c>
      <c r="AY51" s="112" t="s">
        <v>45</v>
      </c>
      <c r="AZ51" s="112">
        <v>74.874371859296602</v>
      </c>
      <c r="BA51" s="112"/>
    </row>
    <row r="52" spans="1:53">
      <c r="A52" s="3"/>
      <c r="B52" s="1"/>
      <c r="C52" s="10">
        <v>0.25</v>
      </c>
      <c r="D52" s="18">
        <v>5</v>
      </c>
      <c r="E52" s="377" t="s">
        <v>67</v>
      </c>
      <c r="F52" s="356" t="s">
        <v>45</v>
      </c>
      <c r="G52" s="42">
        <v>4.03</v>
      </c>
      <c r="H52" s="23">
        <v>189.04</v>
      </c>
      <c r="I52" s="23">
        <v>190.69</v>
      </c>
      <c r="J52" s="23">
        <v>187.93</v>
      </c>
      <c r="K52" s="23">
        <v>188.28</v>
      </c>
      <c r="L52" s="229">
        <f t="shared" si="46"/>
        <v>1.1099999999999852</v>
      </c>
      <c r="M52" s="229">
        <f t="shared" si="46"/>
        <v>2.4099999999999966</v>
      </c>
      <c r="N52" s="357">
        <f t="shared" si="47"/>
        <v>68.465909090909349</v>
      </c>
      <c r="O52" s="51">
        <v>44216</v>
      </c>
      <c r="Q52" s="379" t="str">
        <f t="shared" si="48"/>
        <v>GH2</v>
      </c>
      <c r="R52" s="381" t="str">
        <f t="shared" si="48"/>
        <v>10-15cm</v>
      </c>
      <c r="S52" s="380">
        <f>N12</f>
        <v>63.25966850828749</v>
      </c>
      <c r="T52" s="50"/>
      <c r="U52" s="317" t="str">
        <f t="shared" si="49"/>
        <v>HT6 R4#5</v>
      </c>
      <c r="V52" s="317" t="str">
        <f t="shared" si="49"/>
        <v>5-10cm</v>
      </c>
      <c r="W52" s="351">
        <f>N231</f>
        <v>72.000000000002728</v>
      </c>
      <c r="X52" s="50"/>
      <c r="AD52" s="112" t="s">
        <v>775</v>
      </c>
      <c r="AE52" s="112" t="s">
        <v>4</v>
      </c>
      <c r="AF52" s="112">
        <v>50.787401574802992</v>
      </c>
      <c r="AG52" s="112"/>
      <c r="AH52" s="112" t="s">
        <v>796</v>
      </c>
      <c r="AI52" s="112" t="s">
        <v>4</v>
      </c>
      <c r="AJ52" s="112">
        <v>18.421052631579407</v>
      </c>
      <c r="AK52" s="556"/>
      <c r="AL52" s="112" t="s">
        <v>775</v>
      </c>
      <c r="AM52" s="112" t="s">
        <v>5</v>
      </c>
      <c r="AN52" s="112">
        <v>32.53731343283598</v>
      </c>
      <c r="AO52" s="112"/>
      <c r="AP52" s="112" t="s">
        <v>796</v>
      </c>
      <c r="AQ52" s="112" t="s">
        <v>5</v>
      </c>
      <c r="AR52" s="112">
        <v>67.469879518071551</v>
      </c>
      <c r="AS52" s="556"/>
      <c r="AT52" s="112" t="s">
        <v>775</v>
      </c>
      <c r="AU52" s="112" t="s">
        <v>45</v>
      </c>
      <c r="AV52" s="112">
        <v>52.531645569620203</v>
      </c>
      <c r="AW52" s="112"/>
      <c r="AX52" s="112" t="s">
        <v>796</v>
      </c>
      <c r="AY52" s="112" t="s">
        <v>45</v>
      </c>
      <c r="AZ52" s="112">
        <v>67.281105990782848</v>
      </c>
      <c r="BA52" s="112"/>
    </row>
    <row r="53" spans="1:53">
      <c r="A53" s="3"/>
      <c r="B53" s="1"/>
      <c r="C53" s="10">
        <v>0.25</v>
      </c>
      <c r="D53" s="18">
        <v>6</v>
      </c>
      <c r="E53" s="382" t="s">
        <v>68</v>
      </c>
      <c r="F53" s="361" t="s">
        <v>4</v>
      </c>
      <c r="G53" s="42">
        <v>4.03</v>
      </c>
      <c r="H53" s="23">
        <v>188.12</v>
      </c>
      <c r="I53" s="23">
        <v>192.39</v>
      </c>
      <c r="J53" s="23">
        <v>187.64</v>
      </c>
      <c r="K53" s="23">
        <v>188.85</v>
      </c>
      <c r="L53" s="229">
        <f t="shared" si="46"/>
        <v>0.48000000000001819</v>
      </c>
      <c r="M53" s="229">
        <f t="shared" si="46"/>
        <v>3.539999999999992</v>
      </c>
      <c r="N53" s="357">
        <f t="shared" si="47"/>
        <v>88.059701492536888</v>
      </c>
      <c r="O53" s="51">
        <v>44216</v>
      </c>
      <c r="Q53" s="383" t="str">
        <f>E204</f>
        <v>GH9</v>
      </c>
      <c r="R53" s="383" t="str">
        <f>F204</f>
        <v>0-5cm</v>
      </c>
      <c r="S53" s="384">
        <f>N204</f>
        <v>18.627450980392005</v>
      </c>
      <c r="T53" s="50"/>
      <c r="U53" s="317" t="str">
        <f t="shared" si="49"/>
        <v>HT6 R4#5</v>
      </c>
      <c r="V53" s="317" t="str">
        <f t="shared" si="49"/>
        <v>10-15cm</v>
      </c>
      <c r="W53" s="351">
        <f>N232</f>
        <v>59.440559440558758</v>
      </c>
      <c r="X53" s="50"/>
      <c r="AD53" s="112" t="s">
        <v>774</v>
      </c>
      <c r="AE53" s="112" t="s">
        <v>4</v>
      </c>
      <c r="AF53" s="112">
        <v>59.447004608294129</v>
      </c>
      <c r="AG53" s="112"/>
      <c r="AH53" s="112" t="s">
        <v>801</v>
      </c>
      <c r="AI53" s="112" t="s">
        <v>4</v>
      </c>
      <c r="AJ53" s="112">
        <v>75.925925925923679</v>
      </c>
      <c r="AK53" s="556"/>
      <c r="AL53" s="112" t="s">
        <v>774</v>
      </c>
      <c r="AM53" s="112" t="s">
        <v>5</v>
      </c>
      <c r="AN53" s="112">
        <v>60.504201680672288</v>
      </c>
      <c r="AO53" s="112"/>
      <c r="AP53" s="112" t="s">
        <v>801</v>
      </c>
      <c r="AQ53" s="112" t="s">
        <v>5</v>
      </c>
      <c r="AR53" s="112">
        <v>90.344827586207757</v>
      </c>
      <c r="AS53" s="556"/>
      <c r="AT53" s="112" t="s">
        <v>774</v>
      </c>
      <c r="AU53" s="112" t="s">
        <v>45</v>
      </c>
      <c r="AV53" s="112">
        <v>40.978593272171231</v>
      </c>
      <c r="AW53" s="112"/>
      <c r="AX53" s="112" t="s">
        <v>801</v>
      </c>
      <c r="AY53" s="112" t="s">
        <v>45</v>
      </c>
      <c r="AZ53" s="112">
        <v>74.468085106382958</v>
      </c>
      <c r="BA53" s="112"/>
    </row>
    <row r="54" spans="1:53">
      <c r="A54" s="3"/>
      <c r="B54" s="1"/>
      <c r="C54" s="10">
        <v>0.25</v>
      </c>
      <c r="D54" s="18">
        <v>7</v>
      </c>
      <c r="E54" s="382" t="s">
        <v>68</v>
      </c>
      <c r="F54" s="356" t="s">
        <v>5</v>
      </c>
      <c r="G54" s="42">
        <v>4.0199999999999996</v>
      </c>
      <c r="H54" s="23">
        <v>188.99</v>
      </c>
      <c r="I54" s="23">
        <v>190.64</v>
      </c>
      <c r="J54" s="23">
        <v>187.72</v>
      </c>
      <c r="K54" s="23">
        <v>187.8</v>
      </c>
      <c r="L54" s="229">
        <f t="shared" si="46"/>
        <v>1.2700000000000102</v>
      </c>
      <c r="M54" s="229">
        <f t="shared" si="46"/>
        <v>2.839999999999975</v>
      </c>
      <c r="N54" s="357">
        <f t="shared" si="47"/>
        <v>69.099756690997211</v>
      </c>
      <c r="O54" s="51">
        <v>44216</v>
      </c>
      <c r="Q54" s="374"/>
      <c r="R54" s="374"/>
      <c r="S54" s="374"/>
      <c r="T54" s="50"/>
      <c r="U54" s="50"/>
      <c r="V54" s="50"/>
      <c r="W54" s="50"/>
      <c r="X54" s="50"/>
      <c r="Y54" s="317" t="str">
        <f>E38</f>
        <v>GHXX1</v>
      </c>
      <c r="Z54" s="317" t="str">
        <f>F38</f>
        <v>5-10cm</v>
      </c>
      <c r="AA54" s="336">
        <f>N38</f>
        <v>92.944785276073105</v>
      </c>
      <c r="AD54" s="112"/>
      <c r="AE54" s="112"/>
      <c r="AF54" s="112"/>
      <c r="AG54" s="112"/>
      <c r="AH54" s="112"/>
      <c r="AI54" s="112"/>
      <c r="AJ54" s="112"/>
      <c r="AK54" s="556"/>
      <c r="AL54" s="556"/>
      <c r="AM54" s="556"/>
      <c r="AN54" s="556"/>
      <c r="AO54" s="556"/>
      <c r="AP54" s="556"/>
      <c r="AQ54" s="556"/>
      <c r="AR54" s="556"/>
      <c r="AS54" s="556"/>
      <c r="AT54" s="556"/>
      <c r="AU54" s="112"/>
      <c r="AV54" s="112"/>
      <c r="AW54" s="112"/>
      <c r="AX54" s="112"/>
      <c r="AY54" s="112"/>
      <c r="AZ54" s="112"/>
      <c r="BA54" s="112"/>
    </row>
    <row r="55" spans="1:53">
      <c r="A55" s="3"/>
      <c r="B55" s="1"/>
      <c r="C55" s="10">
        <v>0.25</v>
      </c>
      <c r="D55" s="18">
        <v>8</v>
      </c>
      <c r="E55" s="382" t="s">
        <v>68</v>
      </c>
      <c r="F55" s="356" t="s">
        <v>45</v>
      </c>
      <c r="G55" s="42">
        <v>4.05</v>
      </c>
      <c r="H55" s="23">
        <v>191.25</v>
      </c>
      <c r="I55" s="23">
        <v>190.49</v>
      </c>
      <c r="J55" s="23">
        <v>188.74</v>
      </c>
      <c r="K55" s="23">
        <v>188.84</v>
      </c>
      <c r="L55" s="229">
        <f t="shared" si="46"/>
        <v>2.5099999999999909</v>
      </c>
      <c r="M55" s="229">
        <f t="shared" si="46"/>
        <v>1.6500000000000057</v>
      </c>
      <c r="N55" s="357">
        <f t="shared" si="47"/>
        <v>39.663461538461711</v>
      </c>
      <c r="O55" s="51">
        <v>44216</v>
      </c>
      <c r="Q55" s="383" t="str">
        <f>E205</f>
        <v>GH9</v>
      </c>
      <c r="R55" s="383" t="str">
        <f>F205</f>
        <v>10-15cm</v>
      </c>
      <c r="S55" s="384">
        <f>N205</f>
        <v>35.555555555555614</v>
      </c>
      <c r="T55" s="50"/>
      <c r="U55" s="385" t="str">
        <f t="shared" ref="U55:V57" si="50">E53</f>
        <v>Native#1</v>
      </c>
      <c r="V55" s="385" t="str">
        <f t="shared" si="50"/>
        <v>0-5cm</v>
      </c>
      <c r="W55" s="386">
        <f>N53</f>
        <v>88.059701492536888</v>
      </c>
      <c r="X55" s="50"/>
      <c r="Y55" s="52"/>
      <c r="Z55" s="52"/>
      <c r="AA55" s="52"/>
      <c r="AD55" s="112"/>
      <c r="AE55" s="112"/>
      <c r="AF55" s="112"/>
      <c r="AG55" s="112"/>
      <c r="AH55" s="112"/>
      <c r="AI55" s="112"/>
      <c r="AJ55" s="112"/>
      <c r="AK55" s="556"/>
      <c r="AL55" s="556"/>
      <c r="AM55" s="556"/>
      <c r="AN55" s="556"/>
      <c r="AO55" s="556"/>
      <c r="AP55" s="556"/>
      <c r="AQ55" s="556"/>
      <c r="AR55" s="556"/>
      <c r="AS55" s="556"/>
      <c r="AT55" s="556"/>
      <c r="AU55" s="112"/>
      <c r="AV55" s="112"/>
      <c r="AW55" s="112"/>
      <c r="AX55" s="112"/>
      <c r="AY55" s="112"/>
      <c r="AZ55" s="112"/>
      <c r="BA55" s="112"/>
    </row>
    <row r="56" spans="1:53" s="15" customFormat="1">
      <c r="C56" s="34"/>
      <c r="D56" s="18"/>
      <c r="E56" s="48"/>
      <c r="F56" s="22"/>
      <c r="G56" s="42"/>
      <c r="H56" s="23"/>
      <c r="I56" s="23"/>
      <c r="J56" s="23"/>
      <c r="K56" s="23"/>
      <c r="L56" s="23"/>
      <c r="M56" s="23"/>
      <c r="N56" s="25"/>
      <c r="O56" s="51"/>
      <c r="Q56" s="385" t="str">
        <f t="shared" ref="Q56:R58" si="51">E209</f>
        <v>GH12</v>
      </c>
      <c r="R56" s="385" t="str">
        <f t="shared" si="51"/>
        <v>0-5cm</v>
      </c>
      <c r="S56" s="386">
        <f>N209</f>
        <v>40.291262135922892</v>
      </c>
      <c r="T56" s="52"/>
      <c r="U56" s="385" t="str">
        <f t="shared" si="50"/>
        <v>Native#1</v>
      </c>
      <c r="V56" s="385" t="str">
        <f t="shared" si="50"/>
        <v>5-10cm</v>
      </c>
      <c r="W56" s="386">
        <f>N54</f>
        <v>69.099756690997211</v>
      </c>
      <c r="X56" s="52"/>
      <c r="Y56" s="317" t="str">
        <f t="shared" ref="Y56:Z62" si="52">E39</f>
        <v>GHXX2</v>
      </c>
      <c r="Z56" s="317" t="str">
        <f t="shared" si="52"/>
        <v>0-5cm</v>
      </c>
      <c r="AA56" s="336">
        <f t="shared" ref="AA56:AA62" si="53">N39</f>
        <v>92.397660818713689</v>
      </c>
      <c r="AD56" s="112"/>
      <c r="AE56" s="112"/>
      <c r="AF56" s="112"/>
      <c r="AG56" s="112"/>
      <c r="AH56" s="112"/>
      <c r="AI56" s="112"/>
      <c r="AJ56" s="112"/>
      <c r="AK56" s="556"/>
      <c r="AL56" s="556"/>
      <c r="AM56" s="556"/>
      <c r="AN56" s="556"/>
      <c r="AO56" s="556"/>
      <c r="AP56" s="556"/>
      <c r="AQ56" s="556"/>
      <c r="AR56" s="556"/>
      <c r="AS56" s="556"/>
      <c r="AT56" s="556"/>
      <c r="AU56" s="112"/>
      <c r="AV56" s="112"/>
      <c r="AW56" s="112"/>
      <c r="AX56" s="112"/>
      <c r="AY56" s="112"/>
      <c r="AZ56" s="112"/>
      <c r="BA56" s="112"/>
    </row>
    <row r="57" spans="1:53" ht="31.5">
      <c r="E57" s="48" t="s">
        <v>104</v>
      </c>
      <c r="J57" s="44" t="s">
        <v>1025</v>
      </c>
      <c r="K57" s="44" t="s">
        <v>1026</v>
      </c>
      <c r="L57" s="226" t="s">
        <v>42</v>
      </c>
      <c r="M57" s="226" t="s">
        <v>43</v>
      </c>
      <c r="N57" s="227" t="s">
        <v>44</v>
      </c>
      <c r="O57" s="50" t="s">
        <v>107</v>
      </c>
      <c r="Q57" s="385" t="str">
        <f t="shared" si="51"/>
        <v>GH12</v>
      </c>
      <c r="R57" s="385" t="str">
        <f t="shared" si="51"/>
        <v>5-10cm</v>
      </c>
      <c r="S57" s="386">
        <f>N210</f>
        <v>47.413793103448171</v>
      </c>
      <c r="T57" s="50"/>
      <c r="U57" s="385" t="str">
        <f t="shared" si="50"/>
        <v>Native#1</v>
      </c>
      <c r="V57" s="385" t="str">
        <f t="shared" si="50"/>
        <v>10-15cm</v>
      </c>
      <c r="W57" s="386">
        <f>N55</f>
        <v>39.663461538461711</v>
      </c>
      <c r="X57" s="50"/>
      <c r="Y57" s="317" t="str">
        <f t="shared" si="52"/>
        <v>GHXX2</v>
      </c>
      <c r="Z57" s="317" t="str">
        <f t="shared" si="52"/>
        <v>5-10cm</v>
      </c>
      <c r="AA57" s="336">
        <f t="shared" si="53"/>
        <v>88.472622478386</v>
      </c>
      <c r="AD57" s="112"/>
      <c r="AE57" s="112"/>
      <c r="AF57" s="112"/>
      <c r="AG57" s="112"/>
      <c r="AH57" s="112"/>
      <c r="AI57" s="112"/>
      <c r="AJ57" s="112"/>
      <c r="AK57" s="556"/>
      <c r="AL57" s="556"/>
      <c r="AM57" s="556"/>
      <c r="AN57" s="556"/>
      <c r="AO57" s="556"/>
      <c r="AP57" s="556"/>
      <c r="AQ57" s="556"/>
      <c r="AR57" s="556"/>
      <c r="AS57" s="556"/>
      <c r="AT57" s="556"/>
      <c r="AU57" s="112"/>
      <c r="AV57" s="112"/>
      <c r="AW57" s="112"/>
      <c r="AX57" s="112"/>
      <c r="AY57" s="112"/>
      <c r="AZ57" s="112"/>
      <c r="BA57" s="112"/>
    </row>
    <row r="58" spans="1:53">
      <c r="A58" s="3"/>
      <c r="B58" s="1"/>
      <c r="C58" s="10">
        <v>0.25</v>
      </c>
      <c r="D58" s="18">
        <v>1</v>
      </c>
      <c r="E58" s="382" t="s">
        <v>69</v>
      </c>
      <c r="F58" s="361" t="s">
        <v>4</v>
      </c>
      <c r="G58" s="42">
        <v>4.1100000000000003</v>
      </c>
      <c r="H58" s="23">
        <v>192.21</v>
      </c>
      <c r="I58" s="23">
        <v>193.74</v>
      </c>
      <c r="J58" s="23">
        <v>190.71</v>
      </c>
      <c r="K58" s="23">
        <v>191.12</v>
      </c>
      <c r="L58" s="229">
        <f>H58-J58</f>
        <v>1.5</v>
      </c>
      <c r="M58" s="229">
        <f t="shared" ref="M58:M65" si="54">I58-K58</f>
        <v>2.6200000000000045</v>
      </c>
      <c r="N58" s="357">
        <f t="shared" ref="N58:N65" si="55">M58*100/(L58+M58)</f>
        <v>63.592233009708778</v>
      </c>
      <c r="O58" s="51">
        <v>44216</v>
      </c>
      <c r="Q58" s="385" t="str">
        <f t="shared" si="51"/>
        <v>GH12</v>
      </c>
      <c r="R58" s="385" t="str">
        <f t="shared" si="51"/>
        <v>10-15cm</v>
      </c>
      <c r="S58" s="386">
        <f>N211</f>
        <v>34.768211920530057</v>
      </c>
      <c r="T58" s="50"/>
      <c r="U58" s="385" t="str">
        <f t="shared" ref="U58:V65" si="56">E58</f>
        <v>Native#2</v>
      </c>
      <c r="V58" s="385" t="str">
        <f t="shared" si="56"/>
        <v>0-5cm</v>
      </c>
      <c r="W58" s="386">
        <f t="shared" ref="W58:W65" si="57">N58</f>
        <v>63.592233009708778</v>
      </c>
      <c r="X58" s="50"/>
      <c r="Y58" s="317" t="str">
        <f t="shared" si="52"/>
        <v>GHXX2</v>
      </c>
      <c r="Z58" s="317" t="str">
        <f t="shared" si="52"/>
        <v>10-15cm</v>
      </c>
      <c r="AA58" s="336">
        <f t="shared" si="53"/>
        <v>73.295454545454689</v>
      </c>
      <c r="AD58" s="112"/>
      <c r="AE58" s="112"/>
      <c r="AF58" s="112"/>
      <c r="AG58" s="112"/>
      <c r="AH58" s="112"/>
      <c r="AI58" s="112"/>
      <c r="AJ58" s="112"/>
      <c r="AK58" s="556"/>
      <c r="AL58" s="556"/>
      <c r="AM58" s="556"/>
      <c r="AN58" s="556"/>
      <c r="AO58" s="556"/>
      <c r="AP58" s="556"/>
      <c r="AQ58" s="112" t="s">
        <v>72</v>
      </c>
      <c r="AR58" s="112" t="s">
        <v>73</v>
      </c>
      <c r="AS58" s="112">
        <v>68.168168168168222</v>
      </c>
      <c r="AT58" s="556"/>
      <c r="AU58" s="112"/>
      <c r="AV58" s="112"/>
      <c r="AW58" s="112"/>
      <c r="AX58" s="112"/>
      <c r="AY58" s="112"/>
      <c r="AZ58" s="112"/>
      <c r="BA58" s="112"/>
    </row>
    <row r="59" spans="1:53">
      <c r="A59" s="3"/>
      <c r="B59" s="1"/>
      <c r="C59" s="10">
        <v>0.25</v>
      </c>
      <c r="D59" s="18">
        <v>2</v>
      </c>
      <c r="E59" s="382" t="s">
        <v>69</v>
      </c>
      <c r="F59" s="356" t="s">
        <v>5</v>
      </c>
      <c r="G59" s="42">
        <v>4.3099999999999996</v>
      </c>
      <c r="H59" s="23">
        <v>191.12</v>
      </c>
      <c r="I59" s="23">
        <v>194.11</v>
      </c>
      <c r="J59" s="23">
        <v>190.23</v>
      </c>
      <c r="K59" s="23">
        <v>190.59</v>
      </c>
      <c r="L59" s="229">
        <f t="shared" ref="L59:L65" si="58">H59-J59</f>
        <v>0.89000000000001478</v>
      </c>
      <c r="M59" s="229">
        <f t="shared" si="54"/>
        <v>3.5200000000000102</v>
      </c>
      <c r="N59" s="357">
        <f t="shared" si="55"/>
        <v>79.818594104308175</v>
      </c>
      <c r="O59" s="51">
        <v>44216</v>
      </c>
      <c r="Q59" s="379" t="str">
        <f>E13</f>
        <v>GH10</v>
      </c>
      <c r="R59" s="381" t="str">
        <f>F13</f>
        <v>0-5cm</v>
      </c>
      <c r="S59" s="380">
        <f>N13</f>
        <v>46.081504702193946</v>
      </c>
      <c r="T59" s="50"/>
      <c r="U59" s="385" t="str">
        <f t="shared" si="56"/>
        <v>Native#2</v>
      </c>
      <c r="V59" s="385" t="str">
        <f t="shared" si="56"/>
        <v>5-10cm</v>
      </c>
      <c r="W59" s="386">
        <f t="shared" si="57"/>
        <v>79.818594104308175</v>
      </c>
      <c r="X59" s="50"/>
      <c r="Y59" s="317" t="str">
        <f t="shared" si="52"/>
        <v>GHXX3</v>
      </c>
      <c r="Z59" s="317" t="str">
        <f t="shared" si="52"/>
        <v>0-5cm</v>
      </c>
      <c r="AA59" s="336">
        <f t="shared" si="53"/>
        <v>88.023952095808326</v>
      </c>
      <c r="AD59" s="112"/>
      <c r="AE59" s="112"/>
      <c r="AF59" s="112"/>
      <c r="AG59" s="112"/>
      <c r="AH59" s="112"/>
      <c r="AI59" s="112"/>
      <c r="AJ59" s="112"/>
      <c r="AK59" s="556"/>
      <c r="AL59" s="556"/>
      <c r="AM59" s="556"/>
      <c r="AN59" s="556"/>
      <c r="AO59" s="556"/>
      <c r="AP59" s="556"/>
      <c r="AQ59" s="112" t="s">
        <v>72</v>
      </c>
      <c r="AR59" s="112" t="s">
        <v>792</v>
      </c>
      <c r="AS59" s="112">
        <v>77.409638554216826</v>
      </c>
      <c r="AT59" s="556"/>
      <c r="AU59" s="112"/>
      <c r="AV59" s="112"/>
      <c r="AW59" s="112"/>
      <c r="AX59" s="112"/>
      <c r="AY59" s="112"/>
      <c r="AZ59" s="112"/>
      <c r="BA59" s="112"/>
    </row>
    <row r="60" spans="1:53">
      <c r="A60" s="3"/>
      <c r="B60" s="1"/>
      <c r="C60" s="10">
        <v>0.25</v>
      </c>
      <c r="D60" s="18">
        <v>3</v>
      </c>
      <c r="E60" s="382" t="s">
        <v>69</v>
      </c>
      <c r="F60" s="356" t="s">
        <v>45</v>
      </c>
      <c r="G60" s="42">
        <v>4.03</v>
      </c>
      <c r="H60" s="23">
        <v>192.33</v>
      </c>
      <c r="I60" s="23">
        <v>193.84</v>
      </c>
      <c r="J60" s="23">
        <v>191.1</v>
      </c>
      <c r="K60" s="23">
        <v>190.93</v>
      </c>
      <c r="L60" s="229">
        <f t="shared" si="58"/>
        <v>1.2300000000000182</v>
      </c>
      <c r="M60" s="229">
        <f t="shared" si="54"/>
        <v>2.9099999999999966</v>
      </c>
      <c r="N60" s="357">
        <f t="shared" si="55"/>
        <v>70.289855072463439</v>
      </c>
      <c r="O60" s="51">
        <v>44216</v>
      </c>
      <c r="Q60" s="379" t="str">
        <f t="shared" ref="Q60:R61" si="59">E14</f>
        <v>GH10</v>
      </c>
      <c r="R60" s="381" t="str">
        <f t="shared" si="59"/>
        <v>5-10cm</v>
      </c>
      <c r="S60" s="380">
        <f t="shared" ref="S60:S61" si="60">N14</f>
        <v>49.230769230769056</v>
      </c>
      <c r="T60" s="50"/>
      <c r="U60" s="385" t="str">
        <f t="shared" si="56"/>
        <v>Native#2</v>
      </c>
      <c r="V60" s="385" t="str">
        <f t="shared" si="56"/>
        <v>10-15cm</v>
      </c>
      <c r="W60" s="386">
        <f t="shared" si="57"/>
        <v>70.289855072463439</v>
      </c>
      <c r="X60" s="52"/>
      <c r="Y60" s="317" t="str">
        <f t="shared" si="52"/>
        <v>GHXX3</v>
      </c>
      <c r="Z60" s="317" t="str">
        <f t="shared" si="52"/>
        <v>5-10cm</v>
      </c>
      <c r="AA60" s="336">
        <f t="shared" si="53"/>
        <v>88.728323699421566</v>
      </c>
      <c r="AD60" s="112"/>
      <c r="AE60" s="112"/>
      <c r="AF60" s="112"/>
      <c r="AG60" s="112"/>
      <c r="AH60" s="112"/>
      <c r="AI60" s="112"/>
      <c r="AJ60" s="112"/>
      <c r="AK60" s="556"/>
      <c r="AL60" s="556"/>
      <c r="AM60" s="556"/>
      <c r="AN60" s="556"/>
      <c r="AO60" s="556"/>
      <c r="AP60" s="556"/>
      <c r="AQ60" s="112" t="s">
        <v>74</v>
      </c>
      <c r="AR60" s="112" t="s">
        <v>73</v>
      </c>
      <c r="AS60" s="112">
        <v>75.30120481927726</v>
      </c>
      <c r="AT60" s="556"/>
      <c r="AU60" s="112"/>
      <c r="AV60" s="112"/>
      <c r="AW60" s="112"/>
      <c r="AX60" s="112"/>
      <c r="AY60" s="112"/>
      <c r="AZ60" s="112"/>
      <c r="BA60" s="112"/>
    </row>
    <row r="61" spans="1:53">
      <c r="A61" s="3"/>
      <c r="B61" s="1"/>
      <c r="C61" s="10">
        <v>0.25</v>
      </c>
      <c r="D61" s="18">
        <v>4</v>
      </c>
      <c r="E61" s="382" t="s">
        <v>70</v>
      </c>
      <c r="F61" s="361" t="s">
        <v>4</v>
      </c>
      <c r="G61" s="42">
        <v>4.05</v>
      </c>
      <c r="H61" s="23">
        <v>190.2</v>
      </c>
      <c r="I61" s="23">
        <v>193.79</v>
      </c>
      <c r="J61" s="23">
        <v>187.76</v>
      </c>
      <c r="K61" s="23">
        <v>190.14</v>
      </c>
      <c r="L61" s="229">
        <f t="shared" si="58"/>
        <v>2.4399999999999977</v>
      </c>
      <c r="M61" s="229">
        <f t="shared" si="54"/>
        <v>3.6500000000000057</v>
      </c>
      <c r="N61" s="357">
        <f t="shared" si="55"/>
        <v>59.934318555008268</v>
      </c>
      <c r="O61" s="51">
        <v>44216</v>
      </c>
      <c r="Q61" s="379" t="str">
        <f>E15</f>
        <v>GH10</v>
      </c>
      <c r="R61" s="381" t="str">
        <f t="shared" si="59"/>
        <v>10-15cm</v>
      </c>
      <c r="S61" s="380">
        <f t="shared" si="60"/>
        <v>50.555555555555443</v>
      </c>
      <c r="T61" s="50"/>
      <c r="U61" s="385" t="str">
        <f t="shared" si="56"/>
        <v>Native#3</v>
      </c>
      <c r="V61" s="385" t="str">
        <f t="shared" si="56"/>
        <v>0-5cm</v>
      </c>
      <c r="W61" s="386">
        <f t="shared" si="57"/>
        <v>59.934318555008268</v>
      </c>
      <c r="X61" s="156"/>
      <c r="Y61" s="317" t="str">
        <f t="shared" si="52"/>
        <v>GHXX3</v>
      </c>
      <c r="Z61" s="317" t="str">
        <f t="shared" si="52"/>
        <v>10-15cm</v>
      </c>
      <c r="AA61" s="336">
        <f t="shared" si="53"/>
        <v>77.207977207977009</v>
      </c>
      <c r="AD61" s="112"/>
      <c r="AE61" s="112"/>
      <c r="AF61" s="112"/>
      <c r="AG61" s="112"/>
      <c r="AH61" s="112"/>
      <c r="AI61" s="112"/>
      <c r="AJ61" s="112"/>
      <c r="AK61" s="556"/>
      <c r="AL61" s="556"/>
      <c r="AM61" s="556"/>
      <c r="AN61" s="556"/>
      <c r="AO61" s="556"/>
      <c r="AP61" s="556"/>
      <c r="AQ61" s="112" t="s">
        <v>74</v>
      </c>
      <c r="AR61" s="112" t="s">
        <v>792</v>
      </c>
      <c r="AS61" s="112">
        <v>71.328671328671419</v>
      </c>
      <c r="AT61" s="556"/>
      <c r="AU61" s="112"/>
      <c r="AV61" s="112"/>
      <c r="AW61" s="112"/>
      <c r="AX61" s="112"/>
      <c r="AY61" s="112"/>
      <c r="AZ61" s="112"/>
      <c r="BA61" s="112"/>
    </row>
    <row r="62" spans="1:53">
      <c r="A62" s="3"/>
      <c r="B62" s="1"/>
      <c r="C62" s="10">
        <v>0.25</v>
      </c>
      <c r="D62" s="18">
        <v>5</v>
      </c>
      <c r="E62" s="382" t="s">
        <v>70</v>
      </c>
      <c r="F62" s="356" t="s">
        <v>5</v>
      </c>
      <c r="G62" s="42">
        <v>4.01</v>
      </c>
      <c r="H62" s="23">
        <v>191.66</v>
      </c>
      <c r="I62" s="23">
        <v>192.38</v>
      </c>
      <c r="J62" s="23">
        <v>190.03</v>
      </c>
      <c r="K62" s="23">
        <v>189.95</v>
      </c>
      <c r="L62" s="229">
        <f t="shared" si="58"/>
        <v>1.6299999999999955</v>
      </c>
      <c r="M62" s="229">
        <f t="shared" si="54"/>
        <v>2.4300000000000068</v>
      </c>
      <c r="N62" s="357">
        <f t="shared" si="55"/>
        <v>59.852216748768605</v>
      </c>
      <c r="O62" s="51">
        <v>44216</v>
      </c>
      <c r="Q62" s="385" t="str">
        <f>E105</f>
        <v>GH11</v>
      </c>
      <c r="R62" s="387" t="str">
        <f>F105</f>
        <v>0-5cm</v>
      </c>
      <c r="S62" s="386">
        <f>N105</f>
        <v>43.214285714285822</v>
      </c>
      <c r="T62" s="50"/>
      <c r="U62" s="385" t="str">
        <f t="shared" si="56"/>
        <v>Native#3</v>
      </c>
      <c r="V62" s="385" t="str">
        <f t="shared" si="56"/>
        <v>5-10cm</v>
      </c>
      <c r="W62" s="386">
        <f t="shared" si="57"/>
        <v>59.852216748768605</v>
      </c>
      <c r="X62" s="52"/>
      <c r="Y62" s="317" t="str">
        <f t="shared" si="52"/>
        <v>GHXX5</v>
      </c>
      <c r="Z62" s="317" t="str">
        <f t="shared" si="52"/>
        <v>0-5cm</v>
      </c>
      <c r="AA62" s="336">
        <f t="shared" si="53"/>
        <v>90.545454545454874</v>
      </c>
      <c r="AD62" s="112"/>
      <c r="AE62" s="112"/>
      <c r="AF62" s="112"/>
      <c r="AG62" s="112"/>
      <c r="AH62" s="112"/>
      <c r="AI62" s="112"/>
      <c r="AJ62" s="112"/>
      <c r="AK62" s="556"/>
      <c r="AL62" s="556"/>
      <c r="AM62" s="556"/>
      <c r="AN62" s="556"/>
      <c r="AO62" s="556"/>
      <c r="AP62" s="556"/>
      <c r="AQ62" s="112" t="s">
        <v>75</v>
      </c>
      <c r="AR62" s="112" t="s">
        <v>73</v>
      </c>
      <c r="AS62" s="112">
        <v>74.386920980926405</v>
      </c>
      <c r="AT62" s="556"/>
      <c r="AU62" s="112"/>
      <c r="AV62" s="112"/>
      <c r="AW62" s="112"/>
      <c r="AX62" s="112"/>
      <c r="AY62" s="112"/>
      <c r="AZ62" s="112"/>
      <c r="BA62" s="112"/>
    </row>
    <row r="63" spans="1:53">
      <c r="A63" s="3"/>
      <c r="B63" s="1"/>
      <c r="C63" s="10">
        <v>0.25</v>
      </c>
      <c r="D63" s="18">
        <v>6</v>
      </c>
      <c r="E63" s="382" t="s">
        <v>70</v>
      </c>
      <c r="F63" s="356" t="s">
        <v>45</v>
      </c>
      <c r="G63" s="42">
        <v>4.1100000000000003</v>
      </c>
      <c r="H63" s="23">
        <v>193</v>
      </c>
      <c r="I63" s="23">
        <v>193.18</v>
      </c>
      <c r="J63" s="23">
        <v>191.01</v>
      </c>
      <c r="K63" s="23">
        <v>190.96</v>
      </c>
      <c r="L63" s="229">
        <f t="shared" si="58"/>
        <v>1.9900000000000091</v>
      </c>
      <c r="M63" s="229">
        <f t="shared" si="54"/>
        <v>2.2199999999999989</v>
      </c>
      <c r="N63" s="357">
        <f t="shared" si="55"/>
        <v>52.731591448930992</v>
      </c>
      <c r="O63" s="51">
        <v>44216</v>
      </c>
      <c r="Q63" s="385" t="str">
        <f t="shared" ref="Q63:R67" si="61">E109</f>
        <v>GH11</v>
      </c>
      <c r="R63" s="385" t="str">
        <f t="shared" si="61"/>
        <v>5-10cm</v>
      </c>
      <c r="S63" s="386">
        <f>N109</f>
        <v>45.558739255014679</v>
      </c>
      <c r="T63" s="50"/>
      <c r="U63" s="385" t="str">
        <f t="shared" si="56"/>
        <v>Native#3</v>
      </c>
      <c r="V63" s="385" t="str">
        <f t="shared" si="56"/>
        <v>10-15cm</v>
      </c>
      <c r="W63" s="386">
        <f t="shared" si="57"/>
        <v>52.731591448930992</v>
      </c>
      <c r="X63" s="329"/>
      <c r="Y63" s="317" t="str">
        <f t="shared" ref="Y63:Z67" si="62">E48</f>
        <v>GHXX5</v>
      </c>
      <c r="Z63" s="317" t="str">
        <f t="shared" si="62"/>
        <v>5-10cm</v>
      </c>
      <c r="AA63" s="336">
        <f>N48</f>
        <v>92.857142857143174</v>
      </c>
      <c r="AD63" s="112"/>
      <c r="AE63" s="112"/>
      <c r="AF63" s="112"/>
      <c r="AG63" s="112"/>
      <c r="AH63" s="112"/>
      <c r="AI63" s="112"/>
      <c r="AJ63" s="112"/>
      <c r="AK63" s="556"/>
      <c r="AL63" s="556"/>
      <c r="AM63" s="556"/>
      <c r="AN63" s="556"/>
      <c r="AO63" s="556"/>
      <c r="AP63" s="556"/>
      <c r="AQ63" s="112" t="s">
        <v>75</v>
      </c>
      <c r="AR63" s="112" t="s">
        <v>792</v>
      </c>
      <c r="AS63" s="112">
        <v>77.034883720930253</v>
      </c>
      <c r="AT63" s="556"/>
      <c r="AU63" s="112"/>
      <c r="AV63" s="112"/>
      <c r="AW63" s="112"/>
      <c r="AX63" s="112"/>
      <c r="AY63" s="112"/>
      <c r="AZ63" s="112"/>
      <c r="BA63" s="112"/>
    </row>
    <row r="64" spans="1:53">
      <c r="A64" s="3"/>
      <c r="B64" s="1"/>
      <c r="C64" s="10">
        <v>0.25</v>
      </c>
      <c r="D64" s="18">
        <v>7</v>
      </c>
      <c r="E64" s="382" t="s">
        <v>71</v>
      </c>
      <c r="F64" s="361" t="s">
        <v>4</v>
      </c>
      <c r="G64" s="42">
        <v>4.01</v>
      </c>
      <c r="H64" s="23">
        <v>191.18</v>
      </c>
      <c r="I64" s="23">
        <v>194.69</v>
      </c>
      <c r="J64" s="23">
        <v>190.89</v>
      </c>
      <c r="K64" s="23">
        <v>191.02</v>
      </c>
      <c r="L64" s="229">
        <f t="shared" si="58"/>
        <v>0.29000000000002046</v>
      </c>
      <c r="M64" s="229">
        <f t="shared" si="54"/>
        <v>3.6699999999999875</v>
      </c>
      <c r="N64" s="357">
        <f t="shared" si="55"/>
        <v>92.67676767676717</v>
      </c>
      <c r="O64" s="51">
        <v>44216</v>
      </c>
      <c r="Q64" s="385" t="str">
        <f t="shared" si="61"/>
        <v>GH11</v>
      </c>
      <c r="R64" s="385" t="str">
        <f t="shared" si="61"/>
        <v>10-15cm</v>
      </c>
      <c r="S64" s="386">
        <f>N110</f>
        <v>52.706552706552678</v>
      </c>
      <c r="T64" s="50"/>
      <c r="U64" s="385" t="str">
        <f t="shared" si="56"/>
        <v>Native#5</v>
      </c>
      <c r="V64" s="385" t="str">
        <f t="shared" si="56"/>
        <v>0-5cm</v>
      </c>
      <c r="W64" s="386">
        <f t="shared" si="57"/>
        <v>92.67676767676717</v>
      </c>
      <c r="X64" s="52"/>
      <c r="Y64" s="317" t="str">
        <f t="shared" si="62"/>
        <v>GHXX5</v>
      </c>
      <c r="Z64" s="317" t="str">
        <f t="shared" si="62"/>
        <v>10-15cm</v>
      </c>
      <c r="AA64" s="336">
        <f>N49</f>
        <v>87.643678160920118</v>
      </c>
      <c r="AD64" s="112"/>
      <c r="AE64" s="112"/>
      <c r="AF64" s="112"/>
      <c r="AG64" s="112"/>
      <c r="AH64" s="112"/>
      <c r="AI64" s="112"/>
      <c r="AJ64" s="112"/>
      <c r="AK64" s="556"/>
      <c r="AL64" s="556"/>
      <c r="AM64" s="556"/>
      <c r="AN64" s="556"/>
      <c r="AO64" s="556"/>
      <c r="AP64" s="556"/>
      <c r="AQ64" s="112" t="s">
        <v>788</v>
      </c>
      <c r="AR64" s="112" t="s">
        <v>73</v>
      </c>
      <c r="AS64" s="112">
        <v>48.181818181818535</v>
      </c>
      <c r="AT64" s="556"/>
      <c r="AU64" s="112"/>
      <c r="AV64" s="112"/>
      <c r="AW64" s="112"/>
      <c r="AX64" s="112"/>
      <c r="AY64" s="112"/>
      <c r="AZ64" s="112"/>
      <c r="BA64" s="112"/>
    </row>
    <row r="65" spans="1:53">
      <c r="A65" s="3"/>
      <c r="B65" s="1"/>
      <c r="C65" s="10">
        <v>0.25</v>
      </c>
      <c r="D65" s="18">
        <v>8</v>
      </c>
      <c r="E65" s="382" t="s">
        <v>71</v>
      </c>
      <c r="F65" s="356" t="s">
        <v>5</v>
      </c>
      <c r="G65" s="42">
        <v>4.01</v>
      </c>
      <c r="H65" s="23">
        <v>191.09</v>
      </c>
      <c r="I65" s="23">
        <v>194.63</v>
      </c>
      <c r="J65" s="23">
        <v>190.63</v>
      </c>
      <c r="K65" s="23">
        <v>191.07</v>
      </c>
      <c r="L65" s="229">
        <f t="shared" si="58"/>
        <v>0.46000000000000796</v>
      </c>
      <c r="M65" s="229">
        <f t="shared" si="54"/>
        <v>3.5600000000000023</v>
      </c>
      <c r="N65" s="357">
        <f t="shared" si="55"/>
        <v>88.557213930348084</v>
      </c>
      <c r="O65" s="51">
        <v>44216</v>
      </c>
      <c r="Q65" s="385" t="str">
        <f t="shared" si="61"/>
        <v>GH#4</v>
      </c>
      <c r="R65" s="385" t="str">
        <f t="shared" si="61"/>
        <v>0-5cm</v>
      </c>
      <c r="S65" s="386">
        <f>N111</f>
        <v>57.703927492446986</v>
      </c>
      <c r="T65" s="50"/>
      <c r="U65" s="385" t="str">
        <f t="shared" si="56"/>
        <v>Native#5</v>
      </c>
      <c r="V65" s="385" t="str">
        <f t="shared" si="56"/>
        <v>5-10cm</v>
      </c>
      <c r="W65" s="386">
        <f t="shared" si="57"/>
        <v>88.557213930348084</v>
      </c>
      <c r="X65" s="329"/>
      <c r="Y65" s="317" t="str">
        <f t="shared" si="62"/>
        <v>GHXX6</v>
      </c>
      <c r="Z65" s="317" t="str">
        <f t="shared" si="62"/>
        <v>0-5cm</v>
      </c>
      <c r="AA65" s="336">
        <f>N50</f>
        <v>84.927536231883707</v>
      </c>
      <c r="AD65" s="112"/>
      <c r="AE65" s="112"/>
      <c r="AF65" s="112"/>
      <c r="AG65" s="112"/>
      <c r="AH65" s="112"/>
      <c r="AI65" s="112"/>
      <c r="AJ65" s="112"/>
      <c r="AK65" s="556"/>
      <c r="AL65" s="556"/>
      <c r="AM65" s="556"/>
      <c r="AN65" s="556"/>
      <c r="AO65" s="556"/>
      <c r="AP65" s="556"/>
      <c r="AQ65" s="112" t="s">
        <v>775</v>
      </c>
      <c r="AR65" s="112" t="s">
        <v>73</v>
      </c>
      <c r="AS65" s="112">
        <v>53.605015673981477</v>
      </c>
      <c r="AT65" s="556"/>
      <c r="AU65" s="112"/>
      <c r="AV65" s="112"/>
      <c r="AW65" s="112"/>
      <c r="AX65" s="112"/>
      <c r="AY65" s="112"/>
      <c r="AZ65" s="112"/>
      <c r="BA65" s="112"/>
    </row>
    <row r="66" spans="1:53">
      <c r="C66" s="10"/>
      <c r="D66" s="18"/>
      <c r="E66" s="48"/>
      <c r="F66" s="22"/>
      <c r="G66" s="42"/>
      <c r="J66" s="23"/>
      <c r="N66" s="25"/>
      <c r="Q66" s="385" t="str">
        <f t="shared" si="61"/>
        <v>GH#4</v>
      </c>
      <c r="R66" s="385" t="str">
        <f t="shared" si="61"/>
        <v>5-10cm</v>
      </c>
      <c r="S66" s="386">
        <f>N112</f>
        <v>62.647058823529697</v>
      </c>
      <c r="T66" s="50"/>
      <c r="U66" s="385" t="str">
        <f>E68</f>
        <v>Native#5</v>
      </c>
      <c r="V66" s="385" t="str">
        <f>F68</f>
        <v>10-15cm</v>
      </c>
      <c r="W66" s="386">
        <f>N68</f>
        <v>74.874371859296602</v>
      </c>
      <c r="X66" s="329"/>
      <c r="Y66" s="317" t="str">
        <f t="shared" si="62"/>
        <v>GHXX6</v>
      </c>
      <c r="Z66" s="317" t="str">
        <f t="shared" si="62"/>
        <v>5-10cm</v>
      </c>
      <c r="AA66" s="336">
        <f>N51</f>
        <v>82.28571428571415</v>
      </c>
      <c r="AD66" s="112"/>
      <c r="AE66" s="112"/>
      <c r="AF66" s="112"/>
      <c r="AG66" s="112"/>
      <c r="AH66" s="112"/>
      <c r="AI66" s="112"/>
      <c r="AJ66" s="112"/>
      <c r="AK66" s="556"/>
      <c r="AL66" s="556"/>
      <c r="AM66" s="556"/>
      <c r="AN66" s="556"/>
      <c r="AO66" s="556"/>
      <c r="AP66" s="556"/>
      <c r="AQ66" s="112" t="s">
        <v>775</v>
      </c>
      <c r="AR66" s="112" t="s">
        <v>792</v>
      </c>
      <c r="AS66" s="112">
        <v>53.93939393939425</v>
      </c>
      <c r="AT66" s="556"/>
      <c r="AU66" s="112"/>
      <c r="AV66" s="112"/>
      <c r="AW66" s="112"/>
      <c r="AX66" s="112"/>
      <c r="AY66" s="112"/>
      <c r="AZ66" s="112"/>
      <c r="BA66" s="112"/>
    </row>
    <row r="67" spans="1:53">
      <c r="E67" s="48" t="s">
        <v>105</v>
      </c>
      <c r="J67" s="44" t="s">
        <v>46</v>
      </c>
      <c r="K67" s="44" t="s">
        <v>47</v>
      </c>
      <c r="L67" s="226" t="s">
        <v>42</v>
      </c>
      <c r="M67" s="226" t="s">
        <v>43</v>
      </c>
      <c r="N67" s="227" t="s">
        <v>44</v>
      </c>
      <c r="O67" s="50" t="s">
        <v>107</v>
      </c>
      <c r="Q67" s="385" t="str">
        <f t="shared" si="61"/>
        <v>GH#4</v>
      </c>
      <c r="R67" s="385" t="str">
        <f t="shared" si="61"/>
        <v>10-15cm</v>
      </c>
      <c r="S67" s="386">
        <f>N113</f>
        <v>62.857142857142833</v>
      </c>
      <c r="T67" s="50"/>
      <c r="U67" s="385" t="str">
        <f t="shared" ref="U67:V69" si="63">E198</f>
        <v>Native #4</v>
      </c>
      <c r="V67" s="385" t="str">
        <f t="shared" si="63"/>
        <v>0-5cm</v>
      </c>
      <c r="W67" s="386">
        <f>N198</f>
        <v>18.421052631579407</v>
      </c>
      <c r="X67" s="329"/>
      <c r="Y67" s="317" t="str">
        <f t="shared" si="62"/>
        <v>GHXX6</v>
      </c>
      <c r="Z67" s="317" t="str">
        <f t="shared" si="62"/>
        <v>10-15cm</v>
      </c>
      <c r="AA67" s="336">
        <f>N52</f>
        <v>68.465909090909349</v>
      </c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 t="s">
        <v>774</v>
      </c>
      <c r="AR67" s="112" t="s">
        <v>73</v>
      </c>
      <c r="AS67" s="112">
        <v>46.198830409356425</v>
      </c>
      <c r="AT67" s="112"/>
      <c r="AU67" s="112"/>
      <c r="AV67" s="112"/>
      <c r="AW67" s="112"/>
      <c r="AX67" s="112"/>
      <c r="AY67" s="112"/>
      <c r="AZ67" s="112"/>
      <c r="BA67" s="112"/>
    </row>
    <row r="68" spans="1:53">
      <c r="A68" s="3"/>
      <c r="B68" s="1"/>
      <c r="C68" s="10">
        <v>0.25</v>
      </c>
      <c r="D68" s="18">
        <v>1</v>
      </c>
      <c r="E68" s="382" t="s">
        <v>71</v>
      </c>
      <c r="F68" s="356" t="s">
        <v>45</v>
      </c>
      <c r="G68" s="42">
        <v>3.99</v>
      </c>
      <c r="H68" s="23">
        <v>188.89</v>
      </c>
      <c r="I68" s="23">
        <v>190.65</v>
      </c>
      <c r="J68" s="23">
        <v>187.89</v>
      </c>
      <c r="K68" s="23">
        <v>187.67</v>
      </c>
      <c r="L68" s="229">
        <f>H68-J68</f>
        <v>1</v>
      </c>
      <c r="M68" s="229">
        <f t="shared" ref="M68:M75" si="64">I68-K68</f>
        <v>2.9800000000000182</v>
      </c>
      <c r="N68" s="357">
        <f t="shared" ref="N68:N75" si="65">M68*100/(L68+M68)</f>
        <v>74.874371859296602</v>
      </c>
      <c r="O68" s="51">
        <v>44217</v>
      </c>
      <c r="Q68" s="52"/>
      <c r="R68" s="52"/>
      <c r="S68" s="329"/>
      <c r="T68" s="50"/>
      <c r="U68" s="385" t="str">
        <f t="shared" si="63"/>
        <v>Native #4</v>
      </c>
      <c r="V68" s="385" t="str">
        <f t="shared" si="63"/>
        <v>5-10cm</v>
      </c>
      <c r="W68" s="386">
        <f>N199</f>
        <v>67.469879518071551</v>
      </c>
      <c r="X68" s="329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 t="s">
        <v>774</v>
      </c>
      <c r="AR68" s="112" t="s">
        <v>792</v>
      </c>
      <c r="AS68" s="112">
        <v>45.294117647059352</v>
      </c>
      <c r="AT68" s="112"/>
      <c r="AU68" s="112"/>
      <c r="AV68" s="112"/>
      <c r="AW68" s="112"/>
      <c r="AX68" s="112"/>
      <c r="AY68" s="112"/>
      <c r="AZ68" s="112"/>
      <c r="BA68" s="112"/>
    </row>
    <row r="69" spans="1:53">
      <c r="A69" s="3"/>
      <c r="B69" s="1"/>
      <c r="C69" s="10">
        <v>0.25</v>
      </c>
      <c r="D69" s="18">
        <v>2</v>
      </c>
      <c r="E69" s="382" t="s">
        <v>72</v>
      </c>
      <c r="F69" s="361" t="s">
        <v>4</v>
      </c>
      <c r="G69" s="42">
        <v>4.03</v>
      </c>
      <c r="H69" s="23">
        <v>188.58</v>
      </c>
      <c r="I69" s="23">
        <v>190.4</v>
      </c>
      <c r="J69" s="23">
        <v>187.86</v>
      </c>
      <c r="K69" s="23">
        <v>187.75</v>
      </c>
      <c r="L69" s="229">
        <f t="shared" ref="L69:L75" si="66">H69-J69</f>
        <v>0.71999999999999886</v>
      </c>
      <c r="M69" s="229">
        <f t="shared" si="64"/>
        <v>2.6500000000000057</v>
      </c>
      <c r="N69" s="357">
        <f t="shared" si="65"/>
        <v>78.635014836795321</v>
      </c>
      <c r="O69" s="51">
        <v>44217</v>
      </c>
      <c r="Q69" s="388" t="str">
        <f t="shared" ref="Q69:R75" si="67">E69</f>
        <v>Field#6</v>
      </c>
      <c r="R69" s="388" t="str">
        <f t="shared" si="67"/>
        <v>0-5cm</v>
      </c>
      <c r="S69" s="389">
        <f t="shared" ref="S69:S75" si="68">N69</f>
        <v>78.635014836795321</v>
      </c>
      <c r="T69" s="50"/>
      <c r="U69" s="385" t="str">
        <f t="shared" si="63"/>
        <v>Native #4</v>
      </c>
      <c r="V69" s="385" t="str">
        <f t="shared" si="63"/>
        <v>10-15cm</v>
      </c>
      <c r="W69" s="386">
        <f>N200</f>
        <v>67.281105990782848</v>
      </c>
      <c r="X69" s="329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</row>
    <row r="70" spans="1:53">
      <c r="A70" s="3"/>
      <c r="B70" s="1"/>
      <c r="C70" s="10">
        <v>0.25</v>
      </c>
      <c r="D70" s="18">
        <v>3</v>
      </c>
      <c r="E70" s="382" t="s">
        <v>72</v>
      </c>
      <c r="F70" s="356" t="s">
        <v>5</v>
      </c>
      <c r="G70" s="42">
        <v>4.05</v>
      </c>
      <c r="H70" s="23">
        <v>187.52</v>
      </c>
      <c r="I70" s="23">
        <v>190.17</v>
      </c>
      <c r="J70" s="23">
        <v>186.71</v>
      </c>
      <c r="K70" s="23">
        <v>187.62</v>
      </c>
      <c r="L70" s="229">
        <f t="shared" si="66"/>
        <v>0.81000000000000227</v>
      </c>
      <c r="M70" s="229">
        <f t="shared" si="64"/>
        <v>2.5499999999999829</v>
      </c>
      <c r="N70" s="357">
        <f t="shared" si="65"/>
        <v>75.892857142856968</v>
      </c>
      <c r="O70" s="51">
        <v>44217</v>
      </c>
      <c r="Q70" s="388" t="str">
        <f t="shared" si="67"/>
        <v>Field#6</v>
      </c>
      <c r="R70" s="388" t="str">
        <f t="shared" si="67"/>
        <v>5-10cm</v>
      </c>
      <c r="S70" s="389">
        <f t="shared" si="68"/>
        <v>75.892857142856968</v>
      </c>
      <c r="T70" s="50"/>
      <c r="U70" s="385" t="str">
        <f>E208</f>
        <v>Native #6</v>
      </c>
      <c r="V70" s="385" t="str">
        <f>F208</f>
        <v>0-5cm</v>
      </c>
      <c r="W70" s="386">
        <f>N208</f>
        <v>75.925925925923679</v>
      </c>
      <c r="X70" s="329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</row>
    <row r="71" spans="1:53">
      <c r="A71" s="3"/>
      <c r="B71" s="1"/>
      <c r="C71" s="10">
        <v>0.25</v>
      </c>
      <c r="D71" s="18">
        <v>4</v>
      </c>
      <c r="E71" s="382" t="s">
        <v>72</v>
      </c>
      <c r="F71" s="356" t="s">
        <v>45</v>
      </c>
      <c r="G71" s="42">
        <v>4</v>
      </c>
      <c r="H71" s="23">
        <v>181.67</v>
      </c>
      <c r="I71" s="23">
        <v>183.43</v>
      </c>
      <c r="J71" s="23">
        <v>180.84</v>
      </c>
      <c r="K71" s="23">
        <v>180.89</v>
      </c>
      <c r="L71" s="229">
        <f t="shared" si="66"/>
        <v>0.82999999999998408</v>
      </c>
      <c r="M71" s="229">
        <f t="shared" si="64"/>
        <v>2.5400000000000205</v>
      </c>
      <c r="N71" s="357">
        <f t="shared" si="65"/>
        <v>75.370919881306151</v>
      </c>
      <c r="O71" s="51">
        <v>44217</v>
      </c>
      <c r="Q71" s="388" t="str">
        <f t="shared" si="67"/>
        <v>Field#6</v>
      </c>
      <c r="R71" s="388" t="str">
        <f t="shared" si="67"/>
        <v>10-15cm</v>
      </c>
      <c r="S71" s="389">
        <f t="shared" si="68"/>
        <v>75.370919881306151</v>
      </c>
      <c r="T71" s="50"/>
      <c r="U71" s="385" t="str">
        <f>E244</f>
        <v>Native #6</v>
      </c>
      <c r="V71" s="385" t="str">
        <f>F244</f>
        <v>5-10cm</v>
      </c>
      <c r="W71" s="375">
        <f>N244</f>
        <v>90.344827586207757</v>
      </c>
      <c r="X71" s="329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</row>
    <row r="72" spans="1:53">
      <c r="A72" s="3"/>
      <c r="B72" s="1"/>
      <c r="C72" s="10">
        <v>0.25</v>
      </c>
      <c r="D72" s="18">
        <v>5</v>
      </c>
      <c r="E72" s="382" t="s">
        <v>72</v>
      </c>
      <c r="F72" s="361" t="s">
        <v>73</v>
      </c>
      <c r="G72" s="42">
        <v>4.0199999999999996</v>
      </c>
      <c r="H72" s="23">
        <v>189.94</v>
      </c>
      <c r="I72" s="23">
        <v>190.69</v>
      </c>
      <c r="J72" s="23">
        <v>188.88</v>
      </c>
      <c r="K72" s="23">
        <v>188.42</v>
      </c>
      <c r="L72" s="229">
        <f t="shared" si="66"/>
        <v>1.0600000000000023</v>
      </c>
      <c r="M72" s="229">
        <f t="shared" si="64"/>
        <v>2.2700000000000102</v>
      </c>
      <c r="N72" s="357">
        <f t="shared" si="65"/>
        <v>68.168168168168222</v>
      </c>
      <c r="O72" s="51">
        <v>44217</v>
      </c>
      <c r="Q72" s="388" t="str">
        <f t="shared" si="67"/>
        <v>Field#6</v>
      </c>
      <c r="R72" s="388" t="str">
        <f t="shared" si="67"/>
        <v>15-20cm</v>
      </c>
      <c r="S72" s="389">
        <f t="shared" si="68"/>
        <v>68.168168168168222</v>
      </c>
      <c r="T72" s="50"/>
      <c r="U72" s="385" t="str">
        <f>E245</f>
        <v>Native #6</v>
      </c>
      <c r="V72" s="385" t="str">
        <f>F245</f>
        <v>10-15cm</v>
      </c>
      <c r="W72" s="375">
        <f>N245</f>
        <v>74.468085106382958</v>
      </c>
      <c r="X72" s="329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</row>
    <row r="73" spans="1:53">
      <c r="A73" s="3"/>
      <c r="B73" s="1"/>
      <c r="C73" s="10">
        <v>0.25</v>
      </c>
      <c r="D73" s="18">
        <v>6</v>
      </c>
      <c r="E73" s="382" t="s">
        <v>72</v>
      </c>
      <c r="F73" s="356" t="s">
        <v>792</v>
      </c>
      <c r="G73" s="42">
        <v>3.99</v>
      </c>
      <c r="H73" s="23">
        <v>188.39</v>
      </c>
      <c r="I73" s="23">
        <v>190.54</v>
      </c>
      <c r="J73" s="23">
        <v>187.64</v>
      </c>
      <c r="K73" s="23">
        <v>187.97</v>
      </c>
      <c r="L73" s="229">
        <f t="shared" si="66"/>
        <v>0.75</v>
      </c>
      <c r="M73" s="229">
        <f t="shared" si="64"/>
        <v>2.5699999999999932</v>
      </c>
      <c r="N73" s="357">
        <f t="shared" si="65"/>
        <v>77.409638554216826</v>
      </c>
      <c r="O73" s="51">
        <v>44217</v>
      </c>
      <c r="Q73" s="388" t="str">
        <f t="shared" si="67"/>
        <v>Field#6</v>
      </c>
      <c r="R73" s="388" t="str">
        <f t="shared" si="67"/>
        <v>20-25cm</v>
      </c>
      <c r="S73" s="389">
        <f t="shared" si="68"/>
        <v>77.409638554216826</v>
      </c>
      <c r="T73" s="50"/>
      <c r="X73" s="329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</row>
    <row r="74" spans="1:53">
      <c r="A74" s="3"/>
      <c r="B74" s="1"/>
      <c r="C74" s="10">
        <v>0.25</v>
      </c>
      <c r="D74" s="18">
        <v>7</v>
      </c>
      <c r="E74" s="382" t="s">
        <v>74</v>
      </c>
      <c r="F74" s="361" t="s">
        <v>4</v>
      </c>
      <c r="G74" s="42">
        <v>3.98</v>
      </c>
      <c r="H74" s="23">
        <v>190.07</v>
      </c>
      <c r="I74" s="23">
        <v>192.25</v>
      </c>
      <c r="J74" s="23">
        <v>190.01</v>
      </c>
      <c r="K74" s="23">
        <v>189.72</v>
      </c>
      <c r="L74" s="229">
        <f t="shared" si="66"/>
        <v>6.0000000000002274E-2</v>
      </c>
      <c r="M74" s="229">
        <f t="shared" si="64"/>
        <v>2.5300000000000011</v>
      </c>
      <c r="N74" s="357">
        <f t="shared" si="65"/>
        <v>97.683397683397601</v>
      </c>
      <c r="O74" s="51">
        <v>44217</v>
      </c>
      <c r="Q74" s="388" t="str">
        <f t="shared" si="67"/>
        <v>Field#3</v>
      </c>
      <c r="R74" s="388" t="str">
        <f t="shared" si="67"/>
        <v>0-5cm</v>
      </c>
      <c r="S74" s="389">
        <f t="shared" si="68"/>
        <v>97.683397683397601</v>
      </c>
      <c r="T74" s="50"/>
      <c r="X74" s="329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</row>
    <row r="75" spans="1:53">
      <c r="A75" s="3"/>
      <c r="B75" s="1"/>
      <c r="C75" s="10">
        <v>0.25</v>
      </c>
      <c r="D75" s="18">
        <v>8</v>
      </c>
      <c r="E75" s="382" t="s">
        <v>74</v>
      </c>
      <c r="F75" s="356" t="s">
        <v>5</v>
      </c>
      <c r="G75" s="42">
        <v>4.0599999999999996</v>
      </c>
      <c r="H75" s="23">
        <v>191.11</v>
      </c>
      <c r="I75" s="23">
        <v>191.73</v>
      </c>
      <c r="J75" s="23">
        <v>190.38</v>
      </c>
      <c r="K75" s="23">
        <v>188.89</v>
      </c>
      <c r="L75" s="229">
        <f t="shared" si="66"/>
        <v>0.73000000000001819</v>
      </c>
      <c r="M75" s="229">
        <f t="shared" si="64"/>
        <v>2.8400000000000034</v>
      </c>
      <c r="N75" s="357">
        <f t="shared" si="65"/>
        <v>79.551820728290934</v>
      </c>
      <c r="O75" s="51">
        <v>44217</v>
      </c>
      <c r="Q75" s="388" t="str">
        <f t="shared" si="67"/>
        <v>Field#3</v>
      </c>
      <c r="R75" s="388" t="str">
        <f t="shared" si="67"/>
        <v>5-10cm</v>
      </c>
      <c r="S75" s="389">
        <f t="shared" si="68"/>
        <v>79.551820728290934</v>
      </c>
      <c r="T75" s="50"/>
      <c r="X75" s="329"/>
      <c r="Y75" s="329"/>
      <c r="Z75" s="15"/>
      <c r="AA75" s="15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</row>
    <row r="76" spans="1:53">
      <c r="D76" s="18"/>
      <c r="E76" s="48"/>
      <c r="F76" s="22"/>
      <c r="G76" s="42"/>
      <c r="J76" s="23"/>
      <c r="N76" s="25"/>
      <c r="Q76" s="388" t="str">
        <f t="shared" ref="Q76:R83" si="69">E78</f>
        <v>Field#3</v>
      </c>
      <c r="R76" s="388" t="str">
        <f t="shared" si="69"/>
        <v>10-15cm</v>
      </c>
      <c r="S76" s="389">
        <f>N78</f>
        <v>74.927113702623558</v>
      </c>
      <c r="T76" s="50"/>
      <c r="X76" s="329"/>
      <c r="Y76" s="329"/>
      <c r="Z76" s="15"/>
      <c r="AA76" s="15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</row>
    <row r="77" spans="1:53">
      <c r="E77" s="48" t="s">
        <v>100</v>
      </c>
      <c r="J77" s="44" t="s">
        <v>54</v>
      </c>
      <c r="K77" s="44" t="s">
        <v>55</v>
      </c>
      <c r="L77" s="226" t="s">
        <v>42</v>
      </c>
      <c r="M77" s="226" t="s">
        <v>43</v>
      </c>
      <c r="N77" s="227" t="s">
        <v>44</v>
      </c>
      <c r="O77" s="50" t="s">
        <v>107</v>
      </c>
      <c r="Q77" s="388" t="str">
        <f t="shared" si="69"/>
        <v>Field#3</v>
      </c>
      <c r="R77" s="388" t="str">
        <f t="shared" si="69"/>
        <v>15-20cm</v>
      </c>
      <c r="S77" s="389">
        <f t="shared" ref="S77:S83" si="70">N79</f>
        <v>75.30120481927726</v>
      </c>
      <c r="T77" s="50"/>
      <c r="X77" s="52"/>
      <c r="Y77" s="329"/>
      <c r="Z77" s="15"/>
      <c r="AA77" s="15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</row>
    <row r="78" spans="1:53">
      <c r="A78" s="3"/>
      <c r="B78" s="1"/>
      <c r="C78" s="10">
        <v>0.25</v>
      </c>
      <c r="D78" s="18">
        <v>1</v>
      </c>
      <c r="E78" s="382" t="s">
        <v>74</v>
      </c>
      <c r="F78" s="356" t="s">
        <v>45</v>
      </c>
      <c r="G78" s="42">
        <v>4.0199999999999996</v>
      </c>
      <c r="H78" s="23">
        <v>191.09</v>
      </c>
      <c r="I78" s="23">
        <v>190.07</v>
      </c>
      <c r="J78" s="44">
        <v>190.23</v>
      </c>
      <c r="K78" s="44">
        <v>187.5</v>
      </c>
      <c r="L78" s="229">
        <f>H78-J78</f>
        <v>0.86000000000001364</v>
      </c>
      <c r="M78" s="229">
        <f t="shared" ref="M78:M85" si="71">I78-K78</f>
        <v>2.5699999999999932</v>
      </c>
      <c r="N78" s="357">
        <f t="shared" ref="N78:N85" si="72">M78*100/(L78+M78)</f>
        <v>74.927113702623558</v>
      </c>
      <c r="O78" s="51">
        <v>44218</v>
      </c>
      <c r="Q78" s="388" t="str">
        <f t="shared" si="69"/>
        <v>Field#3</v>
      </c>
      <c r="R78" s="388" t="str">
        <f t="shared" si="69"/>
        <v>20-25cm</v>
      </c>
      <c r="S78" s="389">
        <f t="shared" si="70"/>
        <v>71.328671328671419</v>
      </c>
      <c r="T78" s="50"/>
      <c r="X78" s="52"/>
      <c r="Y78" s="329"/>
      <c r="Z78" s="15"/>
      <c r="AA78" s="15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</row>
    <row r="79" spans="1:53">
      <c r="A79" s="3"/>
      <c r="B79" s="1"/>
      <c r="C79" s="10">
        <v>0.25</v>
      </c>
      <c r="D79" s="18">
        <v>2</v>
      </c>
      <c r="E79" s="382" t="s">
        <v>74</v>
      </c>
      <c r="F79" s="361" t="s">
        <v>73</v>
      </c>
      <c r="G79" s="42">
        <v>4.1399999999999997</v>
      </c>
      <c r="H79" s="23">
        <v>188.45</v>
      </c>
      <c r="I79" s="23">
        <v>190.08</v>
      </c>
      <c r="J79" s="23">
        <v>187.63</v>
      </c>
      <c r="K79" s="23">
        <v>187.58</v>
      </c>
      <c r="L79" s="229">
        <f t="shared" ref="L79:L85" si="73">H79-J79</f>
        <v>0.81999999999999318</v>
      </c>
      <c r="M79" s="229">
        <f t="shared" si="71"/>
        <v>2.5</v>
      </c>
      <c r="N79" s="357">
        <f t="shared" si="72"/>
        <v>75.30120481927726</v>
      </c>
      <c r="O79" s="51">
        <v>44218</v>
      </c>
      <c r="Q79" s="388" t="str">
        <f t="shared" si="69"/>
        <v>Field#2</v>
      </c>
      <c r="R79" s="388" t="str">
        <f t="shared" si="69"/>
        <v>0-5cm</v>
      </c>
      <c r="S79" s="389">
        <f t="shared" si="70"/>
        <v>66.022099447513355</v>
      </c>
      <c r="T79" s="50"/>
      <c r="Y79" s="329"/>
      <c r="Z79" s="15"/>
      <c r="AA79" s="15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</row>
    <row r="80" spans="1:53">
      <c r="A80" s="3"/>
      <c r="B80" s="1"/>
      <c r="C80" s="10">
        <v>0.25</v>
      </c>
      <c r="D80" s="18">
        <v>3</v>
      </c>
      <c r="E80" s="382" t="s">
        <v>74</v>
      </c>
      <c r="F80" s="356" t="s">
        <v>792</v>
      </c>
      <c r="G80" s="42">
        <v>4.05</v>
      </c>
      <c r="H80" s="23">
        <v>188.94</v>
      </c>
      <c r="I80" s="23">
        <v>192.31</v>
      </c>
      <c r="J80" s="23">
        <v>188.12</v>
      </c>
      <c r="K80" s="23">
        <v>190.27</v>
      </c>
      <c r="L80" s="229">
        <f t="shared" si="73"/>
        <v>0.81999999999999318</v>
      </c>
      <c r="M80" s="229">
        <f t="shared" si="71"/>
        <v>2.039999999999992</v>
      </c>
      <c r="N80" s="357">
        <f t="shared" si="72"/>
        <v>71.328671328671419</v>
      </c>
      <c r="O80" s="51">
        <v>44218</v>
      </c>
      <c r="Q80" s="388" t="str">
        <f t="shared" si="69"/>
        <v>Field#2</v>
      </c>
      <c r="R80" s="388" t="str">
        <f t="shared" si="69"/>
        <v>5-10cm</v>
      </c>
      <c r="S80" s="389">
        <f t="shared" si="70"/>
        <v>72.282608695652499</v>
      </c>
      <c r="T80" s="50"/>
      <c r="Y80" s="329"/>
      <c r="Z80" s="15"/>
      <c r="AA80" s="15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</row>
    <row r="81" spans="1:53">
      <c r="A81" s="3"/>
      <c r="B81" s="1"/>
      <c r="C81" s="10">
        <v>0.25</v>
      </c>
      <c r="D81" s="18">
        <v>4</v>
      </c>
      <c r="E81" s="382" t="s">
        <v>75</v>
      </c>
      <c r="F81" s="361" t="s">
        <v>4</v>
      </c>
      <c r="G81" s="42">
        <v>4.0199999999999996</v>
      </c>
      <c r="H81" s="23">
        <v>188.87</v>
      </c>
      <c r="I81" s="23">
        <v>192.07</v>
      </c>
      <c r="J81" s="23">
        <v>187.64</v>
      </c>
      <c r="K81" s="23">
        <v>189.68</v>
      </c>
      <c r="L81" s="229">
        <f t="shared" si="73"/>
        <v>1.2300000000000182</v>
      </c>
      <c r="M81" s="229">
        <f t="shared" si="71"/>
        <v>2.3899999999999864</v>
      </c>
      <c r="N81" s="357">
        <f t="shared" si="72"/>
        <v>66.022099447513355</v>
      </c>
      <c r="O81" s="51">
        <v>44218</v>
      </c>
      <c r="Q81" s="388" t="str">
        <f t="shared" si="69"/>
        <v>Field#2</v>
      </c>
      <c r="R81" s="388" t="str">
        <f t="shared" si="69"/>
        <v>10-15cm</v>
      </c>
      <c r="S81" s="389">
        <f t="shared" si="70"/>
        <v>71.614583333333272</v>
      </c>
      <c r="T81" s="50"/>
      <c r="Y81" s="329"/>
      <c r="Z81" s="15"/>
      <c r="AA81" s="15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</row>
    <row r="82" spans="1:53">
      <c r="A82" s="3"/>
      <c r="B82" s="1"/>
      <c r="C82" s="10">
        <v>0.25</v>
      </c>
      <c r="D82" s="18">
        <v>5</v>
      </c>
      <c r="E82" s="382" t="s">
        <v>75</v>
      </c>
      <c r="F82" s="356" t="s">
        <v>5</v>
      </c>
      <c r="G82" s="42">
        <v>3.95</v>
      </c>
      <c r="H82" s="23">
        <v>189.26</v>
      </c>
      <c r="I82" s="23">
        <v>191.12</v>
      </c>
      <c r="J82" s="23">
        <v>188.24</v>
      </c>
      <c r="K82" s="23">
        <v>188.46</v>
      </c>
      <c r="L82" s="229">
        <f t="shared" si="73"/>
        <v>1.0199999999999818</v>
      </c>
      <c r="M82" s="229">
        <f t="shared" si="71"/>
        <v>2.6599999999999966</v>
      </c>
      <c r="N82" s="357">
        <f t="shared" si="72"/>
        <v>72.282608695652499</v>
      </c>
      <c r="O82" s="51">
        <v>44218</v>
      </c>
      <c r="Q82" s="388" t="str">
        <f t="shared" si="69"/>
        <v>Field#2</v>
      </c>
      <c r="R82" s="388" t="str">
        <f t="shared" si="69"/>
        <v>15-20cm</v>
      </c>
      <c r="S82" s="389">
        <f t="shared" si="70"/>
        <v>74.386920980926405</v>
      </c>
      <c r="T82" s="50"/>
      <c r="Y82" s="329"/>
      <c r="Z82" s="15"/>
      <c r="AA82" s="15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</row>
    <row r="83" spans="1:53">
      <c r="A83" s="3"/>
      <c r="B83" s="1"/>
      <c r="C83" s="10">
        <v>0.25</v>
      </c>
      <c r="D83" s="18">
        <v>6</v>
      </c>
      <c r="E83" s="382" t="s">
        <v>75</v>
      </c>
      <c r="F83" s="356" t="s">
        <v>45</v>
      </c>
      <c r="G83" s="42">
        <v>4.1500000000000004</v>
      </c>
      <c r="H83" s="23">
        <v>188.77</v>
      </c>
      <c r="I83" s="23">
        <v>192.99</v>
      </c>
      <c r="J83" s="23">
        <v>187.68</v>
      </c>
      <c r="K83" s="23">
        <v>190.24</v>
      </c>
      <c r="L83" s="229">
        <f t="shared" si="73"/>
        <v>1.0900000000000034</v>
      </c>
      <c r="M83" s="229">
        <f t="shared" si="71"/>
        <v>2.75</v>
      </c>
      <c r="N83" s="357">
        <f t="shared" si="72"/>
        <v>71.614583333333272</v>
      </c>
      <c r="O83" s="51">
        <v>44218</v>
      </c>
      <c r="Q83" s="388" t="str">
        <f t="shared" si="69"/>
        <v>Field#2</v>
      </c>
      <c r="R83" s="388" t="str">
        <f t="shared" si="69"/>
        <v>20-25cm</v>
      </c>
      <c r="S83" s="389">
        <f t="shared" si="70"/>
        <v>77.034883720930253</v>
      </c>
      <c r="T83" s="50"/>
      <c r="Y83" s="329"/>
      <c r="Z83" s="15"/>
      <c r="AA83" s="15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</row>
    <row r="84" spans="1:53">
      <c r="A84" s="3"/>
      <c r="B84" s="1"/>
      <c r="C84" s="10">
        <v>0.25</v>
      </c>
      <c r="D84" s="18">
        <v>7</v>
      </c>
      <c r="E84" s="382" t="s">
        <v>75</v>
      </c>
      <c r="F84" s="361" t="s">
        <v>73</v>
      </c>
      <c r="G84" s="42">
        <v>4.0599999999999996</v>
      </c>
      <c r="H84" s="23">
        <v>189.79</v>
      </c>
      <c r="I84" s="23">
        <v>190.42</v>
      </c>
      <c r="J84" s="23">
        <v>188.85</v>
      </c>
      <c r="K84" s="23">
        <v>187.69</v>
      </c>
      <c r="L84" s="229">
        <f t="shared" si="73"/>
        <v>0.93999999999999773</v>
      </c>
      <c r="M84" s="229">
        <f t="shared" si="71"/>
        <v>2.7299999999999898</v>
      </c>
      <c r="N84" s="357">
        <f t="shared" si="72"/>
        <v>74.386920980926405</v>
      </c>
      <c r="O84" s="51">
        <v>44218</v>
      </c>
      <c r="Q84" s="390" t="str">
        <f>E258</f>
        <v>Field #1</v>
      </c>
      <c r="R84" s="390" t="str">
        <f>F258</f>
        <v>0-5cm</v>
      </c>
      <c r="S84" s="391">
        <f>N258</f>
        <v>53.068592057761975</v>
      </c>
      <c r="T84" s="50"/>
      <c r="Y84" s="329"/>
      <c r="Z84" s="15"/>
      <c r="AA84" s="15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</row>
    <row r="85" spans="1:53">
      <c r="A85" s="3"/>
      <c r="B85" s="1"/>
      <c r="C85" s="10">
        <v>0.25</v>
      </c>
      <c r="D85" s="18">
        <v>8</v>
      </c>
      <c r="E85" s="382" t="s">
        <v>75</v>
      </c>
      <c r="F85" s="356" t="s">
        <v>792</v>
      </c>
      <c r="G85" s="42">
        <v>3.97</v>
      </c>
      <c r="H85" s="23">
        <v>188.59</v>
      </c>
      <c r="I85" s="23">
        <v>191.17</v>
      </c>
      <c r="J85" s="23">
        <v>187.8</v>
      </c>
      <c r="K85" s="23">
        <v>188.52</v>
      </c>
      <c r="L85" s="229">
        <f t="shared" si="73"/>
        <v>0.78999999999999204</v>
      </c>
      <c r="M85" s="229">
        <f t="shared" si="71"/>
        <v>2.6499999999999773</v>
      </c>
      <c r="N85" s="357">
        <f t="shared" si="72"/>
        <v>77.034883720930253</v>
      </c>
      <c r="O85" s="51">
        <v>44218</v>
      </c>
      <c r="Q85" s="392" t="str">
        <f>E178</f>
        <v>Field #1</v>
      </c>
      <c r="R85" s="392" t="str">
        <f>F178</f>
        <v>5-10cm</v>
      </c>
      <c r="S85" s="393">
        <f>N178</f>
        <v>65.467625899280307</v>
      </c>
      <c r="T85" s="50"/>
      <c r="Y85" s="329"/>
      <c r="Z85" s="15"/>
      <c r="AA85" s="15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</row>
    <row r="86" spans="1:53">
      <c r="D86" s="18"/>
      <c r="E86" s="48"/>
      <c r="F86" s="22"/>
      <c r="G86" s="42"/>
      <c r="J86" s="23"/>
      <c r="N86" s="25"/>
      <c r="Q86" s="392" t="str">
        <f>E179</f>
        <v>Field #1</v>
      </c>
      <c r="R86" s="392" t="str">
        <f>F179</f>
        <v>10-15cm</v>
      </c>
      <c r="S86" s="393">
        <f>N179</f>
        <v>55.384615384615415</v>
      </c>
      <c r="T86" s="50"/>
      <c r="Y86" s="329"/>
      <c r="Z86" s="15"/>
      <c r="AA86" s="15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</row>
    <row r="87" spans="1:53">
      <c r="E87" s="48" t="s">
        <v>104</v>
      </c>
      <c r="J87" s="44" t="s">
        <v>40</v>
      </c>
      <c r="K87" s="44" t="s">
        <v>41</v>
      </c>
      <c r="L87" s="226" t="s">
        <v>42</v>
      </c>
      <c r="M87" s="226" t="s">
        <v>43</v>
      </c>
      <c r="N87" s="227" t="s">
        <v>44</v>
      </c>
      <c r="O87" s="50" t="s">
        <v>107</v>
      </c>
      <c r="Q87" s="390" t="str">
        <f>E259</f>
        <v>Field #1</v>
      </c>
      <c r="R87" s="390" t="str">
        <f>F259</f>
        <v>15-20cm</v>
      </c>
      <c r="S87" s="391">
        <f>N259</f>
        <v>48.181818181818535</v>
      </c>
      <c r="T87" s="50"/>
      <c r="Y87" s="52"/>
      <c r="Z87" s="15"/>
      <c r="AA87" s="15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</row>
    <row r="88" spans="1:53">
      <c r="A88" s="3"/>
      <c r="B88" s="1"/>
      <c r="C88" s="10">
        <v>0.25</v>
      </c>
      <c r="D88" s="18">
        <v>1</v>
      </c>
      <c r="E88" s="382" t="s">
        <v>76</v>
      </c>
      <c r="F88" s="361" t="s">
        <v>4</v>
      </c>
      <c r="G88" s="42">
        <v>4.0199999999999996</v>
      </c>
      <c r="H88" s="23">
        <v>192.05</v>
      </c>
      <c r="I88" s="23">
        <v>192.72</v>
      </c>
      <c r="J88" s="23">
        <v>190.71</v>
      </c>
      <c r="K88" s="23">
        <v>191.12</v>
      </c>
      <c r="L88" s="229">
        <f>H88-J88</f>
        <v>1.3400000000000034</v>
      </c>
      <c r="M88" s="229">
        <f t="shared" ref="M88:M95" si="74">I88-K88</f>
        <v>1.5999999999999943</v>
      </c>
      <c r="N88" s="357">
        <f>M88*100/(L88+M88)</f>
        <v>54.42176870748284</v>
      </c>
      <c r="O88" s="51">
        <v>44235</v>
      </c>
      <c r="Q88" s="390"/>
      <c r="R88" s="390"/>
      <c r="S88" s="390"/>
      <c r="T88" s="50"/>
      <c r="Y88" s="52"/>
      <c r="Z88" s="15"/>
      <c r="AA88" s="15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</row>
    <row r="89" spans="1:53">
      <c r="A89" s="3"/>
      <c r="B89" s="1"/>
      <c r="C89" s="10">
        <v>0.25</v>
      </c>
      <c r="D89" s="18">
        <v>2</v>
      </c>
      <c r="E89" s="382" t="s">
        <v>76</v>
      </c>
      <c r="F89" s="356" t="s">
        <v>5</v>
      </c>
      <c r="G89" s="42">
        <v>4.0999999999999996</v>
      </c>
      <c r="H89" s="23">
        <v>190.73</v>
      </c>
      <c r="I89" s="23">
        <v>193.62</v>
      </c>
      <c r="J89" s="23">
        <v>190.23</v>
      </c>
      <c r="K89" s="23">
        <v>190.59</v>
      </c>
      <c r="L89" s="229">
        <f t="shared" ref="L89:L95" si="75">H89-J89</f>
        <v>0.5</v>
      </c>
      <c r="M89" s="229">
        <f t="shared" si="74"/>
        <v>3.0300000000000011</v>
      </c>
      <c r="N89" s="357">
        <f>M89*100/(L89+M89)</f>
        <v>85.835694050991506</v>
      </c>
      <c r="O89" s="51">
        <v>44235</v>
      </c>
      <c r="Q89" s="388" t="str">
        <f t="shared" ref="Q89:R91" si="76">E212</f>
        <v>Field #5</v>
      </c>
      <c r="R89" s="388" t="str">
        <f t="shared" si="76"/>
        <v>0-5cm</v>
      </c>
      <c r="S89" s="389">
        <f>N212</f>
        <v>50.787401574802992</v>
      </c>
      <c r="T89" s="50"/>
      <c r="X89" s="50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</row>
    <row r="90" spans="1:53">
      <c r="A90" s="3"/>
      <c r="B90" s="1"/>
      <c r="C90" s="10">
        <v>0.25</v>
      </c>
      <c r="D90" s="18">
        <v>3</v>
      </c>
      <c r="E90" s="382" t="s">
        <v>76</v>
      </c>
      <c r="F90" s="356" t="s">
        <v>45</v>
      </c>
      <c r="G90" s="42">
        <v>4.03</v>
      </c>
      <c r="H90" s="23">
        <v>191.94</v>
      </c>
      <c r="I90" s="23">
        <v>194</v>
      </c>
      <c r="J90" s="23">
        <v>191.1</v>
      </c>
      <c r="K90" s="23">
        <v>190.93</v>
      </c>
      <c r="L90" s="229">
        <f t="shared" si="75"/>
        <v>0.84000000000000341</v>
      </c>
      <c r="M90" s="229">
        <f t="shared" si="74"/>
        <v>3.0699999999999932</v>
      </c>
      <c r="N90" s="357">
        <f t="shared" ref="N90:N95" si="77">M90*100/(L90+M90)</f>
        <v>78.516624040920604</v>
      </c>
      <c r="O90" s="51">
        <v>44235</v>
      </c>
      <c r="Q90" s="388" t="str">
        <f t="shared" si="76"/>
        <v>Field #5</v>
      </c>
      <c r="R90" s="388" t="str">
        <f t="shared" si="76"/>
        <v>5-10cm</v>
      </c>
      <c r="S90" s="389">
        <f>N213</f>
        <v>32.53731343283598</v>
      </c>
      <c r="T90" s="50"/>
      <c r="X90" s="346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</row>
    <row r="91" spans="1:53">
      <c r="A91" s="3"/>
      <c r="B91" s="1"/>
      <c r="C91" s="10">
        <v>0.25</v>
      </c>
      <c r="D91" s="18">
        <v>4</v>
      </c>
      <c r="E91" s="382" t="s">
        <v>77</v>
      </c>
      <c r="F91" s="361" t="s">
        <v>4</v>
      </c>
      <c r="G91" s="42">
        <v>3.99</v>
      </c>
      <c r="H91" s="23">
        <v>190.64</v>
      </c>
      <c r="I91" s="23">
        <v>192.72</v>
      </c>
      <c r="J91" s="23">
        <v>187.76</v>
      </c>
      <c r="K91" s="23">
        <v>190.14</v>
      </c>
      <c r="L91" s="229">
        <f t="shared" si="75"/>
        <v>2.8799999999999955</v>
      </c>
      <c r="M91" s="229">
        <f t="shared" si="74"/>
        <v>2.5800000000000125</v>
      </c>
      <c r="N91" s="357">
        <f t="shared" si="77"/>
        <v>47.252747252747412</v>
      </c>
      <c r="O91" s="51">
        <v>44235</v>
      </c>
      <c r="Q91" s="388" t="str">
        <f t="shared" si="76"/>
        <v>Field #5</v>
      </c>
      <c r="R91" s="388" t="str">
        <f t="shared" si="76"/>
        <v>10-15cm</v>
      </c>
      <c r="S91" s="389">
        <f>N214</f>
        <v>52.531645569620203</v>
      </c>
      <c r="T91" s="50"/>
      <c r="X91" s="346"/>
    </row>
    <row r="92" spans="1:53">
      <c r="A92" s="3"/>
      <c r="B92" s="1"/>
      <c r="C92" s="10">
        <v>0.25</v>
      </c>
      <c r="D92" s="18">
        <v>5</v>
      </c>
      <c r="E92" s="382" t="s">
        <v>77</v>
      </c>
      <c r="F92" s="356" t="s">
        <v>5</v>
      </c>
      <c r="G92" s="42">
        <v>4.04</v>
      </c>
      <c r="H92" s="23">
        <v>191.18</v>
      </c>
      <c r="I92" s="23">
        <v>192.57</v>
      </c>
      <c r="J92" s="23">
        <v>190.03</v>
      </c>
      <c r="K92" s="23">
        <v>189.95</v>
      </c>
      <c r="L92" s="229">
        <f t="shared" si="75"/>
        <v>1.1500000000000057</v>
      </c>
      <c r="M92" s="229">
        <f t="shared" si="74"/>
        <v>2.6200000000000045</v>
      </c>
      <c r="N92" s="357">
        <f t="shared" si="77"/>
        <v>69.496021220159079</v>
      </c>
      <c r="O92" s="51">
        <v>44235</v>
      </c>
      <c r="Q92" s="390" t="str">
        <f>E260</f>
        <v>Field #5</v>
      </c>
      <c r="R92" s="390" t="str">
        <f>F260</f>
        <v>15-20cm</v>
      </c>
      <c r="S92" s="391">
        <f>N260</f>
        <v>53.605015673981477</v>
      </c>
      <c r="T92" s="50"/>
      <c r="X92" s="346"/>
    </row>
    <row r="93" spans="1:53">
      <c r="A93" s="3"/>
      <c r="B93" s="1"/>
      <c r="C93" s="10">
        <v>0.25</v>
      </c>
      <c r="D93" s="18">
        <v>6</v>
      </c>
      <c r="E93" s="382" t="s">
        <v>77</v>
      </c>
      <c r="F93" s="356" t="s">
        <v>45</v>
      </c>
      <c r="G93" s="42">
        <v>4.04</v>
      </c>
      <c r="H93" s="23">
        <v>192.28</v>
      </c>
      <c r="I93" s="23">
        <v>193.67</v>
      </c>
      <c r="J93" s="23">
        <v>191.01</v>
      </c>
      <c r="K93" s="23">
        <v>190.96</v>
      </c>
      <c r="L93" s="229">
        <f t="shared" si="75"/>
        <v>1.2700000000000102</v>
      </c>
      <c r="M93" s="229">
        <f t="shared" si="74"/>
        <v>2.7099999999999795</v>
      </c>
      <c r="N93" s="357">
        <f t="shared" si="77"/>
        <v>68.090452261306197</v>
      </c>
      <c r="O93" s="51">
        <v>44235</v>
      </c>
      <c r="Q93" s="388" t="str">
        <f>E215</f>
        <v>Field #5</v>
      </c>
      <c r="R93" s="388" t="str">
        <f>F215</f>
        <v>20-25cm</v>
      </c>
      <c r="S93" s="389">
        <f>N215</f>
        <v>53.93939393939425</v>
      </c>
      <c r="T93" s="50"/>
      <c r="X93" s="346"/>
    </row>
    <row r="94" spans="1:53">
      <c r="A94" s="3"/>
      <c r="B94" s="1"/>
      <c r="C94" s="10">
        <v>0.25</v>
      </c>
      <c r="D94" s="18">
        <v>7</v>
      </c>
      <c r="E94" s="382" t="s">
        <v>78</v>
      </c>
      <c r="F94" s="361" t="s">
        <v>4</v>
      </c>
      <c r="G94" s="42">
        <v>4</v>
      </c>
      <c r="H94" s="23">
        <v>191.76</v>
      </c>
      <c r="I94" s="23">
        <v>193.32</v>
      </c>
      <c r="J94" s="23">
        <v>190.89</v>
      </c>
      <c r="K94" s="23">
        <v>191.02</v>
      </c>
      <c r="L94" s="229">
        <f t="shared" si="75"/>
        <v>0.87000000000000455</v>
      </c>
      <c r="M94" s="229">
        <f t="shared" si="74"/>
        <v>2.2999999999999829</v>
      </c>
      <c r="N94" s="357">
        <f t="shared" si="77"/>
        <v>72.555205047318367</v>
      </c>
      <c r="O94" s="51">
        <v>44235</v>
      </c>
      <c r="Q94" s="388" t="str">
        <f t="shared" ref="Q94:R98" si="78">E221</f>
        <v>Field #4</v>
      </c>
      <c r="R94" s="388" t="str">
        <f t="shared" si="78"/>
        <v>0-5cm</v>
      </c>
      <c r="S94" s="389">
        <f>N221</f>
        <v>59.447004608294129</v>
      </c>
      <c r="T94" s="50"/>
      <c r="X94" s="346"/>
    </row>
    <row r="95" spans="1:53">
      <c r="A95" s="3"/>
      <c r="B95" s="1"/>
      <c r="C95" s="10">
        <v>0.25</v>
      </c>
      <c r="D95" s="18">
        <v>8</v>
      </c>
      <c r="E95" s="382" t="s">
        <v>78</v>
      </c>
      <c r="F95" s="356" t="s">
        <v>5</v>
      </c>
      <c r="G95" s="42">
        <v>3.97</v>
      </c>
      <c r="H95" s="23">
        <v>191.75</v>
      </c>
      <c r="I95" s="23">
        <v>193.54</v>
      </c>
      <c r="J95" s="23">
        <v>190.63</v>
      </c>
      <c r="K95" s="23">
        <v>191.07</v>
      </c>
      <c r="L95" s="229">
        <f t="shared" si="75"/>
        <v>1.1200000000000045</v>
      </c>
      <c r="M95" s="229">
        <f t="shared" si="74"/>
        <v>2.4699999999999989</v>
      </c>
      <c r="N95" s="357">
        <f t="shared" si="77"/>
        <v>68.80222841225617</v>
      </c>
      <c r="O95" s="51">
        <v>44235</v>
      </c>
      <c r="Q95" s="388" t="str">
        <f t="shared" si="78"/>
        <v>Field #4</v>
      </c>
      <c r="R95" s="388" t="str">
        <f t="shared" si="78"/>
        <v>5-10cm</v>
      </c>
      <c r="S95" s="389">
        <f>N222</f>
        <v>60.504201680672288</v>
      </c>
      <c r="T95" s="50"/>
      <c r="X95" s="346"/>
    </row>
    <row r="96" spans="1:53">
      <c r="D96" s="18"/>
      <c r="E96" s="48"/>
      <c r="F96" s="22"/>
      <c r="G96" s="42"/>
      <c r="J96" s="23"/>
      <c r="N96" s="25"/>
      <c r="Q96" s="388" t="str">
        <f t="shared" si="78"/>
        <v>Field #4</v>
      </c>
      <c r="R96" s="388" t="str">
        <f t="shared" si="78"/>
        <v>10-15cm</v>
      </c>
      <c r="S96" s="389">
        <f>N223</f>
        <v>40.978593272171231</v>
      </c>
      <c r="T96" s="50"/>
      <c r="X96" s="6"/>
    </row>
    <row r="97" spans="1:25">
      <c r="A97" s="3"/>
      <c r="B97" s="1"/>
      <c r="E97" s="48" t="s">
        <v>109</v>
      </c>
      <c r="J97" s="44" t="s">
        <v>46</v>
      </c>
      <c r="K97" s="44" t="s">
        <v>47</v>
      </c>
      <c r="L97" s="226" t="s">
        <v>42</v>
      </c>
      <c r="M97" s="226" t="s">
        <v>43</v>
      </c>
      <c r="N97" s="227" t="s">
        <v>44</v>
      </c>
      <c r="O97" s="50" t="s">
        <v>107</v>
      </c>
      <c r="Q97" s="388" t="str">
        <f t="shared" si="78"/>
        <v>Field #4</v>
      </c>
      <c r="R97" s="388" t="str">
        <f t="shared" si="78"/>
        <v>15-20cm</v>
      </c>
      <c r="S97" s="389">
        <f>N224</f>
        <v>46.198830409356425</v>
      </c>
      <c r="T97" s="50"/>
      <c r="X97" s="6"/>
    </row>
    <row r="98" spans="1:25">
      <c r="A98" s="3"/>
      <c r="B98" s="1"/>
      <c r="C98" s="10">
        <v>0.25</v>
      </c>
      <c r="D98" s="18">
        <v>1</v>
      </c>
      <c r="E98" s="382" t="s">
        <v>78</v>
      </c>
      <c r="F98" s="356" t="s">
        <v>45</v>
      </c>
      <c r="G98" s="42">
        <v>3.94</v>
      </c>
      <c r="H98" s="23">
        <v>189.13</v>
      </c>
      <c r="I98" s="23">
        <v>190.09</v>
      </c>
      <c r="J98" s="23">
        <v>187.89</v>
      </c>
      <c r="K98" s="23">
        <v>187.67</v>
      </c>
      <c r="L98" s="229">
        <f>H98-J98</f>
        <v>1.2400000000000091</v>
      </c>
      <c r="M98" s="229">
        <f t="shared" ref="M98:M105" si="79">I98-K98</f>
        <v>2.4200000000000159</v>
      </c>
      <c r="N98" s="357">
        <f t="shared" ref="N98:N105" si="80">M98*100/(L98+M98)</f>
        <v>66.120218579234958</v>
      </c>
      <c r="O98" s="51">
        <v>44235</v>
      </c>
      <c r="Q98" s="388" t="str">
        <f t="shared" si="78"/>
        <v>Field #4</v>
      </c>
      <c r="R98" s="388" t="str">
        <f t="shared" si="78"/>
        <v>20-25cm</v>
      </c>
      <c r="S98" s="389">
        <f>N225</f>
        <v>45.294117647059352</v>
      </c>
      <c r="T98" s="50"/>
      <c r="X98" s="6"/>
    </row>
    <row r="99" spans="1:25">
      <c r="A99" s="3"/>
      <c r="B99" s="1"/>
      <c r="C99" s="10">
        <v>0.25</v>
      </c>
      <c r="D99" s="18">
        <v>2</v>
      </c>
      <c r="E99" s="382" t="s">
        <v>79</v>
      </c>
      <c r="F99" s="361" t="s">
        <v>4</v>
      </c>
      <c r="G99" s="42">
        <v>4.03</v>
      </c>
      <c r="H99" s="23">
        <v>188.12</v>
      </c>
      <c r="I99" s="23">
        <v>190</v>
      </c>
      <c r="J99" s="23">
        <v>187.86</v>
      </c>
      <c r="K99" s="23">
        <v>187.75</v>
      </c>
      <c r="L99" s="229">
        <f t="shared" ref="L99:L105" si="81">H99-J99</f>
        <v>0.25999999999999091</v>
      </c>
      <c r="M99" s="229">
        <f t="shared" si="79"/>
        <v>2.25</v>
      </c>
      <c r="N99" s="357">
        <f t="shared" si="80"/>
        <v>89.641434262948536</v>
      </c>
      <c r="O99" s="51">
        <v>44235</v>
      </c>
      <c r="T99" s="50"/>
      <c r="X99" s="346"/>
      <c r="Y99" s="50"/>
    </row>
    <row r="100" spans="1:25">
      <c r="A100" s="3"/>
      <c r="B100" s="1"/>
      <c r="C100" s="10">
        <v>0.25</v>
      </c>
      <c r="D100" s="18">
        <v>3</v>
      </c>
      <c r="E100" s="382"/>
      <c r="F100" s="356"/>
      <c r="G100" s="42"/>
      <c r="J100" s="23">
        <v>186.71</v>
      </c>
      <c r="K100" s="23">
        <v>187.62</v>
      </c>
      <c r="L100" s="229"/>
      <c r="M100" s="229"/>
      <c r="N100" s="357"/>
      <c r="O100" s="51">
        <v>44235</v>
      </c>
      <c r="T100" s="50"/>
      <c r="X100" s="346"/>
      <c r="Y100" s="346"/>
    </row>
    <row r="101" spans="1:25">
      <c r="A101" s="3"/>
      <c r="B101" s="1"/>
      <c r="C101" s="10">
        <v>0.25</v>
      </c>
      <c r="D101" s="18">
        <v>4</v>
      </c>
      <c r="E101" s="382" t="s">
        <v>79</v>
      </c>
      <c r="F101" s="356" t="s">
        <v>45</v>
      </c>
      <c r="G101" s="42">
        <v>4.05</v>
      </c>
      <c r="H101" s="23">
        <v>181.55</v>
      </c>
      <c r="I101" s="23">
        <v>183.7</v>
      </c>
      <c r="J101" s="23">
        <v>180.84</v>
      </c>
      <c r="K101" s="23">
        <v>180.89</v>
      </c>
      <c r="L101" s="229">
        <f t="shared" si="81"/>
        <v>0.71000000000000796</v>
      </c>
      <c r="M101" s="229">
        <f t="shared" si="79"/>
        <v>2.8100000000000023</v>
      </c>
      <c r="N101" s="357">
        <f t="shared" si="80"/>
        <v>79.829545454545283</v>
      </c>
      <c r="O101" s="51">
        <v>44235</v>
      </c>
      <c r="T101" s="50"/>
      <c r="X101" s="346"/>
      <c r="Y101" s="346"/>
    </row>
    <row r="102" spans="1:25">
      <c r="A102" s="3"/>
      <c r="B102" s="1"/>
      <c r="C102" s="10">
        <v>0.25</v>
      </c>
      <c r="D102" s="18">
        <v>5</v>
      </c>
      <c r="E102" s="382" t="s">
        <v>80</v>
      </c>
      <c r="F102" s="361" t="s">
        <v>4</v>
      </c>
      <c r="G102" s="42">
        <v>3.98</v>
      </c>
      <c r="H102" s="23">
        <v>189.17</v>
      </c>
      <c r="I102" s="23">
        <v>191</v>
      </c>
      <c r="J102" s="23">
        <v>188.88</v>
      </c>
      <c r="K102" s="23">
        <v>188.42</v>
      </c>
      <c r="L102" s="229">
        <f t="shared" si="81"/>
        <v>0.28999999999999204</v>
      </c>
      <c r="M102" s="229">
        <f t="shared" si="79"/>
        <v>2.5800000000000125</v>
      </c>
      <c r="N102" s="357">
        <f t="shared" si="80"/>
        <v>89.895470383275551</v>
      </c>
      <c r="O102" s="51">
        <v>44235</v>
      </c>
      <c r="T102" s="50"/>
      <c r="X102" s="346"/>
      <c r="Y102" s="346"/>
    </row>
    <row r="103" spans="1:25">
      <c r="A103" s="3"/>
      <c r="B103" s="1"/>
      <c r="C103" s="10">
        <v>0.25</v>
      </c>
      <c r="D103" s="18">
        <v>6</v>
      </c>
      <c r="E103" s="382" t="s">
        <v>80</v>
      </c>
      <c r="F103" s="356" t="s">
        <v>5</v>
      </c>
      <c r="G103" s="42">
        <v>4.0199999999999996</v>
      </c>
      <c r="H103" s="23">
        <v>188.05</v>
      </c>
      <c r="I103" s="23">
        <v>190.95</v>
      </c>
      <c r="J103" s="23">
        <v>187.64</v>
      </c>
      <c r="K103" s="23">
        <v>187.97</v>
      </c>
      <c r="L103" s="229">
        <f t="shared" si="81"/>
        <v>0.41000000000002501</v>
      </c>
      <c r="M103" s="229">
        <f t="shared" si="79"/>
        <v>2.9799999999999898</v>
      </c>
      <c r="N103" s="357">
        <f t="shared" si="80"/>
        <v>87.905604719763332</v>
      </c>
      <c r="O103" s="51">
        <v>44235</v>
      </c>
      <c r="T103" s="50"/>
      <c r="X103" s="50"/>
      <c r="Y103" s="346"/>
    </row>
    <row r="104" spans="1:25">
      <c r="A104" s="3"/>
      <c r="B104" s="1"/>
      <c r="C104" s="10">
        <v>0.25</v>
      </c>
      <c r="D104" s="18">
        <v>7</v>
      </c>
      <c r="E104" s="382" t="s">
        <v>80</v>
      </c>
      <c r="F104" s="356" t="s">
        <v>45</v>
      </c>
      <c r="G104" s="42">
        <v>4.05</v>
      </c>
      <c r="H104" s="23">
        <v>190.6</v>
      </c>
      <c r="I104" s="23">
        <v>192.8</v>
      </c>
      <c r="J104" s="23">
        <v>190.01</v>
      </c>
      <c r="K104" s="23">
        <v>189.72</v>
      </c>
      <c r="L104" s="229">
        <f t="shared" si="81"/>
        <v>0.59000000000000341</v>
      </c>
      <c r="M104" s="229">
        <f t="shared" si="79"/>
        <v>3.0800000000000125</v>
      </c>
      <c r="N104" s="357">
        <f t="shared" si="80"/>
        <v>83.923705722070821</v>
      </c>
      <c r="O104" s="51">
        <v>44235</v>
      </c>
      <c r="T104" s="50"/>
      <c r="X104" s="50"/>
      <c r="Y104" s="346"/>
    </row>
    <row r="105" spans="1:25">
      <c r="C105" s="10">
        <v>0.25</v>
      </c>
      <c r="D105" s="18">
        <v>8</v>
      </c>
      <c r="E105" s="382" t="s">
        <v>11</v>
      </c>
      <c r="F105" s="361" t="s">
        <v>4</v>
      </c>
      <c r="G105" s="42">
        <v>3.66</v>
      </c>
      <c r="H105" s="23">
        <v>191.97</v>
      </c>
      <c r="I105" s="23">
        <v>190.1</v>
      </c>
      <c r="J105" s="23">
        <v>190.38</v>
      </c>
      <c r="K105" s="23">
        <v>188.89</v>
      </c>
      <c r="L105" s="229">
        <f t="shared" si="81"/>
        <v>1.5900000000000034</v>
      </c>
      <c r="M105" s="229">
        <f t="shared" si="79"/>
        <v>1.210000000000008</v>
      </c>
      <c r="N105" s="357">
        <f t="shared" si="80"/>
        <v>43.214285714285822</v>
      </c>
      <c r="O105" s="51">
        <v>44235</v>
      </c>
      <c r="T105" s="50"/>
      <c r="X105" s="6"/>
      <c r="Y105" s="346"/>
    </row>
    <row r="106" spans="1:25">
      <c r="D106" s="18"/>
      <c r="E106" s="48"/>
      <c r="F106" s="23"/>
      <c r="G106" s="42"/>
      <c r="J106" s="23"/>
      <c r="T106" s="50"/>
      <c r="X106" s="6"/>
      <c r="Y106" s="6"/>
    </row>
    <row r="107" spans="1:25">
      <c r="E107" s="46" t="s">
        <v>110</v>
      </c>
      <c r="J107" s="44" t="s">
        <v>48</v>
      </c>
      <c r="K107" s="44" t="s">
        <v>49</v>
      </c>
      <c r="L107" s="226" t="s">
        <v>42</v>
      </c>
      <c r="M107" s="226" t="s">
        <v>43</v>
      </c>
      <c r="N107" s="227" t="s">
        <v>44</v>
      </c>
      <c r="O107" s="50" t="s">
        <v>107</v>
      </c>
      <c r="T107" s="50"/>
      <c r="X107" s="6"/>
      <c r="Y107" s="6"/>
    </row>
    <row r="108" spans="1:25">
      <c r="C108" s="10">
        <v>0.25</v>
      </c>
      <c r="D108" s="18">
        <v>1</v>
      </c>
      <c r="E108" s="382" t="s">
        <v>79</v>
      </c>
      <c r="F108" s="356" t="s">
        <v>5</v>
      </c>
      <c r="G108" s="42">
        <v>2.8</v>
      </c>
      <c r="H108" s="23">
        <v>189.08</v>
      </c>
      <c r="I108" s="23">
        <v>189.48</v>
      </c>
      <c r="J108" s="23">
        <v>188.65</v>
      </c>
      <c r="K108" s="23">
        <v>187.62</v>
      </c>
      <c r="L108" s="229">
        <f>H108-J108</f>
        <v>0.43000000000000682</v>
      </c>
      <c r="M108" s="229">
        <f t="shared" ref="M108:M115" si="82">I108-K108</f>
        <v>1.8599999999999852</v>
      </c>
      <c r="N108" s="357">
        <f t="shared" ref="N108:N115" si="83">M108*100/(L108+M108)</f>
        <v>81.222707423580417</v>
      </c>
      <c r="O108" s="51">
        <v>44236</v>
      </c>
      <c r="T108" s="50"/>
      <c r="X108" s="6"/>
      <c r="Y108" s="6"/>
    </row>
    <row r="109" spans="1:25">
      <c r="C109" s="10">
        <v>0.25</v>
      </c>
      <c r="D109" s="18">
        <v>2</v>
      </c>
      <c r="E109" s="382" t="s">
        <v>11</v>
      </c>
      <c r="F109" s="356" t="s">
        <v>5</v>
      </c>
      <c r="G109" s="42">
        <v>3.99</v>
      </c>
      <c r="H109" s="23">
        <v>189.48</v>
      </c>
      <c r="I109" s="23">
        <v>189.1</v>
      </c>
      <c r="J109" s="23">
        <v>187.58</v>
      </c>
      <c r="K109" s="23">
        <v>187.51</v>
      </c>
      <c r="L109" s="229">
        <f t="shared" ref="L109:L115" si="84">H109-J109</f>
        <v>1.8999999999999773</v>
      </c>
      <c r="M109" s="229">
        <f t="shared" si="82"/>
        <v>1.5900000000000034</v>
      </c>
      <c r="N109" s="357">
        <f t="shared" si="83"/>
        <v>45.558739255014679</v>
      </c>
      <c r="O109" s="51">
        <v>44236</v>
      </c>
      <c r="T109" s="50"/>
      <c r="X109" s="6"/>
      <c r="Y109" s="346"/>
    </row>
    <row r="110" spans="1:25">
      <c r="C110" s="10">
        <v>0.25</v>
      </c>
      <c r="D110" s="18">
        <v>3</v>
      </c>
      <c r="E110" s="382" t="s">
        <v>11</v>
      </c>
      <c r="F110" s="356" t="s">
        <v>45</v>
      </c>
      <c r="G110" s="42">
        <v>3.99</v>
      </c>
      <c r="H110" s="23">
        <v>189.01</v>
      </c>
      <c r="I110" s="23">
        <v>190.59</v>
      </c>
      <c r="J110" s="23">
        <v>187.35</v>
      </c>
      <c r="K110" s="23">
        <v>188.74</v>
      </c>
      <c r="L110" s="229">
        <f t="shared" si="84"/>
        <v>1.6599999999999966</v>
      </c>
      <c r="M110" s="229">
        <f t="shared" si="82"/>
        <v>1.8499999999999943</v>
      </c>
      <c r="N110" s="357">
        <f t="shared" si="83"/>
        <v>52.706552706552678</v>
      </c>
      <c r="O110" s="51">
        <v>44236</v>
      </c>
      <c r="T110" s="50"/>
      <c r="X110" s="6"/>
      <c r="Y110" s="346"/>
    </row>
    <row r="111" spans="1:25">
      <c r="C111" s="10">
        <v>0.25</v>
      </c>
      <c r="D111" s="18">
        <v>4</v>
      </c>
      <c r="E111" s="382" t="s">
        <v>81</v>
      </c>
      <c r="F111" s="361" t="s">
        <v>4</v>
      </c>
      <c r="G111" s="42">
        <v>4.01</v>
      </c>
      <c r="H111" s="23">
        <v>188.9</v>
      </c>
      <c r="I111" s="23">
        <v>190.73</v>
      </c>
      <c r="J111" s="23">
        <v>187.5</v>
      </c>
      <c r="K111" s="23">
        <v>188.82</v>
      </c>
      <c r="L111" s="229">
        <f t="shared" si="84"/>
        <v>1.4000000000000057</v>
      </c>
      <c r="M111" s="229">
        <f t="shared" si="82"/>
        <v>1.9099999999999966</v>
      </c>
      <c r="N111" s="357">
        <f t="shared" si="83"/>
        <v>57.703927492446986</v>
      </c>
      <c r="O111" s="51">
        <v>44236</v>
      </c>
      <c r="T111" s="50"/>
      <c r="X111" s="6"/>
      <c r="Y111" s="346"/>
    </row>
    <row r="112" spans="1:25">
      <c r="C112" s="10">
        <v>0.25</v>
      </c>
      <c r="D112" s="18">
        <v>5</v>
      </c>
      <c r="E112" s="382" t="s">
        <v>81</v>
      </c>
      <c r="F112" s="356" t="s">
        <v>5</v>
      </c>
      <c r="G112" s="42">
        <v>3.96</v>
      </c>
      <c r="H112" s="23">
        <v>189.2</v>
      </c>
      <c r="I112" s="23">
        <v>190.41</v>
      </c>
      <c r="J112" s="23">
        <v>187.93</v>
      </c>
      <c r="K112" s="23">
        <v>188.28</v>
      </c>
      <c r="L112" s="229">
        <f t="shared" si="84"/>
        <v>1.2699999999999818</v>
      </c>
      <c r="M112" s="229">
        <f t="shared" si="82"/>
        <v>2.1299999999999955</v>
      </c>
      <c r="N112" s="357">
        <f t="shared" si="83"/>
        <v>62.647058823529697</v>
      </c>
      <c r="O112" s="51">
        <v>44236</v>
      </c>
      <c r="T112" s="50"/>
      <c r="X112" s="6"/>
      <c r="Y112" s="346"/>
    </row>
    <row r="113" spans="1:25">
      <c r="C113" s="10">
        <v>0.25</v>
      </c>
      <c r="D113" s="18">
        <v>6</v>
      </c>
      <c r="E113" s="382" t="s">
        <v>81</v>
      </c>
      <c r="F113" s="356" t="s">
        <v>45</v>
      </c>
      <c r="G113" s="42">
        <v>4.07</v>
      </c>
      <c r="H113" s="23">
        <v>188.94</v>
      </c>
      <c r="I113" s="23">
        <v>191.05</v>
      </c>
      <c r="J113" s="23">
        <v>187.64</v>
      </c>
      <c r="K113" s="23">
        <v>188.85</v>
      </c>
      <c r="L113" s="229">
        <f t="shared" si="84"/>
        <v>1.3000000000000114</v>
      </c>
      <c r="M113" s="229">
        <f t="shared" si="82"/>
        <v>2.2000000000000171</v>
      </c>
      <c r="N113" s="357">
        <f t="shared" si="83"/>
        <v>62.857142857142833</v>
      </c>
      <c r="O113" s="51">
        <v>44236</v>
      </c>
      <c r="T113" s="50"/>
      <c r="X113" s="6"/>
      <c r="Y113" s="50"/>
    </row>
    <row r="114" spans="1:25">
      <c r="C114" s="10">
        <v>0.25</v>
      </c>
      <c r="D114" s="18">
        <v>7</v>
      </c>
      <c r="E114" s="394" t="s">
        <v>82</v>
      </c>
      <c r="F114" s="361" t="s">
        <v>4</v>
      </c>
      <c r="G114" s="42">
        <v>2.6</v>
      </c>
      <c r="H114" s="23">
        <v>188.2</v>
      </c>
      <c r="I114" s="23">
        <v>189.64</v>
      </c>
      <c r="J114" s="23">
        <v>187.72</v>
      </c>
      <c r="K114" s="23">
        <v>187.8</v>
      </c>
      <c r="L114" s="229">
        <f t="shared" si="84"/>
        <v>0.47999999999998977</v>
      </c>
      <c r="M114" s="229">
        <f t="shared" si="82"/>
        <v>1.839999999999975</v>
      </c>
      <c r="N114" s="357">
        <f t="shared" si="83"/>
        <v>79.310344827586334</v>
      </c>
      <c r="O114" s="51">
        <v>44236</v>
      </c>
      <c r="T114" s="50"/>
      <c r="X114" s="6"/>
      <c r="Y114" s="50"/>
    </row>
    <row r="115" spans="1:25">
      <c r="C115" s="10">
        <v>0.25</v>
      </c>
      <c r="D115" s="18">
        <v>8</v>
      </c>
      <c r="E115" s="394" t="s">
        <v>82</v>
      </c>
      <c r="F115" s="356" t="s">
        <v>45</v>
      </c>
      <c r="G115" s="42">
        <v>3.98</v>
      </c>
      <c r="H115" s="23">
        <v>189.94</v>
      </c>
      <c r="I115" s="23">
        <v>191.17</v>
      </c>
      <c r="J115" s="23">
        <v>188.74</v>
      </c>
      <c r="K115" s="23">
        <v>188.84</v>
      </c>
      <c r="L115" s="229">
        <f t="shared" si="84"/>
        <v>1.1999999999999886</v>
      </c>
      <c r="M115" s="229">
        <f t="shared" si="82"/>
        <v>2.3299999999999841</v>
      </c>
      <c r="N115" s="357">
        <f t="shared" si="83"/>
        <v>66.005665722379661</v>
      </c>
      <c r="O115" s="51">
        <v>44236</v>
      </c>
      <c r="T115" s="50"/>
      <c r="X115" s="6"/>
      <c r="Y115" s="6"/>
    </row>
    <row r="116" spans="1:25">
      <c r="D116" s="18"/>
      <c r="E116" s="159"/>
      <c r="F116" s="356"/>
      <c r="G116" s="42"/>
      <c r="J116" s="23"/>
      <c r="N116" s="25"/>
      <c r="T116" s="50"/>
      <c r="Y116" s="6"/>
    </row>
    <row r="117" spans="1:25">
      <c r="E117" s="361" t="s">
        <v>63</v>
      </c>
      <c r="F117" s="395"/>
      <c r="J117" s="44" t="s">
        <v>54</v>
      </c>
      <c r="K117" s="44" t="s">
        <v>55</v>
      </c>
      <c r="L117" s="226" t="s">
        <v>42</v>
      </c>
      <c r="M117" s="226" t="s">
        <v>43</v>
      </c>
      <c r="N117" s="227" t="s">
        <v>44</v>
      </c>
      <c r="O117" s="50" t="s">
        <v>107</v>
      </c>
      <c r="T117" s="50"/>
      <c r="Y117" s="6"/>
    </row>
    <row r="118" spans="1:25">
      <c r="C118" s="10">
        <v>0.25</v>
      </c>
      <c r="D118" s="18">
        <v>1</v>
      </c>
      <c r="E118" s="394" t="s">
        <v>83</v>
      </c>
      <c r="F118" s="361" t="s">
        <v>4</v>
      </c>
      <c r="G118" s="42">
        <v>2.81</v>
      </c>
      <c r="H118" s="23">
        <v>191.06</v>
      </c>
      <c r="I118" s="23">
        <v>189.23</v>
      </c>
      <c r="J118" s="44">
        <v>190.23</v>
      </c>
      <c r="K118" s="44">
        <v>187.5</v>
      </c>
      <c r="L118" s="229">
        <f>H118-J118</f>
        <v>0.83000000000001251</v>
      </c>
      <c r="M118" s="229">
        <f t="shared" ref="M118:M125" si="85">I118-K118</f>
        <v>1.7299999999999898</v>
      </c>
      <c r="N118" s="357">
        <f t="shared" ref="N118:N125" si="86">M118*100/(L118+M118)</f>
        <v>67.578124999999545</v>
      </c>
      <c r="O118" s="51">
        <v>44237</v>
      </c>
      <c r="T118" s="50"/>
      <c r="Y118" s="6"/>
    </row>
    <row r="119" spans="1:25">
      <c r="C119" s="10">
        <v>0.25</v>
      </c>
      <c r="D119" s="18">
        <v>2</v>
      </c>
      <c r="E119" s="394" t="s">
        <v>83</v>
      </c>
      <c r="F119" s="356" t="s">
        <v>5</v>
      </c>
      <c r="G119" s="42">
        <v>3.97</v>
      </c>
      <c r="H119" s="23">
        <v>188.57</v>
      </c>
      <c r="I119" s="23">
        <v>190.33</v>
      </c>
      <c r="J119" s="23">
        <v>187.63</v>
      </c>
      <c r="K119" s="23">
        <v>187.58</v>
      </c>
      <c r="L119" s="229">
        <f t="shared" ref="L119:L125" si="87">H119-J119</f>
        <v>0.93999999999999773</v>
      </c>
      <c r="M119" s="229">
        <f t="shared" si="85"/>
        <v>2.75</v>
      </c>
      <c r="N119" s="357">
        <f t="shared" si="86"/>
        <v>74.525745257452627</v>
      </c>
      <c r="O119" s="51">
        <v>44237</v>
      </c>
      <c r="T119" s="50"/>
      <c r="Y119" s="6"/>
    </row>
    <row r="120" spans="1:25">
      <c r="C120" s="10">
        <v>0.25</v>
      </c>
      <c r="D120" s="18">
        <v>3</v>
      </c>
      <c r="E120" s="394" t="s">
        <v>83</v>
      </c>
      <c r="F120" s="356" t="s">
        <v>45</v>
      </c>
      <c r="G120" s="42">
        <v>4.01</v>
      </c>
      <c r="H120" s="23">
        <v>189.1</v>
      </c>
      <c r="I120" s="23">
        <v>193.03</v>
      </c>
      <c r="J120" s="23">
        <v>188.12</v>
      </c>
      <c r="K120" s="23">
        <v>190.27</v>
      </c>
      <c r="L120" s="229">
        <f t="shared" si="87"/>
        <v>0.97999999999998977</v>
      </c>
      <c r="M120" s="229">
        <f t="shared" si="85"/>
        <v>2.7599999999999909</v>
      </c>
      <c r="N120" s="357">
        <f t="shared" si="86"/>
        <v>73.79679144385041</v>
      </c>
      <c r="O120" s="51">
        <v>44237</v>
      </c>
      <c r="T120" s="50"/>
      <c r="Y120" s="6"/>
    </row>
    <row r="121" spans="1:25">
      <c r="C121" s="10">
        <v>0.25</v>
      </c>
      <c r="D121" s="18">
        <v>4</v>
      </c>
      <c r="E121" s="394" t="s">
        <v>84</v>
      </c>
      <c r="F121" s="361" t="s">
        <v>4</v>
      </c>
      <c r="G121" s="42">
        <v>3.56</v>
      </c>
      <c r="H121" s="23">
        <v>188.58</v>
      </c>
      <c r="I121" s="23">
        <v>191.81</v>
      </c>
      <c r="J121" s="23">
        <v>187.64</v>
      </c>
      <c r="K121" s="23">
        <v>189.68</v>
      </c>
      <c r="L121" s="229">
        <f t="shared" si="87"/>
        <v>0.94000000000002615</v>
      </c>
      <c r="M121" s="229">
        <f t="shared" si="85"/>
        <v>2.1299999999999955</v>
      </c>
      <c r="N121" s="357">
        <f t="shared" si="86"/>
        <v>69.381107491856042</v>
      </c>
      <c r="O121" s="51">
        <v>44237</v>
      </c>
      <c r="T121" s="50"/>
      <c r="Y121" s="6"/>
    </row>
    <row r="122" spans="1:25">
      <c r="C122" s="10">
        <v>0.25</v>
      </c>
      <c r="D122" s="18">
        <v>5</v>
      </c>
      <c r="E122" s="394" t="s">
        <v>85</v>
      </c>
      <c r="F122" s="356" t="s">
        <v>5</v>
      </c>
      <c r="G122" s="42">
        <v>4.0599999999999996</v>
      </c>
      <c r="H122" s="23">
        <v>189.23</v>
      </c>
      <c r="I122" s="23">
        <v>191.26</v>
      </c>
      <c r="J122" s="23">
        <v>188.24</v>
      </c>
      <c r="K122" s="23">
        <v>188.46</v>
      </c>
      <c r="L122" s="229">
        <f t="shared" si="87"/>
        <v>0.98999999999998067</v>
      </c>
      <c r="M122" s="229">
        <f t="shared" si="85"/>
        <v>2.7999999999999829</v>
      </c>
      <c r="N122" s="357">
        <f t="shared" si="86"/>
        <v>73.878627968337995</v>
      </c>
      <c r="O122" s="51">
        <v>44237</v>
      </c>
      <c r="T122" s="50"/>
      <c r="Y122" s="6"/>
    </row>
    <row r="123" spans="1:25">
      <c r="C123" s="10">
        <v>0.25</v>
      </c>
      <c r="D123" s="18">
        <v>6</v>
      </c>
      <c r="E123" s="394" t="s">
        <v>85</v>
      </c>
      <c r="F123" s="356" t="s">
        <v>45</v>
      </c>
      <c r="G123" s="42">
        <v>4</v>
      </c>
      <c r="H123" s="23">
        <v>188.72</v>
      </c>
      <c r="I123" s="23">
        <v>192.93</v>
      </c>
      <c r="J123" s="23">
        <v>187.68</v>
      </c>
      <c r="K123" s="23">
        <v>190.24</v>
      </c>
      <c r="L123" s="229">
        <f t="shared" si="87"/>
        <v>1.039999999999992</v>
      </c>
      <c r="M123" s="229">
        <f t="shared" si="85"/>
        <v>2.6899999999999977</v>
      </c>
      <c r="N123" s="357">
        <f t="shared" si="86"/>
        <v>72.117962466488066</v>
      </c>
      <c r="O123" s="51">
        <v>44237</v>
      </c>
      <c r="T123" s="50"/>
      <c r="Y123" s="6"/>
    </row>
    <row r="124" spans="1:25">
      <c r="C124" s="10">
        <v>0.25</v>
      </c>
      <c r="D124" s="18">
        <v>7</v>
      </c>
      <c r="E124" s="394" t="s">
        <v>86</v>
      </c>
      <c r="F124" s="356" t="s">
        <v>5</v>
      </c>
      <c r="G124" s="42">
        <v>3.99</v>
      </c>
      <c r="H124" s="23">
        <v>189.61</v>
      </c>
      <c r="I124" s="23">
        <v>190.51</v>
      </c>
      <c r="J124" s="23">
        <v>188.85</v>
      </c>
      <c r="K124" s="23">
        <v>187.69</v>
      </c>
      <c r="L124" s="229">
        <f t="shared" si="87"/>
        <v>0.76000000000001933</v>
      </c>
      <c r="M124" s="229">
        <f t="shared" si="85"/>
        <v>2.8199999999999932</v>
      </c>
      <c r="N124" s="357">
        <f t="shared" si="86"/>
        <v>78.770949720669918</v>
      </c>
      <c r="O124" s="51">
        <v>44237</v>
      </c>
      <c r="T124" s="50"/>
      <c r="Y124" s="6"/>
    </row>
    <row r="125" spans="1:25">
      <c r="C125" s="10">
        <v>0.25</v>
      </c>
      <c r="D125" s="18">
        <v>8</v>
      </c>
      <c r="E125" s="394" t="s">
        <v>86</v>
      </c>
      <c r="F125" s="356" t="s">
        <v>45</v>
      </c>
      <c r="G125" s="42">
        <v>4</v>
      </c>
      <c r="H125" s="23">
        <v>188.52</v>
      </c>
      <c r="I125" s="23">
        <v>191.42</v>
      </c>
      <c r="J125" s="23">
        <v>187.8</v>
      </c>
      <c r="K125" s="23">
        <v>188.52</v>
      </c>
      <c r="L125" s="229">
        <f t="shared" si="87"/>
        <v>0.71999999999999886</v>
      </c>
      <c r="M125" s="229">
        <f t="shared" si="85"/>
        <v>2.8999999999999773</v>
      </c>
      <c r="N125" s="357">
        <f t="shared" si="86"/>
        <v>80.110497237568964</v>
      </c>
      <c r="O125" s="51">
        <v>44237</v>
      </c>
      <c r="T125" s="50"/>
      <c r="Y125" s="6"/>
    </row>
    <row r="126" spans="1:25">
      <c r="D126" s="18"/>
      <c r="E126" s="48"/>
      <c r="F126" s="22"/>
      <c r="G126" s="42"/>
      <c r="J126" s="23"/>
      <c r="N126" s="25"/>
      <c r="T126" s="50"/>
    </row>
    <row r="127" spans="1:25">
      <c r="D127" s="18"/>
      <c r="E127" s="49" t="s">
        <v>63</v>
      </c>
      <c r="J127" s="44" t="s">
        <v>40</v>
      </c>
      <c r="K127" s="44" t="s">
        <v>41</v>
      </c>
      <c r="L127" s="226" t="s">
        <v>42</v>
      </c>
      <c r="M127" s="226" t="s">
        <v>43</v>
      </c>
      <c r="N127" s="227" t="s">
        <v>44</v>
      </c>
      <c r="O127" s="50" t="s">
        <v>107</v>
      </c>
      <c r="T127" s="50"/>
    </row>
    <row r="128" spans="1:25">
      <c r="A128" s="220"/>
      <c r="B128" s="221"/>
      <c r="C128" s="10">
        <v>0.25</v>
      </c>
      <c r="D128" s="18"/>
      <c r="E128" s="394" t="s">
        <v>87</v>
      </c>
      <c r="F128" s="361" t="s">
        <v>4</v>
      </c>
      <c r="G128" s="42">
        <v>4.01</v>
      </c>
      <c r="H128" s="23">
        <v>191.18</v>
      </c>
      <c r="I128" s="23">
        <v>193.66</v>
      </c>
      <c r="J128" s="23">
        <v>190.71</v>
      </c>
      <c r="K128" s="23">
        <v>191.12</v>
      </c>
      <c r="L128" s="229">
        <f>H128-J128</f>
        <v>0.46999999999999886</v>
      </c>
      <c r="M128" s="229">
        <f t="shared" ref="M128:M135" si="88">I128-K128</f>
        <v>2.539999999999992</v>
      </c>
      <c r="N128" s="357">
        <f t="shared" ref="N128:N135" si="89">M128*100/(L128+M128)</f>
        <v>84.385382059800662</v>
      </c>
      <c r="O128" s="51">
        <v>44239</v>
      </c>
      <c r="T128" s="50"/>
    </row>
    <row r="129" spans="1:20">
      <c r="A129" s="222"/>
      <c r="B129" s="223"/>
      <c r="C129" s="10">
        <v>0.25</v>
      </c>
      <c r="D129" s="18">
        <v>2</v>
      </c>
      <c r="E129" s="394" t="s">
        <v>87</v>
      </c>
      <c r="F129" s="356" t="s">
        <v>5</v>
      </c>
      <c r="G129" s="42">
        <v>4.01</v>
      </c>
      <c r="H129" s="23">
        <v>190.66</v>
      </c>
      <c r="I129" s="23">
        <v>193.57</v>
      </c>
      <c r="J129" s="23">
        <v>190.23</v>
      </c>
      <c r="K129" s="23">
        <v>190.59</v>
      </c>
      <c r="L129" s="229">
        <f t="shared" ref="L129:L135" si="90">H129-J129</f>
        <v>0.43000000000000682</v>
      </c>
      <c r="M129" s="229">
        <f t="shared" si="88"/>
        <v>2.9799999999999898</v>
      </c>
      <c r="N129" s="357">
        <f t="shared" si="89"/>
        <v>87.390029325512984</v>
      </c>
      <c r="O129" s="51">
        <v>44239</v>
      </c>
      <c r="T129" s="50"/>
    </row>
    <row r="130" spans="1:20">
      <c r="A130" s="222"/>
      <c r="B130" s="221"/>
      <c r="C130" s="10">
        <v>0.25</v>
      </c>
      <c r="D130" s="18">
        <v>3</v>
      </c>
      <c r="E130" s="394" t="s">
        <v>87</v>
      </c>
      <c r="F130" s="356" t="s">
        <v>45</v>
      </c>
      <c r="G130" s="42">
        <v>4.03</v>
      </c>
      <c r="H130" s="23">
        <v>192.16</v>
      </c>
      <c r="I130" s="23">
        <v>193.24</v>
      </c>
      <c r="J130" s="23">
        <v>191.1</v>
      </c>
      <c r="K130" s="23">
        <v>190.93</v>
      </c>
      <c r="L130" s="229">
        <f t="shared" si="90"/>
        <v>1.0600000000000023</v>
      </c>
      <c r="M130" s="229">
        <f t="shared" si="88"/>
        <v>2.3100000000000023</v>
      </c>
      <c r="N130" s="357">
        <f t="shared" si="89"/>
        <v>68.545994065281874</v>
      </c>
      <c r="O130" s="51">
        <v>44239</v>
      </c>
      <c r="T130" s="50"/>
    </row>
    <row r="131" spans="1:20">
      <c r="A131" s="222"/>
      <c r="B131" s="221"/>
      <c r="C131" s="10">
        <v>0.25</v>
      </c>
      <c r="D131" s="18">
        <v>4</v>
      </c>
      <c r="E131" s="394" t="s">
        <v>88</v>
      </c>
      <c r="F131" s="361" t="s">
        <v>4</v>
      </c>
      <c r="G131" s="42">
        <v>3.42</v>
      </c>
      <c r="H131" s="23">
        <v>189.96</v>
      </c>
      <c r="I131" s="23">
        <v>192.82</v>
      </c>
      <c r="J131" s="23">
        <v>187.76</v>
      </c>
      <c r="K131" s="23">
        <v>190.14</v>
      </c>
      <c r="L131" s="229">
        <f t="shared" si="90"/>
        <v>2.2000000000000171</v>
      </c>
      <c r="M131" s="229">
        <f t="shared" si="88"/>
        <v>2.6800000000000068</v>
      </c>
      <c r="N131" s="357">
        <f t="shared" si="89"/>
        <v>54.918032786885114</v>
      </c>
      <c r="O131" s="51">
        <v>44239</v>
      </c>
      <c r="T131" s="50"/>
    </row>
    <row r="132" spans="1:20">
      <c r="A132" s="220"/>
      <c r="B132" s="223"/>
      <c r="C132" s="10">
        <v>0.25</v>
      </c>
      <c r="D132" s="18">
        <v>5</v>
      </c>
      <c r="E132" s="394" t="s">
        <v>88</v>
      </c>
      <c r="F132" s="356" t="s">
        <v>5</v>
      </c>
      <c r="G132" s="42">
        <v>3.96</v>
      </c>
      <c r="H132" s="23">
        <v>190.33</v>
      </c>
      <c r="I132" s="23">
        <v>193.07</v>
      </c>
      <c r="J132" s="23">
        <v>190.03</v>
      </c>
      <c r="K132" s="23">
        <v>189.95</v>
      </c>
      <c r="L132" s="229">
        <f t="shared" si="90"/>
        <v>0.30000000000001137</v>
      </c>
      <c r="M132" s="229">
        <f t="shared" si="88"/>
        <v>3.1200000000000045</v>
      </c>
      <c r="N132" s="357">
        <f t="shared" si="89"/>
        <v>91.228070175438305</v>
      </c>
      <c r="O132" s="51">
        <v>44239</v>
      </c>
      <c r="T132" s="50"/>
    </row>
    <row r="133" spans="1:20">
      <c r="A133" s="220"/>
      <c r="B133" s="221"/>
      <c r="C133" s="10">
        <v>0.25</v>
      </c>
      <c r="D133" s="18">
        <v>6</v>
      </c>
      <c r="E133" s="394" t="s">
        <v>88</v>
      </c>
      <c r="F133" s="356" t="s">
        <v>45</v>
      </c>
      <c r="G133" s="42">
        <v>4.04</v>
      </c>
      <c r="H133" s="23">
        <v>191.48</v>
      </c>
      <c r="I133" s="23">
        <v>193.97</v>
      </c>
      <c r="J133" s="23">
        <v>191.01</v>
      </c>
      <c r="K133" s="23">
        <v>190.96</v>
      </c>
      <c r="L133" s="229">
        <f t="shared" si="90"/>
        <v>0.46999999999999886</v>
      </c>
      <c r="M133" s="229">
        <f t="shared" si="88"/>
        <v>3.0099999999999909</v>
      </c>
      <c r="N133" s="357">
        <f t="shared" si="89"/>
        <v>86.494252873563212</v>
      </c>
      <c r="O133" s="51">
        <v>44239</v>
      </c>
      <c r="T133" s="50"/>
    </row>
    <row r="134" spans="1:20">
      <c r="A134" s="220"/>
      <c r="B134" s="221"/>
      <c r="C134" s="10">
        <v>0.25</v>
      </c>
      <c r="D134" s="18">
        <v>7</v>
      </c>
      <c r="E134" s="394" t="s">
        <v>89</v>
      </c>
      <c r="F134" s="361" t="s">
        <v>4</v>
      </c>
      <c r="G134" s="42">
        <v>3.77</v>
      </c>
      <c r="H134" s="23">
        <v>191.36</v>
      </c>
      <c r="I134" s="23">
        <v>193.58</v>
      </c>
      <c r="J134" s="23">
        <v>190.89</v>
      </c>
      <c r="K134" s="23">
        <v>191.02</v>
      </c>
      <c r="L134" s="229">
        <f t="shared" si="90"/>
        <v>0.47000000000002728</v>
      </c>
      <c r="M134" s="229">
        <f t="shared" si="88"/>
        <v>2.5600000000000023</v>
      </c>
      <c r="N134" s="357">
        <f t="shared" si="89"/>
        <v>84.488448844883735</v>
      </c>
      <c r="O134" s="51">
        <v>44239</v>
      </c>
      <c r="T134" s="50"/>
    </row>
    <row r="135" spans="1:20">
      <c r="A135" s="220"/>
      <c r="B135" s="223"/>
      <c r="C135" s="10">
        <v>0.25</v>
      </c>
      <c r="D135" s="18">
        <v>8</v>
      </c>
      <c r="E135" s="394" t="s">
        <v>89</v>
      </c>
      <c r="F135" s="356" t="s">
        <v>5</v>
      </c>
      <c r="G135" s="42">
        <v>3.92</v>
      </c>
      <c r="H135" s="23">
        <v>191.45</v>
      </c>
      <c r="I135" s="23">
        <v>193.56</v>
      </c>
      <c r="J135" s="23">
        <v>190.63</v>
      </c>
      <c r="K135" s="23">
        <v>191.07</v>
      </c>
      <c r="L135" s="229">
        <f t="shared" si="90"/>
        <v>0.81999999999999318</v>
      </c>
      <c r="M135" s="229">
        <f t="shared" si="88"/>
        <v>2.4900000000000091</v>
      </c>
      <c r="N135" s="357">
        <f t="shared" si="89"/>
        <v>75.226586102719253</v>
      </c>
      <c r="O135" s="51">
        <v>44239</v>
      </c>
      <c r="T135" s="50"/>
    </row>
    <row r="136" spans="1:20">
      <c r="A136" s="220"/>
      <c r="B136" s="223"/>
      <c r="D136" s="18"/>
      <c r="E136" s="48"/>
      <c r="F136" s="22"/>
      <c r="G136" s="42"/>
      <c r="J136" s="23"/>
      <c r="N136" s="25"/>
      <c r="T136" s="50"/>
    </row>
    <row r="137" spans="1:20">
      <c r="A137" s="15"/>
      <c r="B137" s="15"/>
      <c r="E137" s="49" t="s">
        <v>63</v>
      </c>
      <c r="J137" s="44" t="s">
        <v>46</v>
      </c>
      <c r="K137" s="44" t="s">
        <v>47</v>
      </c>
      <c r="L137" s="226" t="s">
        <v>42</v>
      </c>
      <c r="M137" s="226" t="s">
        <v>43</v>
      </c>
      <c r="N137" s="227" t="s">
        <v>44</v>
      </c>
      <c r="O137" s="50" t="s">
        <v>107</v>
      </c>
      <c r="T137" s="50"/>
    </row>
    <row r="138" spans="1:20">
      <c r="C138" s="10">
        <v>0.25</v>
      </c>
      <c r="D138" s="18">
        <v>1</v>
      </c>
      <c r="E138" s="394" t="s">
        <v>89</v>
      </c>
      <c r="F138" s="356" t="s">
        <v>45</v>
      </c>
      <c r="G138" s="42">
        <v>4.01</v>
      </c>
      <c r="H138" s="23">
        <v>189.18</v>
      </c>
      <c r="I138" s="23">
        <v>189.87</v>
      </c>
      <c r="J138" s="23">
        <v>187.89</v>
      </c>
      <c r="K138" s="23">
        <v>187.67</v>
      </c>
      <c r="L138" s="229">
        <f>H138-J138</f>
        <v>1.2900000000000205</v>
      </c>
      <c r="M138" s="229">
        <f t="shared" ref="M138:M145" si="91">I138-K138</f>
        <v>2.2000000000000171</v>
      </c>
      <c r="N138" s="357">
        <f t="shared" ref="N138:N145" si="92">M138*100/(L138+M138)</f>
        <v>63.037249283667435</v>
      </c>
      <c r="O138" s="51">
        <v>44240</v>
      </c>
      <c r="T138" s="50"/>
    </row>
    <row r="139" spans="1:20">
      <c r="C139" s="10">
        <v>0.25</v>
      </c>
      <c r="D139" s="18">
        <v>2</v>
      </c>
      <c r="E139" s="394" t="s">
        <v>90</v>
      </c>
      <c r="F139" s="361" t="s">
        <v>4</v>
      </c>
      <c r="G139" s="42">
        <v>3.87</v>
      </c>
      <c r="H139" s="23">
        <v>188.54</v>
      </c>
      <c r="I139" s="23">
        <v>190.3</v>
      </c>
      <c r="J139" s="23">
        <v>187.86</v>
      </c>
      <c r="K139" s="23">
        <v>187.75</v>
      </c>
      <c r="L139" s="229">
        <f t="shared" ref="L139:L145" si="93">H139-J139</f>
        <v>0.6799999999999784</v>
      </c>
      <c r="M139" s="229">
        <f t="shared" si="91"/>
        <v>2.5500000000000114</v>
      </c>
      <c r="N139" s="357">
        <f t="shared" si="92"/>
        <v>78.947368421053227</v>
      </c>
      <c r="O139" s="51">
        <v>44240</v>
      </c>
      <c r="T139" s="50"/>
    </row>
    <row r="140" spans="1:20">
      <c r="C140" s="10">
        <v>0.25</v>
      </c>
      <c r="D140" s="18">
        <v>3</v>
      </c>
      <c r="E140" s="394" t="s">
        <v>91</v>
      </c>
      <c r="F140" s="356" t="s">
        <v>5</v>
      </c>
      <c r="G140" s="42">
        <v>4</v>
      </c>
      <c r="H140" s="23">
        <v>187.62</v>
      </c>
      <c r="I140" s="23">
        <v>190.46</v>
      </c>
      <c r="J140" s="23">
        <v>186.71</v>
      </c>
      <c r="K140" s="23">
        <v>187.62</v>
      </c>
      <c r="L140" s="229">
        <f t="shared" si="93"/>
        <v>0.90999999999999659</v>
      </c>
      <c r="M140" s="229">
        <f t="shared" si="91"/>
        <v>2.8400000000000034</v>
      </c>
      <c r="N140" s="357">
        <f t="shared" si="92"/>
        <v>75.73333333333342</v>
      </c>
      <c r="O140" s="51">
        <v>44240</v>
      </c>
      <c r="T140" s="50"/>
    </row>
    <row r="141" spans="1:20">
      <c r="C141" s="10">
        <v>0.25</v>
      </c>
      <c r="D141" s="18">
        <v>4</v>
      </c>
      <c r="E141" s="394" t="s">
        <v>92</v>
      </c>
      <c r="F141" s="356" t="s">
        <v>45</v>
      </c>
      <c r="G141" s="42">
        <v>4</v>
      </c>
      <c r="H141" s="23">
        <v>181.83</v>
      </c>
      <c r="I141" s="23">
        <v>183.6</v>
      </c>
      <c r="J141" s="23">
        <v>180.84</v>
      </c>
      <c r="K141" s="23">
        <v>180.89</v>
      </c>
      <c r="L141" s="229">
        <f t="shared" si="93"/>
        <v>0.99000000000000909</v>
      </c>
      <c r="M141" s="229">
        <f t="shared" si="91"/>
        <v>2.710000000000008</v>
      </c>
      <c r="N141" s="357">
        <f t="shared" si="92"/>
        <v>73.243243243243114</v>
      </c>
      <c r="O141" s="51">
        <v>44240</v>
      </c>
      <c r="T141" s="50"/>
    </row>
    <row r="142" spans="1:20">
      <c r="C142" s="10">
        <v>0.25</v>
      </c>
      <c r="D142" s="18">
        <v>5</v>
      </c>
      <c r="E142" s="394" t="s">
        <v>93</v>
      </c>
      <c r="F142" s="361" t="s">
        <v>4</v>
      </c>
      <c r="G142" s="42">
        <v>3.99</v>
      </c>
      <c r="H142" s="23">
        <v>189.89</v>
      </c>
      <c r="I142" s="23">
        <v>191</v>
      </c>
      <c r="J142" s="23">
        <v>188.88</v>
      </c>
      <c r="K142" s="23">
        <v>188.42</v>
      </c>
      <c r="L142" s="229">
        <f t="shared" si="93"/>
        <v>1.0099999999999909</v>
      </c>
      <c r="M142" s="229">
        <f t="shared" si="91"/>
        <v>2.5800000000000125</v>
      </c>
      <c r="N142" s="357">
        <f t="shared" si="92"/>
        <v>71.866295264624242</v>
      </c>
      <c r="O142" s="51">
        <v>44240</v>
      </c>
      <c r="T142" s="50"/>
    </row>
    <row r="143" spans="1:20">
      <c r="C143" s="10">
        <v>0.25</v>
      </c>
      <c r="D143" s="18">
        <v>6</v>
      </c>
      <c r="E143" s="394" t="s">
        <v>93</v>
      </c>
      <c r="F143" s="356" t="s">
        <v>5</v>
      </c>
      <c r="G143" s="42">
        <v>4.0199999999999996</v>
      </c>
      <c r="H143" s="23">
        <v>188.58</v>
      </c>
      <c r="I143" s="23">
        <v>190.67</v>
      </c>
      <c r="J143" s="23">
        <v>187.64</v>
      </c>
      <c r="K143" s="23">
        <v>187.97</v>
      </c>
      <c r="L143" s="229">
        <f t="shared" si="93"/>
        <v>0.94000000000002615</v>
      </c>
      <c r="M143" s="229">
        <f t="shared" si="91"/>
        <v>2.6999999999999886</v>
      </c>
      <c r="N143" s="357">
        <f t="shared" si="92"/>
        <v>74.175824175823564</v>
      </c>
      <c r="O143" s="51">
        <v>44240</v>
      </c>
      <c r="T143" s="50"/>
    </row>
    <row r="144" spans="1:20">
      <c r="C144" s="10">
        <v>0.25</v>
      </c>
      <c r="D144" s="18">
        <v>7</v>
      </c>
      <c r="E144" s="394" t="s">
        <v>93</v>
      </c>
      <c r="F144" s="356" t="s">
        <v>45</v>
      </c>
      <c r="G144" s="42">
        <v>4.0199999999999996</v>
      </c>
      <c r="H144" s="23">
        <v>190.88</v>
      </c>
      <c r="I144" s="23">
        <v>192.51</v>
      </c>
      <c r="J144" s="23">
        <v>190.01</v>
      </c>
      <c r="K144" s="23">
        <v>189.72</v>
      </c>
      <c r="L144" s="229">
        <f t="shared" si="93"/>
        <v>0.87000000000000455</v>
      </c>
      <c r="M144" s="229">
        <f t="shared" si="91"/>
        <v>2.789999999999992</v>
      </c>
      <c r="N144" s="357">
        <f t="shared" si="92"/>
        <v>76.22950819672117</v>
      </c>
      <c r="O144" s="51">
        <v>44240</v>
      </c>
      <c r="T144" s="50"/>
    </row>
    <row r="145" spans="3:20">
      <c r="C145" s="10">
        <v>0.25</v>
      </c>
      <c r="D145" s="18">
        <v>8</v>
      </c>
      <c r="E145" s="394" t="s">
        <v>94</v>
      </c>
      <c r="F145" s="361" t="s">
        <v>4</v>
      </c>
      <c r="G145" s="42">
        <v>4.01</v>
      </c>
      <c r="H145" s="23">
        <v>191.21</v>
      </c>
      <c r="I145" s="23">
        <v>191.7</v>
      </c>
      <c r="J145" s="23">
        <v>190.38</v>
      </c>
      <c r="K145" s="23">
        <v>188.89</v>
      </c>
      <c r="L145" s="229">
        <f t="shared" si="93"/>
        <v>0.83000000000001251</v>
      </c>
      <c r="M145" s="229">
        <f t="shared" si="91"/>
        <v>2.8100000000000023</v>
      </c>
      <c r="N145" s="357">
        <f t="shared" si="92"/>
        <v>77.197802197801948</v>
      </c>
      <c r="O145" s="51">
        <v>44240</v>
      </c>
      <c r="T145" s="50"/>
    </row>
    <row r="146" spans="3:20">
      <c r="D146" s="18"/>
      <c r="E146" s="48"/>
      <c r="F146" s="23"/>
      <c r="G146" s="42"/>
      <c r="J146" s="23"/>
      <c r="N146" s="25"/>
      <c r="T146" s="50"/>
    </row>
    <row r="147" spans="3:20">
      <c r="E147" s="49" t="s">
        <v>63</v>
      </c>
      <c r="J147" s="44" t="s">
        <v>48</v>
      </c>
      <c r="K147" s="44" t="s">
        <v>49</v>
      </c>
      <c r="L147" s="226" t="s">
        <v>42</v>
      </c>
      <c r="M147" s="226" t="s">
        <v>43</v>
      </c>
      <c r="N147" s="227" t="s">
        <v>44</v>
      </c>
      <c r="O147" s="50" t="s">
        <v>107</v>
      </c>
      <c r="T147" s="50"/>
    </row>
    <row r="148" spans="3:20">
      <c r="C148" s="10">
        <v>0.25</v>
      </c>
      <c r="D148" s="18">
        <v>1</v>
      </c>
      <c r="E148" s="394" t="s">
        <v>94</v>
      </c>
      <c r="F148" s="356" t="s">
        <v>5</v>
      </c>
      <c r="G148" s="42">
        <v>3.97</v>
      </c>
      <c r="H148" s="23">
        <v>189.45</v>
      </c>
      <c r="I148" s="23">
        <v>190.46</v>
      </c>
      <c r="J148" s="23">
        <v>188.65</v>
      </c>
      <c r="K148" s="23">
        <v>187.62</v>
      </c>
      <c r="L148" s="229">
        <f>H148-J148</f>
        <v>0.79999999999998295</v>
      </c>
      <c r="M148" s="229">
        <f t="shared" ref="M148:M155" si="94">I148-K148</f>
        <v>2.8400000000000034</v>
      </c>
      <c r="N148" s="357">
        <f t="shared" ref="N148:N155" si="95">M148*100/(L148+M148)</f>
        <v>78.021978021978413</v>
      </c>
      <c r="O148" s="51">
        <v>44240</v>
      </c>
      <c r="T148" s="50"/>
    </row>
    <row r="149" spans="3:20">
      <c r="C149" s="10">
        <v>0.25</v>
      </c>
      <c r="D149" s="18">
        <v>2</v>
      </c>
      <c r="E149" s="394" t="s">
        <v>94</v>
      </c>
      <c r="F149" s="356" t="s">
        <v>45</v>
      </c>
      <c r="G149" s="42">
        <v>4</v>
      </c>
      <c r="H149" s="23">
        <v>188.36</v>
      </c>
      <c r="I149" s="23">
        <v>190.38</v>
      </c>
      <c r="J149" s="23">
        <v>187.58</v>
      </c>
      <c r="K149" s="23">
        <v>187.51</v>
      </c>
      <c r="L149" s="229">
        <f t="shared" ref="L149:L155" si="96">H149-J149</f>
        <v>0.78000000000000114</v>
      </c>
      <c r="M149" s="229">
        <f t="shared" si="94"/>
        <v>2.8700000000000045</v>
      </c>
      <c r="N149" s="357">
        <f t="shared" si="95"/>
        <v>78.630136986301366</v>
      </c>
      <c r="O149" s="51">
        <v>44240</v>
      </c>
      <c r="T149" s="50"/>
    </row>
    <row r="150" spans="3:20">
      <c r="C150" s="10">
        <v>0.25</v>
      </c>
      <c r="D150" s="18">
        <v>3</v>
      </c>
      <c r="E150" s="394" t="s">
        <v>95</v>
      </c>
      <c r="F150" s="361" t="s">
        <v>4</v>
      </c>
      <c r="G150" s="42">
        <v>4</v>
      </c>
      <c r="H150" s="23">
        <v>188.32</v>
      </c>
      <c r="I150" s="23">
        <v>191.4</v>
      </c>
      <c r="J150" s="23">
        <v>187.35</v>
      </c>
      <c r="K150" s="23">
        <v>188.74</v>
      </c>
      <c r="L150" s="229">
        <f t="shared" si="96"/>
        <v>0.96999999999999886</v>
      </c>
      <c r="M150" s="229">
        <f t="shared" si="94"/>
        <v>2.6599999999999966</v>
      </c>
      <c r="N150" s="357">
        <f t="shared" si="95"/>
        <v>73.278236914600555</v>
      </c>
      <c r="O150" s="51">
        <v>44240</v>
      </c>
      <c r="T150" s="50"/>
    </row>
    <row r="151" spans="3:20">
      <c r="C151" s="10">
        <v>0.25</v>
      </c>
      <c r="D151" s="18">
        <v>4</v>
      </c>
      <c r="E151" s="394" t="s">
        <v>25</v>
      </c>
      <c r="F151" s="356" t="s">
        <v>5</v>
      </c>
      <c r="G151" s="42">
        <v>4.01</v>
      </c>
      <c r="H151" s="23">
        <v>188.62</v>
      </c>
      <c r="I151" s="23">
        <v>191.43</v>
      </c>
      <c r="J151" s="23">
        <v>187.5</v>
      </c>
      <c r="K151" s="23">
        <v>188.82</v>
      </c>
      <c r="L151" s="229">
        <f t="shared" si="96"/>
        <v>1.1200000000000045</v>
      </c>
      <c r="M151" s="229">
        <f t="shared" si="94"/>
        <v>2.6100000000000136</v>
      </c>
      <c r="N151" s="357">
        <f t="shared" si="95"/>
        <v>69.973190348525492</v>
      </c>
      <c r="O151" s="51">
        <v>44240</v>
      </c>
      <c r="T151" s="50"/>
    </row>
    <row r="152" spans="3:20">
      <c r="C152" s="10">
        <v>0.25</v>
      </c>
      <c r="D152" s="18">
        <v>5</v>
      </c>
      <c r="E152" s="394" t="s">
        <v>25</v>
      </c>
      <c r="F152" s="356" t="s">
        <v>45</v>
      </c>
      <c r="G152" s="42">
        <v>4</v>
      </c>
      <c r="H152" s="23">
        <v>189.22</v>
      </c>
      <c r="I152" s="23">
        <v>190.71</v>
      </c>
      <c r="J152" s="23">
        <v>187.93</v>
      </c>
      <c r="K152" s="23">
        <v>188.28</v>
      </c>
      <c r="L152" s="229">
        <f t="shared" si="96"/>
        <v>1.289999999999992</v>
      </c>
      <c r="M152" s="229">
        <f t="shared" si="94"/>
        <v>2.4300000000000068</v>
      </c>
      <c r="N152" s="357">
        <f t="shared" si="95"/>
        <v>65.322580645161494</v>
      </c>
      <c r="O152" s="51">
        <v>44240</v>
      </c>
      <c r="T152" s="50"/>
    </row>
    <row r="153" spans="3:20">
      <c r="C153" s="10">
        <v>0.25</v>
      </c>
      <c r="D153" s="18">
        <v>6</v>
      </c>
      <c r="E153" s="394" t="s">
        <v>19</v>
      </c>
      <c r="F153" s="356" t="s">
        <v>5</v>
      </c>
      <c r="G153" s="42">
        <v>4</v>
      </c>
      <c r="H153" s="23">
        <v>189.04</v>
      </c>
      <c r="I153" s="23">
        <v>191.13</v>
      </c>
      <c r="J153" s="23">
        <v>187.64</v>
      </c>
      <c r="K153" s="23">
        <v>188.85</v>
      </c>
      <c r="L153" s="229">
        <f t="shared" si="96"/>
        <v>1.4000000000000057</v>
      </c>
      <c r="M153" s="229">
        <f t="shared" si="94"/>
        <v>2.2800000000000011</v>
      </c>
      <c r="N153" s="357">
        <f t="shared" si="95"/>
        <v>61.956521739130352</v>
      </c>
      <c r="O153" s="51">
        <v>44240</v>
      </c>
      <c r="T153" s="50"/>
    </row>
    <row r="154" spans="3:20">
      <c r="C154" s="10">
        <v>0.25</v>
      </c>
      <c r="D154" s="18">
        <v>7</v>
      </c>
      <c r="E154" s="394" t="s">
        <v>19</v>
      </c>
      <c r="F154" s="356" t="s">
        <v>45</v>
      </c>
      <c r="G154" s="42">
        <v>3.99</v>
      </c>
      <c r="H154" s="23">
        <v>188.71</v>
      </c>
      <c r="I154" s="23">
        <v>190.51</v>
      </c>
      <c r="J154" s="23">
        <v>187.72</v>
      </c>
      <c r="K154" s="23">
        <v>187.8</v>
      </c>
      <c r="L154" s="229">
        <f t="shared" si="96"/>
        <v>0.99000000000000909</v>
      </c>
      <c r="M154" s="229">
        <f t="shared" si="94"/>
        <v>2.7099999999999795</v>
      </c>
      <c r="N154" s="357">
        <f t="shared" si="95"/>
        <v>73.243243243242915</v>
      </c>
      <c r="O154" s="51">
        <v>44240</v>
      </c>
      <c r="T154" s="50"/>
    </row>
    <row r="155" spans="3:20">
      <c r="C155" s="10">
        <v>0.25</v>
      </c>
      <c r="D155" s="18">
        <v>8</v>
      </c>
      <c r="E155" s="394" t="s">
        <v>18</v>
      </c>
      <c r="F155" s="361" t="s">
        <v>4</v>
      </c>
      <c r="G155" s="42">
        <v>4</v>
      </c>
      <c r="H155" s="23">
        <v>189.87</v>
      </c>
      <c r="I155" s="23">
        <v>191.44</v>
      </c>
      <c r="J155" s="23">
        <v>188.74</v>
      </c>
      <c r="K155" s="23">
        <v>188.84</v>
      </c>
      <c r="L155" s="229">
        <f t="shared" si="96"/>
        <v>1.1299999999999955</v>
      </c>
      <c r="M155" s="229">
        <f t="shared" si="94"/>
        <v>2.5999999999999943</v>
      </c>
      <c r="N155" s="357">
        <f t="shared" si="95"/>
        <v>69.705093833780197</v>
      </c>
      <c r="O155" s="51">
        <v>44240</v>
      </c>
      <c r="T155" s="50"/>
    </row>
    <row r="156" spans="3:20">
      <c r="D156" s="18"/>
      <c r="E156" s="48"/>
      <c r="F156" s="23"/>
      <c r="G156" s="42"/>
      <c r="J156" s="23"/>
      <c r="N156" s="25"/>
      <c r="T156" s="50"/>
    </row>
    <row r="157" spans="3:20">
      <c r="E157" s="49" t="s">
        <v>63</v>
      </c>
      <c r="J157" s="44" t="s">
        <v>40</v>
      </c>
      <c r="K157" s="44" t="s">
        <v>41</v>
      </c>
      <c r="L157" s="226" t="s">
        <v>42</v>
      </c>
      <c r="M157" s="226" t="s">
        <v>43</v>
      </c>
      <c r="N157" s="227" t="s">
        <v>44</v>
      </c>
      <c r="O157" s="50" t="s">
        <v>107</v>
      </c>
      <c r="T157" s="50"/>
    </row>
    <row r="158" spans="3:20">
      <c r="C158" s="10">
        <v>0.25</v>
      </c>
      <c r="D158" s="18">
        <v>1</v>
      </c>
      <c r="E158" s="394" t="s">
        <v>18</v>
      </c>
      <c r="F158" s="356" t="s">
        <v>5</v>
      </c>
      <c r="G158" s="42">
        <v>4.0199999999999996</v>
      </c>
      <c r="H158" s="23">
        <v>191.71</v>
      </c>
      <c r="I158" s="23">
        <v>193.78</v>
      </c>
      <c r="J158" s="23">
        <v>190.71</v>
      </c>
      <c r="K158" s="23">
        <v>191.12</v>
      </c>
      <c r="L158" s="229">
        <f>H158-J158</f>
        <v>1</v>
      </c>
      <c r="M158" s="229">
        <f t="shared" ref="M158:M165" si="97">I158-K158</f>
        <v>2.6599999999999966</v>
      </c>
      <c r="N158" s="357">
        <f t="shared" ref="N158:N165" si="98">M158*100/(L158+M158)</f>
        <v>72.677595628415276</v>
      </c>
      <c r="O158" s="51">
        <v>44248</v>
      </c>
      <c r="T158" s="50"/>
    </row>
    <row r="159" spans="3:20">
      <c r="C159" s="10">
        <v>0.25</v>
      </c>
      <c r="D159" s="18">
        <v>2</v>
      </c>
      <c r="E159" s="394" t="s">
        <v>18</v>
      </c>
      <c r="F159" s="356" t="s">
        <v>45</v>
      </c>
      <c r="G159" s="42">
        <v>4.01</v>
      </c>
      <c r="H159" s="23">
        <v>191.32</v>
      </c>
      <c r="I159" s="23">
        <v>193.23</v>
      </c>
      <c r="J159" s="23">
        <v>190.23</v>
      </c>
      <c r="K159" s="23">
        <v>190.59</v>
      </c>
      <c r="L159" s="229">
        <f t="shared" ref="L159:L165" si="99">H159-J159</f>
        <v>1.0900000000000034</v>
      </c>
      <c r="M159" s="229">
        <f t="shared" si="97"/>
        <v>2.6399999999999864</v>
      </c>
      <c r="N159" s="357">
        <f t="shared" si="98"/>
        <v>70.777479892761221</v>
      </c>
      <c r="O159" s="51">
        <v>44248</v>
      </c>
      <c r="T159" s="50"/>
    </row>
    <row r="160" spans="3:20">
      <c r="C160" s="10">
        <v>0.25</v>
      </c>
      <c r="D160" s="18">
        <v>3</v>
      </c>
      <c r="E160" s="394" t="s">
        <v>96</v>
      </c>
      <c r="F160" s="361" t="s">
        <v>4</v>
      </c>
      <c r="G160" s="42">
        <v>4</v>
      </c>
      <c r="H160" s="23">
        <v>191.99</v>
      </c>
      <c r="I160" s="23">
        <v>193.73</v>
      </c>
      <c r="J160" s="42">
        <v>191.1</v>
      </c>
      <c r="K160" s="23">
        <v>190.93</v>
      </c>
      <c r="L160" s="229">
        <f t="shared" si="99"/>
        <v>0.89000000000001478</v>
      </c>
      <c r="M160" s="229">
        <f t="shared" si="97"/>
        <v>2.7999999999999829</v>
      </c>
      <c r="N160" s="357">
        <f t="shared" si="98"/>
        <v>75.880758807587654</v>
      </c>
      <c r="O160" s="51">
        <v>44248</v>
      </c>
      <c r="T160" s="50"/>
    </row>
    <row r="161" spans="3:20">
      <c r="C161" s="10">
        <v>0.25</v>
      </c>
      <c r="D161" s="18">
        <v>4</v>
      </c>
      <c r="E161" s="394" t="s">
        <v>21</v>
      </c>
      <c r="F161" s="356" t="s">
        <v>5</v>
      </c>
      <c r="G161" s="42">
        <v>4.0199999999999996</v>
      </c>
      <c r="H161" s="23">
        <v>190.87</v>
      </c>
      <c r="I161" s="23">
        <v>192.74</v>
      </c>
      <c r="J161" s="23">
        <v>187.76</v>
      </c>
      <c r="K161" s="23">
        <v>190.14</v>
      </c>
      <c r="L161" s="229">
        <f t="shared" si="99"/>
        <v>3.1100000000000136</v>
      </c>
      <c r="M161" s="229">
        <f t="shared" si="97"/>
        <v>2.6000000000000227</v>
      </c>
      <c r="N161" s="357">
        <f t="shared" si="98"/>
        <v>45.534150612959827</v>
      </c>
      <c r="O161" s="51">
        <v>44248</v>
      </c>
      <c r="T161" s="50"/>
    </row>
    <row r="162" spans="3:20">
      <c r="C162" s="10">
        <v>0.25</v>
      </c>
      <c r="D162" s="18">
        <v>5</v>
      </c>
      <c r="E162" s="394" t="s">
        <v>21</v>
      </c>
      <c r="F162" s="356" t="s">
        <v>45</v>
      </c>
      <c r="G162" s="42">
        <v>4.0199999999999996</v>
      </c>
      <c r="H162" s="23">
        <v>191.1</v>
      </c>
      <c r="I162" s="23">
        <v>192.52</v>
      </c>
      <c r="J162" s="23">
        <v>190.03</v>
      </c>
      <c r="K162" s="23">
        <v>189.95</v>
      </c>
      <c r="L162" s="229">
        <f t="shared" si="99"/>
        <v>1.0699999999999932</v>
      </c>
      <c r="M162" s="229">
        <f t="shared" si="97"/>
        <v>2.5700000000000216</v>
      </c>
      <c r="N162" s="357">
        <f t="shared" si="98"/>
        <v>70.604395604395904</v>
      </c>
      <c r="O162" s="51">
        <v>44248</v>
      </c>
      <c r="T162" s="50"/>
    </row>
    <row r="163" spans="3:20">
      <c r="C163" s="10">
        <v>0.25</v>
      </c>
      <c r="D163" s="18">
        <v>6</v>
      </c>
      <c r="E163" s="394" t="s">
        <v>22</v>
      </c>
      <c r="F163" s="361" t="s">
        <v>4</v>
      </c>
      <c r="G163" s="42">
        <v>4</v>
      </c>
      <c r="H163" s="23">
        <v>192.12</v>
      </c>
      <c r="I163" s="23">
        <v>193.47</v>
      </c>
      <c r="J163" s="23">
        <v>191.01</v>
      </c>
      <c r="K163" s="23">
        <v>190.96</v>
      </c>
      <c r="L163" s="229">
        <f t="shared" si="99"/>
        <v>1.1100000000000136</v>
      </c>
      <c r="M163" s="229">
        <f t="shared" si="97"/>
        <v>2.5099999999999909</v>
      </c>
      <c r="N163" s="357">
        <f t="shared" si="98"/>
        <v>69.337016574585292</v>
      </c>
      <c r="O163" s="51">
        <v>44248</v>
      </c>
      <c r="T163" s="50"/>
    </row>
    <row r="164" spans="3:20">
      <c r="C164" s="10">
        <v>0.25</v>
      </c>
      <c r="D164" s="18">
        <v>7</v>
      </c>
      <c r="E164" s="394" t="s">
        <v>22</v>
      </c>
      <c r="F164" s="356" t="s">
        <v>5</v>
      </c>
      <c r="G164" s="42">
        <v>4</v>
      </c>
      <c r="H164" s="23">
        <v>192.18</v>
      </c>
      <c r="I164" s="23">
        <v>193.4</v>
      </c>
      <c r="J164" s="23">
        <v>190.89</v>
      </c>
      <c r="K164" s="23">
        <v>191.02</v>
      </c>
      <c r="L164" s="229">
        <f t="shared" si="99"/>
        <v>1.2900000000000205</v>
      </c>
      <c r="M164" s="229">
        <f t="shared" si="97"/>
        <v>2.3799999999999955</v>
      </c>
      <c r="N164" s="357">
        <f t="shared" si="98"/>
        <v>64.850136239781605</v>
      </c>
      <c r="O164" s="51">
        <v>44248</v>
      </c>
      <c r="T164" s="50"/>
    </row>
    <row r="165" spans="3:20">
      <c r="C165" s="10">
        <v>0.25</v>
      </c>
      <c r="D165" s="18">
        <v>8</v>
      </c>
      <c r="E165" s="394" t="s">
        <v>22</v>
      </c>
      <c r="F165" s="356" t="s">
        <v>45</v>
      </c>
      <c r="G165" s="42">
        <v>4.03</v>
      </c>
      <c r="H165" s="23">
        <v>191.56</v>
      </c>
      <c r="I165" s="23">
        <v>193.77</v>
      </c>
      <c r="J165" s="23">
        <v>190.63</v>
      </c>
      <c r="K165" s="23">
        <v>191.07</v>
      </c>
      <c r="L165" s="229">
        <f t="shared" si="99"/>
        <v>0.93000000000000682</v>
      </c>
      <c r="M165" s="229">
        <f t="shared" si="97"/>
        <v>2.7000000000000171</v>
      </c>
      <c r="N165" s="357">
        <f t="shared" si="98"/>
        <v>74.380165289256183</v>
      </c>
      <c r="O165" s="51">
        <v>44248</v>
      </c>
      <c r="T165" s="50"/>
    </row>
    <row r="166" spans="3:20">
      <c r="T166" s="50"/>
    </row>
    <row r="167" spans="3:20">
      <c r="E167" s="49" t="s">
        <v>100</v>
      </c>
      <c r="J167" s="44" t="s">
        <v>48</v>
      </c>
      <c r="K167" s="44" t="s">
        <v>49</v>
      </c>
      <c r="L167" s="226" t="s">
        <v>42</v>
      </c>
      <c r="M167" s="226" t="s">
        <v>43</v>
      </c>
      <c r="N167" s="227" t="s">
        <v>44</v>
      </c>
      <c r="O167" s="50" t="s">
        <v>107</v>
      </c>
      <c r="T167" s="50"/>
    </row>
    <row r="168" spans="3:20">
      <c r="C168" s="10">
        <v>0.25</v>
      </c>
      <c r="D168" s="18">
        <v>1</v>
      </c>
      <c r="E168" s="382" t="s">
        <v>785</v>
      </c>
      <c r="F168" s="361" t="s">
        <v>4</v>
      </c>
      <c r="G168" s="42">
        <v>4</v>
      </c>
      <c r="H168" s="23">
        <v>190.24</v>
      </c>
      <c r="I168" s="23">
        <v>188.16</v>
      </c>
      <c r="J168" s="23">
        <v>188.67</v>
      </c>
      <c r="K168" s="23">
        <v>187.64</v>
      </c>
      <c r="L168" s="229">
        <f>H168-J168</f>
        <v>1.5700000000000216</v>
      </c>
      <c r="M168" s="229">
        <f t="shared" ref="M168:M175" si="100">I168-K168</f>
        <v>0.52000000000001023</v>
      </c>
      <c r="N168" s="357">
        <f t="shared" ref="N168:N175" si="101">M168*100/(L168+M168)</f>
        <v>24.880382775119728</v>
      </c>
      <c r="O168" s="51">
        <v>44299</v>
      </c>
      <c r="T168" s="50"/>
    </row>
    <row r="169" spans="3:20">
      <c r="C169" s="10">
        <v>0.25</v>
      </c>
      <c r="D169" s="18">
        <v>2</v>
      </c>
      <c r="E169" s="382" t="s">
        <v>785</v>
      </c>
      <c r="F169" s="356" t="s">
        <v>5</v>
      </c>
      <c r="G169" s="42">
        <v>4</v>
      </c>
      <c r="H169" s="23">
        <v>188.99</v>
      </c>
      <c r="I169" s="23">
        <v>188.57</v>
      </c>
      <c r="J169" s="23">
        <v>187.61</v>
      </c>
      <c r="K169" s="23">
        <v>187.54</v>
      </c>
      <c r="L169" s="229">
        <f t="shared" ref="L169:L175" si="102">H169-J169</f>
        <v>1.3799999999999955</v>
      </c>
      <c r="M169" s="229">
        <f t="shared" si="100"/>
        <v>1.0300000000000011</v>
      </c>
      <c r="N169" s="357">
        <f t="shared" si="101"/>
        <v>42.738589211618368</v>
      </c>
      <c r="O169" s="51">
        <v>44299</v>
      </c>
      <c r="T169" s="50"/>
    </row>
    <row r="170" spans="3:20">
      <c r="C170" s="10">
        <v>0.25</v>
      </c>
      <c r="D170" s="18">
        <v>3</v>
      </c>
      <c r="E170" s="382" t="s">
        <v>786</v>
      </c>
      <c r="F170" s="361" t="s">
        <v>4</v>
      </c>
      <c r="G170" s="42">
        <v>4</v>
      </c>
      <c r="H170" s="23">
        <v>188.99</v>
      </c>
      <c r="I170" s="23">
        <v>189.38</v>
      </c>
      <c r="J170" s="23">
        <v>187.37</v>
      </c>
      <c r="K170" s="23">
        <v>188.79</v>
      </c>
      <c r="L170" s="229">
        <f t="shared" si="102"/>
        <v>1.6200000000000045</v>
      </c>
      <c r="M170" s="229">
        <f t="shared" si="100"/>
        <v>0.59000000000000341</v>
      </c>
      <c r="N170" s="357">
        <f t="shared" si="101"/>
        <v>26.696832579185578</v>
      </c>
      <c r="O170" s="51">
        <v>44299</v>
      </c>
      <c r="T170" s="50"/>
    </row>
    <row r="171" spans="3:20">
      <c r="C171" s="10">
        <v>0.25</v>
      </c>
      <c r="D171" s="18">
        <v>4</v>
      </c>
      <c r="E171" s="382" t="s">
        <v>786</v>
      </c>
      <c r="F171" s="356" t="s">
        <v>5</v>
      </c>
      <c r="G171" s="42">
        <v>4</v>
      </c>
      <c r="H171" s="23">
        <v>188.82</v>
      </c>
      <c r="I171" s="42">
        <v>189.6</v>
      </c>
      <c r="J171" s="23">
        <v>187.53</v>
      </c>
      <c r="K171" s="23">
        <v>188.85</v>
      </c>
      <c r="L171" s="229">
        <f t="shared" si="102"/>
        <v>1.289999999999992</v>
      </c>
      <c r="M171" s="229">
        <f t="shared" si="100"/>
        <v>0.75</v>
      </c>
      <c r="N171" s="357">
        <f t="shared" si="101"/>
        <v>36.764705882353084</v>
      </c>
      <c r="O171" s="51">
        <v>44299</v>
      </c>
      <c r="T171" s="50"/>
    </row>
    <row r="172" spans="3:20">
      <c r="C172" s="10">
        <v>0.25</v>
      </c>
      <c r="D172" s="18">
        <v>5</v>
      </c>
      <c r="E172" s="382" t="s">
        <v>786</v>
      </c>
      <c r="F172" s="356" t="s">
        <v>45</v>
      </c>
      <c r="G172" s="42">
        <v>4</v>
      </c>
      <c r="H172" s="23">
        <v>189.44</v>
      </c>
      <c r="I172" s="23">
        <v>189.35</v>
      </c>
      <c r="J172" s="23">
        <v>187.96</v>
      </c>
      <c r="K172" s="23">
        <v>188.31</v>
      </c>
      <c r="L172" s="229">
        <f t="shared" si="102"/>
        <v>1.4799999999999898</v>
      </c>
      <c r="M172" s="229">
        <f t="shared" si="100"/>
        <v>1.039999999999992</v>
      </c>
      <c r="N172" s="357">
        <f t="shared" si="101"/>
        <v>41.269841269841251</v>
      </c>
      <c r="O172" s="51">
        <v>44299</v>
      </c>
      <c r="T172" s="50"/>
    </row>
    <row r="173" spans="3:20">
      <c r="C173" s="10">
        <v>0.25</v>
      </c>
      <c r="D173" s="18">
        <v>6</v>
      </c>
      <c r="E173" s="382" t="s">
        <v>787</v>
      </c>
      <c r="F173" s="361" t="s">
        <v>4</v>
      </c>
      <c r="G173" s="42">
        <v>3.98</v>
      </c>
      <c r="H173" s="23">
        <v>188.87</v>
      </c>
      <c r="I173" s="23">
        <v>189.15</v>
      </c>
      <c r="J173" s="23">
        <v>187.66</v>
      </c>
      <c r="K173" s="23">
        <v>188.88</v>
      </c>
      <c r="L173" s="229">
        <f t="shared" si="102"/>
        <v>1.210000000000008</v>
      </c>
      <c r="M173" s="229">
        <f t="shared" si="100"/>
        <v>0.27000000000001023</v>
      </c>
      <c r="N173" s="357">
        <f t="shared" si="101"/>
        <v>18.243243243243711</v>
      </c>
      <c r="O173" s="51">
        <v>44299</v>
      </c>
      <c r="T173" s="50"/>
    </row>
    <row r="174" spans="3:20">
      <c r="C174" s="10">
        <v>0.25</v>
      </c>
      <c r="D174" s="18">
        <v>7</v>
      </c>
      <c r="E174" s="382" t="s">
        <v>787</v>
      </c>
      <c r="F174" s="356" t="s">
        <v>5</v>
      </c>
      <c r="G174" s="42">
        <v>4</v>
      </c>
      <c r="H174" s="23">
        <v>188.86</v>
      </c>
      <c r="I174" s="23">
        <v>189.34</v>
      </c>
      <c r="J174" s="23">
        <v>187.76</v>
      </c>
      <c r="K174" s="23">
        <v>187.83</v>
      </c>
      <c r="L174" s="229">
        <f t="shared" si="102"/>
        <v>1.1000000000000227</v>
      </c>
      <c r="M174" s="229">
        <f t="shared" si="100"/>
        <v>1.5099999999999909</v>
      </c>
      <c r="N174" s="357">
        <f t="shared" si="101"/>
        <v>57.854406130267549</v>
      </c>
      <c r="O174" s="51">
        <v>44299</v>
      </c>
      <c r="T174" s="50"/>
    </row>
    <row r="175" spans="3:20">
      <c r="C175" s="10">
        <v>0.25</v>
      </c>
      <c r="D175" s="18">
        <v>8</v>
      </c>
      <c r="E175" s="382" t="s">
        <v>787</v>
      </c>
      <c r="F175" s="356" t="s">
        <v>45</v>
      </c>
      <c r="G175" s="42">
        <v>4.0199999999999996</v>
      </c>
      <c r="H175" s="23">
        <v>190.16</v>
      </c>
      <c r="I175" s="23">
        <v>189.73</v>
      </c>
      <c r="J175" s="23">
        <v>188.77</v>
      </c>
      <c r="K175" s="23">
        <v>188.87</v>
      </c>
      <c r="L175" s="229">
        <f t="shared" si="102"/>
        <v>1.3899999999999864</v>
      </c>
      <c r="M175" s="229">
        <f t="shared" si="100"/>
        <v>0.85999999999998522</v>
      </c>
      <c r="N175" s="357">
        <f t="shared" si="101"/>
        <v>38.222222222222051</v>
      </c>
      <c r="O175" s="51">
        <v>44299</v>
      </c>
      <c r="T175" s="50"/>
    </row>
    <row r="176" spans="3:20">
      <c r="T176" s="50"/>
    </row>
    <row r="177" spans="2:20">
      <c r="E177" s="46" t="s">
        <v>799</v>
      </c>
      <c r="J177" s="44" t="s">
        <v>46</v>
      </c>
      <c r="K177" s="44" t="s">
        <v>47</v>
      </c>
      <c r="L177" s="226" t="s">
        <v>42</v>
      </c>
      <c r="M177" s="226" t="s">
        <v>43</v>
      </c>
      <c r="N177" s="227" t="s">
        <v>44</v>
      </c>
      <c r="O177" s="50" t="s">
        <v>107</v>
      </c>
      <c r="T177" s="50"/>
    </row>
    <row r="178" spans="2:20">
      <c r="C178" s="10">
        <v>0.25</v>
      </c>
      <c r="D178" s="18">
        <v>1</v>
      </c>
      <c r="E178" s="382" t="s">
        <v>788</v>
      </c>
      <c r="F178" s="356" t="s">
        <v>5</v>
      </c>
      <c r="G178" s="266">
        <v>3.97</v>
      </c>
      <c r="H178" s="23">
        <v>188.87</v>
      </c>
      <c r="I178" s="23">
        <v>189.54</v>
      </c>
      <c r="J178" s="23">
        <v>187.91</v>
      </c>
      <c r="K178" s="23">
        <v>187.72</v>
      </c>
      <c r="L178" s="229">
        <f>H178-J178</f>
        <v>0.96000000000000796</v>
      </c>
      <c r="M178" s="229">
        <f t="shared" ref="M178:M185" si="103">I178-K178</f>
        <v>1.8199999999999932</v>
      </c>
      <c r="N178" s="357">
        <f t="shared" ref="N178:N185" si="104">M178*100/(L178+M178)</f>
        <v>65.467625899280307</v>
      </c>
      <c r="O178" s="51">
        <v>44300</v>
      </c>
      <c r="T178" s="50"/>
    </row>
    <row r="179" spans="2:20">
      <c r="C179" s="10">
        <v>0.25</v>
      </c>
      <c r="D179" s="18">
        <v>2</v>
      </c>
      <c r="E179" s="382" t="s">
        <v>788</v>
      </c>
      <c r="F179" s="356" t="s">
        <v>45</v>
      </c>
      <c r="G179" s="266">
        <v>3.99</v>
      </c>
      <c r="H179" s="23">
        <v>189.07</v>
      </c>
      <c r="I179" s="23">
        <v>189.22</v>
      </c>
      <c r="J179" s="23">
        <v>187.91</v>
      </c>
      <c r="K179" s="23">
        <v>187.78</v>
      </c>
      <c r="L179" s="229">
        <f t="shared" ref="L179:L185" si="105">H179-J179</f>
        <v>1.1599999999999966</v>
      </c>
      <c r="M179" s="229">
        <f t="shared" si="103"/>
        <v>1.4399999999999977</v>
      </c>
      <c r="N179" s="357">
        <f t="shared" si="104"/>
        <v>55.384615384615415</v>
      </c>
      <c r="O179" s="51">
        <v>44300</v>
      </c>
      <c r="T179" s="50"/>
    </row>
    <row r="180" spans="2:20">
      <c r="C180" s="10">
        <v>0.25</v>
      </c>
      <c r="D180" s="18">
        <v>3</v>
      </c>
      <c r="E180" s="382" t="s">
        <v>790</v>
      </c>
      <c r="F180" s="361" t="s">
        <v>4</v>
      </c>
      <c r="G180" s="266">
        <v>3.97</v>
      </c>
      <c r="H180" s="23">
        <v>187.74</v>
      </c>
      <c r="I180" s="23">
        <v>188.13</v>
      </c>
      <c r="J180" s="23">
        <v>186.78</v>
      </c>
      <c r="K180" s="23">
        <v>187.68</v>
      </c>
      <c r="L180" s="229">
        <f t="shared" si="105"/>
        <v>0.96000000000000796</v>
      </c>
      <c r="M180" s="229">
        <f t="shared" si="103"/>
        <v>0.44999999999998863</v>
      </c>
      <c r="N180" s="357">
        <f t="shared" si="104"/>
        <v>31.914893617020546</v>
      </c>
      <c r="O180" s="51">
        <v>44300</v>
      </c>
      <c r="T180" s="50"/>
    </row>
    <row r="181" spans="2:20">
      <c r="C181" s="10">
        <v>0.25</v>
      </c>
      <c r="D181" s="18">
        <v>4</v>
      </c>
      <c r="E181" s="382" t="s">
        <v>790</v>
      </c>
      <c r="F181" s="356" t="s">
        <v>5</v>
      </c>
      <c r="G181" s="266">
        <v>4</v>
      </c>
      <c r="H181" s="23">
        <v>182.31</v>
      </c>
      <c r="I181" s="23">
        <v>181.88</v>
      </c>
      <c r="J181" s="42">
        <v>180.9</v>
      </c>
      <c r="K181" s="23">
        <v>180.95</v>
      </c>
      <c r="L181" s="229">
        <f t="shared" si="105"/>
        <v>1.4099999999999966</v>
      </c>
      <c r="M181" s="229">
        <f t="shared" si="103"/>
        <v>0.93000000000000682</v>
      </c>
      <c r="N181" s="357">
        <f t="shared" si="104"/>
        <v>39.743589743589979</v>
      </c>
      <c r="O181" s="51">
        <v>44300</v>
      </c>
      <c r="T181" s="50"/>
    </row>
    <row r="182" spans="2:20">
      <c r="C182" s="10">
        <v>0.25</v>
      </c>
      <c r="D182" s="18">
        <v>5</v>
      </c>
      <c r="E182" s="382" t="s">
        <v>790</v>
      </c>
      <c r="F182" s="356" t="s">
        <v>45</v>
      </c>
      <c r="G182" s="266">
        <v>4</v>
      </c>
      <c r="H182" s="23">
        <v>190.33</v>
      </c>
      <c r="I182" s="23">
        <v>189.61</v>
      </c>
      <c r="J182" s="23">
        <v>188.95</v>
      </c>
      <c r="K182" s="23">
        <v>188.44</v>
      </c>
      <c r="L182" s="229">
        <f t="shared" si="105"/>
        <v>1.3800000000000239</v>
      </c>
      <c r="M182" s="229">
        <f t="shared" si="103"/>
        <v>1.1700000000000159</v>
      </c>
      <c r="N182" s="357">
        <f t="shared" si="104"/>
        <v>45.882352941176379</v>
      </c>
      <c r="O182" s="51">
        <v>44300</v>
      </c>
      <c r="T182" s="50"/>
    </row>
    <row r="183" spans="2:20">
      <c r="C183" s="10">
        <v>0.25</v>
      </c>
      <c r="D183" s="18">
        <v>6</v>
      </c>
      <c r="E183" s="382" t="s">
        <v>791</v>
      </c>
      <c r="F183" s="361" t="s">
        <v>4</v>
      </c>
      <c r="G183" s="267">
        <v>2.75</v>
      </c>
      <c r="H183" s="23">
        <v>188.19</v>
      </c>
      <c r="I183" s="23">
        <v>188.42</v>
      </c>
      <c r="J183" s="23">
        <v>187.65</v>
      </c>
      <c r="K183" s="23">
        <v>187.98</v>
      </c>
      <c r="L183" s="229">
        <f t="shared" si="105"/>
        <v>0.53999999999999204</v>
      </c>
      <c r="M183" s="229">
        <f t="shared" si="103"/>
        <v>0.43999999999999773</v>
      </c>
      <c r="N183" s="357">
        <f t="shared" si="104"/>
        <v>44.897959183673706</v>
      </c>
      <c r="O183" s="51">
        <v>44300</v>
      </c>
      <c r="T183" s="50"/>
    </row>
    <row r="184" spans="2:20">
      <c r="C184" s="10">
        <v>0.25</v>
      </c>
      <c r="D184" s="18">
        <v>7</v>
      </c>
      <c r="E184" s="382" t="s">
        <v>791</v>
      </c>
      <c r="F184" s="356" t="s">
        <v>5</v>
      </c>
      <c r="G184" s="266">
        <v>4</v>
      </c>
      <c r="H184" s="23">
        <v>191.07</v>
      </c>
      <c r="I184" s="23">
        <v>190.47</v>
      </c>
      <c r="J184" s="23">
        <v>190.11</v>
      </c>
      <c r="K184" s="23">
        <v>189.74</v>
      </c>
      <c r="L184" s="229">
        <f t="shared" si="105"/>
        <v>0.95999999999997954</v>
      </c>
      <c r="M184" s="229">
        <f t="shared" si="103"/>
        <v>0.72999999999998977</v>
      </c>
      <c r="N184" s="357">
        <f t="shared" si="104"/>
        <v>43.195266272189528</v>
      </c>
      <c r="O184" s="51">
        <v>44300</v>
      </c>
      <c r="T184" s="50"/>
    </row>
    <row r="185" spans="2:20">
      <c r="C185" s="10">
        <v>0.25</v>
      </c>
      <c r="D185" s="18">
        <v>8</v>
      </c>
      <c r="E185" s="382" t="s">
        <v>791</v>
      </c>
      <c r="F185" s="356" t="s">
        <v>45</v>
      </c>
      <c r="G185" s="266">
        <v>4</v>
      </c>
      <c r="H185" s="23">
        <v>191.03</v>
      </c>
      <c r="I185" s="23">
        <v>189.65</v>
      </c>
      <c r="J185" s="23">
        <v>190.41</v>
      </c>
      <c r="K185" s="23">
        <v>188.97</v>
      </c>
      <c r="L185" s="229">
        <f t="shared" si="105"/>
        <v>0.62000000000000455</v>
      </c>
      <c r="M185" s="229">
        <f t="shared" si="103"/>
        <v>0.68000000000000682</v>
      </c>
      <c r="N185" s="357">
        <f t="shared" si="104"/>
        <v>52.307692307692378</v>
      </c>
      <c r="O185" s="51">
        <v>44300</v>
      </c>
      <c r="T185" s="50"/>
    </row>
    <row r="186" spans="2:20">
      <c r="T186" s="50"/>
    </row>
    <row r="187" spans="2:20">
      <c r="B187" s="15"/>
      <c r="E187" s="46" t="s">
        <v>100</v>
      </c>
      <c r="J187" s="44" t="s">
        <v>54</v>
      </c>
      <c r="K187" s="44" t="s">
        <v>55</v>
      </c>
      <c r="L187" s="226" t="s">
        <v>42</v>
      </c>
      <c r="M187" s="226" t="s">
        <v>43</v>
      </c>
      <c r="N187" s="227" t="s">
        <v>44</v>
      </c>
      <c r="O187" s="50" t="s">
        <v>107</v>
      </c>
      <c r="T187" s="50"/>
    </row>
    <row r="188" spans="2:20">
      <c r="B188" s="15"/>
      <c r="C188" s="10">
        <v>0.25</v>
      </c>
      <c r="D188" s="18">
        <v>1</v>
      </c>
      <c r="E188" s="382" t="s">
        <v>793</v>
      </c>
      <c r="F188" s="361" t="s">
        <v>4</v>
      </c>
      <c r="G188" s="268">
        <v>4.01</v>
      </c>
      <c r="H188" s="23">
        <v>191.36</v>
      </c>
      <c r="I188" s="23">
        <v>187.86</v>
      </c>
      <c r="J188" s="23">
        <v>190.25</v>
      </c>
      <c r="K188" s="23">
        <v>187.52</v>
      </c>
      <c r="L188" s="229">
        <f>H188-J188</f>
        <v>1.1100000000000136</v>
      </c>
      <c r="M188" s="229">
        <f t="shared" ref="M188:M195" si="106">I188-K188</f>
        <v>0.34000000000000341</v>
      </c>
      <c r="N188" s="357">
        <f t="shared" ref="N188:N195" si="107">M188*100/(L188+M188)</f>
        <v>23.448275862068925</v>
      </c>
      <c r="O188" s="51">
        <v>44302</v>
      </c>
      <c r="T188" s="50"/>
    </row>
    <row r="189" spans="2:20">
      <c r="B189" s="15"/>
      <c r="C189" s="10">
        <v>0.25</v>
      </c>
      <c r="D189" s="18">
        <v>2</v>
      </c>
      <c r="E189" s="382" t="s">
        <v>794</v>
      </c>
      <c r="F189" s="356" t="s">
        <v>45</v>
      </c>
      <c r="G189" s="268">
        <v>4.0199999999999996</v>
      </c>
      <c r="H189" s="23">
        <v>189.04</v>
      </c>
      <c r="I189" s="23">
        <v>188.59</v>
      </c>
      <c r="J189" s="23">
        <v>187.65</v>
      </c>
      <c r="K189" s="42">
        <v>187.6</v>
      </c>
      <c r="L189" s="229">
        <f t="shared" ref="L189:L195" si="108">H189-J189</f>
        <v>1.3899999999999864</v>
      </c>
      <c r="M189" s="229">
        <f t="shared" si="106"/>
        <v>0.99000000000000909</v>
      </c>
      <c r="N189" s="357">
        <f t="shared" si="107"/>
        <v>41.596638655462648</v>
      </c>
      <c r="O189" s="51">
        <v>44302</v>
      </c>
      <c r="T189" s="50"/>
    </row>
    <row r="190" spans="2:20">
      <c r="B190" s="15"/>
      <c r="C190" s="10">
        <v>0.25</v>
      </c>
      <c r="D190" s="18">
        <v>3</v>
      </c>
      <c r="E190" s="382" t="s">
        <v>789</v>
      </c>
      <c r="F190" s="361" t="s">
        <v>792</v>
      </c>
      <c r="G190" s="268">
        <v>4</v>
      </c>
      <c r="H190" s="23">
        <v>190.81</v>
      </c>
      <c r="I190" s="23">
        <v>191.05</v>
      </c>
      <c r="J190" s="23">
        <v>188.14</v>
      </c>
      <c r="K190" s="42">
        <v>190.3</v>
      </c>
      <c r="L190" s="229">
        <f t="shared" si="108"/>
        <v>2.6700000000000159</v>
      </c>
      <c r="M190" s="229">
        <f t="shared" si="106"/>
        <v>0.75</v>
      </c>
      <c r="N190" s="357">
        <f t="shared" si="107"/>
        <v>21.929824561403407</v>
      </c>
      <c r="O190" s="51">
        <v>44302</v>
      </c>
      <c r="T190" s="50"/>
    </row>
    <row r="191" spans="2:20">
      <c r="B191" s="15"/>
      <c r="C191" s="10">
        <v>0.25</v>
      </c>
      <c r="D191" s="18">
        <v>4</v>
      </c>
      <c r="E191" s="382" t="s">
        <v>795</v>
      </c>
      <c r="F191" s="356" t="s">
        <v>45</v>
      </c>
      <c r="G191" s="268">
        <v>4</v>
      </c>
      <c r="H191" s="23">
        <v>189.42</v>
      </c>
      <c r="I191" s="23">
        <v>190.83</v>
      </c>
      <c r="J191" s="23">
        <v>187.67</v>
      </c>
      <c r="K191" s="23">
        <v>189.71</v>
      </c>
      <c r="L191" s="229">
        <f t="shared" si="108"/>
        <v>1.75</v>
      </c>
      <c r="M191" s="229">
        <f t="shared" si="106"/>
        <v>1.1200000000000045</v>
      </c>
      <c r="N191" s="357">
        <f t="shared" si="107"/>
        <v>39.024390243902538</v>
      </c>
      <c r="O191" s="51">
        <v>44302</v>
      </c>
      <c r="T191" s="50"/>
    </row>
    <row r="192" spans="2:20">
      <c r="B192" s="15"/>
      <c r="C192" s="10">
        <v>0.25</v>
      </c>
      <c r="D192" s="18">
        <v>5</v>
      </c>
      <c r="E192" s="382" t="s">
        <v>793</v>
      </c>
      <c r="F192" s="356" t="s">
        <v>5</v>
      </c>
      <c r="G192" s="268">
        <v>4</v>
      </c>
      <c r="H192" s="23">
        <v>189.21</v>
      </c>
      <c r="I192" s="23">
        <v>189.13</v>
      </c>
      <c r="J192" s="23">
        <v>188.26</v>
      </c>
      <c r="K192" s="23">
        <v>188.48</v>
      </c>
      <c r="L192" s="229">
        <f t="shared" si="108"/>
        <v>0.95000000000001705</v>
      </c>
      <c r="M192" s="229">
        <f t="shared" si="106"/>
        <v>0.65000000000000568</v>
      </c>
      <c r="N192" s="357">
        <f t="shared" si="107"/>
        <v>40.62499999999978</v>
      </c>
      <c r="O192" s="51">
        <v>44302</v>
      </c>
      <c r="T192" s="50"/>
    </row>
    <row r="193" spans="2:20">
      <c r="B193" s="15"/>
      <c r="C193" s="10">
        <v>0.25</v>
      </c>
      <c r="D193" s="18">
        <v>6</v>
      </c>
      <c r="E193" s="382" t="s">
        <v>793</v>
      </c>
      <c r="F193" s="356" t="s">
        <v>45</v>
      </c>
      <c r="G193" s="268">
        <v>4.01</v>
      </c>
      <c r="H193" s="23">
        <v>189.31</v>
      </c>
      <c r="I193" s="23">
        <v>190.97</v>
      </c>
      <c r="J193" s="42">
        <v>187.7</v>
      </c>
      <c r="K193" s="23">
        <v>190.27</v>
      </c>
      <c r="L193" s="229">
        <f t="shared" si="108"/>
        <v>1.6100000000000136</v>
      </c>
      <c r="M193" s="229">
        <f t="shared" si="106"/>
        <v>0.69999999999998863</v>
      </c>
      <c r="N193" s="357">
        <f t="shared" si="107"/>
        <v>30.303030303029782</v>
      </c>
      <c r="O193" s="51">
        <v>44302</v>
      </c>
      <c r="T193" s="50"/>
    </row>
    <row r="194" spans="2:20">
      <c r="B194" s="15"/>
      <c r="C194" s="10">
        <v>0.25</v>
      </c>
      <c r="D194" s="18">
        <v>7</v>
      </c>
      <c r="E194" s="382" t="s">
        <v>794</v>
      </c>
      <c r="F194" s="361" t="s">
        <v>4</v>
      </c>
      <c r="G194" s="268">
        <v>4.01</v>
      </c>
      <c r="H194" s="23">
        <v>190.23</v>
      </c>
      <c r="I194" s="23">
        <v>187.91</v>
      </c>
      <c r="J194" s="23">
        <v>188.87</v>
      </c>
      <c r="K194" s="23">
        <v>187.71</v>
      </c>
      <c r="L194" s="229">
        <f t="shared" si="108"/>
        <v>1.3599999999999852</v>
      </c>
      <c r="M194" s="229">
        <f t="shared" si="106"/>
        <v>0.19999999999998863</v>
      </c>
      <c r="N194" s="357">
        <f t="shared" si="107"/>
        <v>12.820512820512306</v>
      </c>
      <c r="O194" s="51">
        <v>44302</v>
      </c>
      <c r="T194" s="50"/>
    </row>
    <row r="195" spans="2:20">
      <c r="B195" s="15"/>
      <c r="C195" s="10">
        <v>0.25</v>
      </c>
      <c r="D195" s="18">
        <v>8</v>
      </c>
      <c r="E195" s="382" t="s">
        <v>794</v>
      </c>
      <c r="F195" s="356" t="s">
        <v>5</v>
      </c>
      <c r="G195" s="268">
        <v>4</v>
      </c>
      <c r="H195" s="23">
        <v>189.05</v>
      </c>
      <c r="I195" s="23">
        <v>188.83</v>
      </c>
      <c r="J195" s="23">
        <v>187.81</v>
      </c>
      <c r="K195" s="23">
        <v>188.54</v>
      </c>
      <c r="L195" s="229">
        <f t="shared" si="108"/>
        <v>1.2400000000000091</v>
      </c>
      <c r="M195" s="229">
        <f t="shared" si="106"/>
        <v>0.29000000000002046</v>
      </c>
      <c r="N195" s="357">
        <f t="shared" si="107"/>
        <v>18.954248366014042</v>
      </c>
      <c r="O195" s="51">
        <v>44302</v>
      </c>
      <c r="T195" s="50"/>
    </row>
    <row r="196" spans="2:20">
      <c r="B196" s="15"/>
      <c r="G196" s="268"/>
      <c r="T196" s="50"/>
    </row>
    <row r="197" spans="2:20">
      <c r="B197" s="15"/>
      <c r="E197" s="46" t="s">
        <v>798</v>
      </c>
      <c r="G197" s="268"/>
      <c r="J197" s="44" t="s">
        <v>46</v>
      </c>
      <c r="K197" s="44" t="s">
        <v>47</v>
      </c>
      <c r="L197" s="226" t="s">
        <v>42</v>
      </c>
      <c r="M197" s="226" t="s">
        <v>43</v>
      </c>
      <c r="N197" s="227" t="s">
        <v>44</v>
      </c>
      <c r="O197" s="50" t="s">
        <v>107</v>
      </c>
    </row>
    <row r="198" spans="2:20">
      <c r="C198" s="10">
        <v>0.25</v>
      </c>
      <c r="D198" s="18">
        <v>1</v>
      </c>
      <c r="E198" s="382" t="s">
        <v>796</v>
      </c>
      <c r="F198" s="361" t="s">
        <v>4</v>
      </c>
      <c r="G198" s="268">
        <v>3.99</v>
      </c>
      <c r="H198" s="23">
        <v>188.84</v>
      </c>
      <c r="I198" s="23">
        <v>187.93</v>
      </c>
      <c r="J198" s="23">
        <v>187.91</v>
      </c>
      <c r="K198" s="23">
        <v>187.72</v>
      </c>
      <c r="L198" s="229">
        <f>H198-J198</f>
        <v>0.93000000000000682</v>
      </c>
      <c r="M198" s="229">
        <f t="shared" ref="M198:M205" si="109">I198-K198</f>
        <v>0.21000000000000796</v>
      </c>
      <c r="N198" s="357">
        <f>M198*100/(L198+M198)</f>
        <v>18.421052631579407</v>
      </c>
      <c r="O198" s="51">
        <v>44306</v>
      </c>
    </row>
    <row r="199" spans="2:20">
      <c r="C199" s="10">
        <v>0.25</v>
      </c>
      <c r="D199" s="18">
        <v>2</v>
      </c>
      <c r="E199" s="382" t="s">
        <v>796</v>
      </c>
      <c r="F199" s="356" t="s">
        <v>5</v>
      </c>
      <c r="G199" s="268">
        <v>3.98</v>
      </c>
      <c r="H199" s="23">
        <v>188.18</v>
      </c>
      <c r="I199" s="23">
        <v>188.34</v>
      </c>
      <c r="J199" s="23">
        <v>187.91</v>
      </c>
      <c r="K199" s="23">
        <v>187.78</v>
      </c>
      <c r="L199" s="229">
        <f t="shared" ref="L199:L205" si="110">H199-J199</f>
        <v>0.27000000000001023</v>
      </c>
      <c r="M199" s="229">
        <f t="shared" si="109"/>
        <v>0.56000000000000227</v>
      </c>
      <c r="N199" s="357">
        <f t="shared" ref="N199:N205" si="111">M199*100/(L199+M199)</f>
        <v>67.469879518071551</v>
      </c>
      <c r="O199" s="51">
        <v>44306</v>
      </c>
    </row>
    <row r="200" spans="2:20">
      <c r="C200" s="10">
        <v>0.25</v>
      </c>
      <c r="D200" s="18">
        <v>3</v>
      </c>
      <c r="E200" s="382" t="s">
        <v>796</v>
      </c>
      <c r="F200" s="356" t="s">
        <v>45</v>
      </c>
      <c r="G200" s="268">
        <v>3.98</v>
      </c>
      <c r="H200" s="23">
        <v>187.49</v>
      </c>
      <c r="I200" s="23">
        <v>189.14</v>
      </c>
      <c r="J200" s="23">
        <v>186.78</v>
      </c>
      <c r="K200" s="23">
        <v>187.68</v>
      </c>
      <c r="L200" s="229">
        <f t="shared" si="110"/>
        <v>0.71000000000000796</v>
      </c>
      <c r="M200" s="229">
        <f t="shared" si="109"/>
        <v>1.4599999999999795</v>
      </c>
      <c r="N200" s="357">
        <f t="shared" si="111"/>
        <v>67.281105990782848</v>
      </c>
      <c r="O200" s="51">
        <v>44306</v>
      </c>
    </row>
    <row r="201" spans="2:20">
      <c r="C201" s="10">
        <v>0.25</v>
      </c>
      <c r="D201" s="18">
        <v>4</v>
      </c>
      <c r="E201" s="382" t="s">
        <v>797</v>
      </c>
      <c r="F201" s="361" t="s">
        <v>4</v>
      </c>
      <c r="G201" s="268">
        <v>4</v>
      </c>
      <c r="H201" s="23">
        <v>181.12</v>
      </c>
      <c r="I201" s="23">
        <v>181.27</v>
      </c>
      <c r="J201" s="23">
        <v>180.9</v>
      </c>
      <c r="K201" s="23">
        <v>180.95</v>
      </c>
      <c r="L201" s="229">
        <f t="shared" si="110"/>
        <v>0.21999999999999886</v>
      </c>
      <c r="M201" s="229">
        <f t="shared" si="109"/>
        <v>0.3200000000000216</v>
      </c>
      <c r="N201" s="357">
        <f t="shared" si="111"/>
        <v>59.259259259261015</v>
      </c>
      <c r="O201" s="51">
        <v>44306</v>
      </c>
    </row>
    <row r="202" spans="2:20">
      <c r="C202" s="10">
        <v>0.25</v>
      </c>
      <c r="D202" s="18">
        <v>5</v>
      </c>
      <c r="E202" s="382" t="s">
        <v>797</v>
      </c>
      <c r="F202" s="356" t="s">
        <v>5</v>
      </c>
      <c r="G202" s="268">
        <v>3.99</v>
      </c>
      <c r="H202" s="23">
        <v>189.08</v>
      </c>
      <c r="I202" s="23">
        <v>189.26</v>
      </c>
      <c r="J202" s="23">
        <v>188.95</v>
      </c>
      <c r="K202" s="23">
        <v>188.44</v>
      </c>
      <c r="L202" s="229">
        <f t="shared" si="110"/>
        <v>0.13000000000002387</v>
      </c>
      <c r="M202" s="229">
        <f t="shared" si="109"/>
        <v>0.81999999999999318</v>
      </c>
      <c r="N202" s="357">
        <f t="shared" si="111"/>
        <v>86.315789473681946</v>
      </c>
      <c r="O202" s="51">
        <v>44306</v>
      </c>
    </row>
    <row r="203" spans="2:20">
      <c r="C203" s="10">
        <v>0.25</v>
      </c>
      <c r="D203" s="18">
        <v>6</v>
      </c>
      <c r="E203" s="382" t="s">
        <v>797</v>
      </c>
      <c r="F203" s="356" t="s">
        <v>45</v>
      </c>
      <c r="G203" s="268">
        <v>3.97</v>
      </c>
      <c r="H203" s="23">
        <v>188.82</v>
      </c>
      <c r="I203" s="23">
        <v>188.43</v>
      </c>
      <c r="J203" s="23">
        <v>187.65</v>
      </c>
      <c r="K203" s="23">
        <v>187.98</v>
      </c>
      <c r="L203" s="229">
        <f t="shared" si="110"/>
        <v>1.1699999999999875</v>
      </c>
      <c r="M203" s="229">
        <f t="shared" si="109"/>
        <v>0.45000000000001705</v>
      </c>
      <c r="N203" s="357">
        <f t="shared" si="111"/>
        <v>27.777777777778752</v>
      </c>
      <c r="O203" s="51">
        <v>44306</v>
      </c>
    </row>
    <row r="204" spans="2:20">
      <c r="C204" s="10">
        <v>0.25</v>
      </c>
      <c r="D204" s="18">
        <v>7</v>
      </c>
      <c r="E204" s="382" t="s">
        <v>720</v>
      </c>
      <c r="F204" s="361" t="s">
        <v>4</v>
      </c>
      <c r="G204" s="268">
        <v>3.99</v>
      </c>
      <c r="H204" s="23">
        <v>191.77</v>
      </c>
      <c r="I204" s="23">
        <v>190.12</v>
      </c>
      <c r="J204" s="23">
        <v>190.11</v>
      </c>
      <c r="K204" s="23">
        <v>189.74</v>
      </c>
      <c r="L204" s="229">
        <f t="shared" si="110"/>
        <v>1.6599999999999966</v>
      </c>
      <c r="M204" s="229">
        <f t="shared" si="109"/>
        <v>0.37999999999999545</v>
      </c>
      <c r="N204" s="357">
        <f t="shared" si="111"/>
        <v>18.627450980392005</v>
      </c>
      <c r="O204" s="51">
        <v>44306</v>
      </c>
    </row>
    <row r="205" spans="2:20">
      <c r="C205" s="10">
        <v>0.25</v>
      </c>
      <c r="D205" s="18">
        <v>8</v>
      </c>
      <c r="E205" s="382" t="s">
        <v>720</v>
      </c>
      <c r="F205" s="356" t="s">
        <v>45</v>
      </c>
      <c r="G205" s="268">
        <v>3.99</v>
      </c>
      <c r="H205" s="23">
        <v>191.86</v>
      </c>
      <c r="I205" s="23">
        <v>189.77</v>
      </c>
      <c r="J205" s="23">
        <v>190.41</v>
      </c>
      <c r="K205" s="23">
        <v>188.97</v>
      </c>
      <c r="L205" s="229">
        <f t="shared" si="110"/>
        <v>1.4500000000000171</v>
      </c>
      <c r="M205" s="229">
        <f t="shared" si="109"/>
        <v>0.80000000000001137</v>
      </c>
      <c r="N205" s="357">
        <f t="shared" si="111"/>
        <v>35.555555555555614</v>
      </c>
      <c r="O205" s="51">
        <v>44306</v>
      </c>
    </row>
    <row r="206" spans="2:20">
      <c r="G206" s="268"/>
    </row>
    <row r="207" spans="2:20">
      <c r="B207" s="15"/>
      <c r="E207" s="46" t="s">
        <v>800</v>
      </c>
      <c r="G207" s="268"/>
      <c r="J207" s="44" t="s">
        <v>48</v>
      </c>
      <c r="K207" s="44" t="s">
        <v>49</v>
      </c>
      <c r="L207" s="226" t="s">
        <v>42</v>
      </c>
      <c r="M207" s="226" t="s">
        <v>43</v>
      </c>
      <c r="N207" s="227" t="s">
        <v>44</v>
      </c>
      <c r="O207" s="50" t="s">
        <v>107</v>
      </c>
    </row>
    <row r="208" spans="2:20">
      <c r="C208" s="10">
        <v>0.25</v>
      </c>
      <c r="D208" s="18">
        <v>1</v>
      </c>
      <c r="E208" s="382" t="s">
        <v>801</v>
      </c>
      <c r="F208" s="361" t="s">
        <v>4</v>
      </c>
      <c r="G208" s="268">
        <v>3.99</v>
      </c>
      <c r="H208" s="42">
        <v>188.8</v>
      </c>
      <c r="I208" s="23">
        <v>188.05</v>
      </c>
      <c r="J208" s="23">
        <v>188.67</v>
      </c>
      <c r="K208" s="23">
        <v>187.64</v>
      </c>
      <c r="L208" s="229">
        <f>H208-J208</f>
        <v>0.13000000000002387</v>
      </c>
      <c r="M208" s="229">
        <f t="shared" ref="M208:M215" si="112">I208-K208</f>
        <v>0.41000000000002501</v>
      </c>
      <c r="N208" s="357">
        <f t="shared" ref="N208:N215" si="113">M208*100/(L208+M208)</f>
        <v>75.925925925923679</v>
      </c>
      <c r="O208" s="51">
        <v>44307</v>
      </c>
    </row>
    <row r="209" spans="2:15">
      <c r="C209" s="10">
        <v>0.25</v>
      </c>
      <c r="D209" s="18">
        <v>2</v>
      </c>
      <c r="E209" s="382" t="s">
        <v>158</v>
      </c>
      <c r="F209" s="361" t="s">
        <v>4</v>
      </c>
      <c r="G209" s="268">
        <v>4</v>
      </c>
      <c r="H209" s="23">
        <v>188.84</v>
      </c>
      <c r="I209" s="23">
        <v>188.37</v>
      </c>
      <c r="J209" s="23">
        <v>187.61</v>
      </c>
      <c r="K209" s="23">
        <v>187.54</v>
      </c>
      <c r="L209" s="229">
        <f t="shared" ref="L209:L215" si="114">H209-J209</f>
        <v>1.2299999999999898</v>
      </c>
      <c r="M209" s="229">
        <f t="shared" si="112"/>
        <v>0.83000000000001251</v>
      </c>
      <c r="N209" s="357">
        <f t="shared" si="113"/>
        <v>40.291262135922892</v>
      </c>
      <c r="O209" s="51">
        <v>44307</v>
      </c>
    </row>
    <row r="210" spans="2:15">
      <c r="C210" s="10">
        <v>0.25</v>
      </c>
      <c r="D210" s="18">
        <v>3</v>
      </c>
      <c r="E210" s="382" t="s">
        <v>158</v>
      </c>
      <c r="F210" s="356" t="s">
        <v>5</v>
      </c>
      <c r="G210" s="268">
        <v>4</v>
      </c>
      <c r="H210" s="23">
        <v>188.59</v>
      </c>
      <c r="I210" s="23">
        <v>189.89</v>
      </c>
      <c r="J210" s="23">
        <v>187.37</v>
      </c>
      <c r="K210" s="23">
        <v>188.79</v>
      </c>
      <c r="L210" s="229">
        <f t="shared" si="114"/>
        <v>1.2199999999999989</v>
      </c>
      <c r="M210" s="229">
        <f t="shared" si="112"/>
        <v>1.0999999999999943</v>
      </c>
      <c r="N210" s="357">
        <f t="shared" si="113"/>
        <v>47.413793103448171</v>
      </c>
      <c r="O210" s="51">
        <v>44307</v>
      </c>
    </row>
    <row r="211" spans="2:15">
      <c r="C211" s="10">
        <v>0.25</v>
      </c>
      <c r="D211" s="18">
        <v>4</v>
      </c>
      <c r="E211" s="382" t="s">
        <v>158</v>
      </c>
      <c r="F211" s="356" t="s">
        <v>45</v>
      </c>
      <c r="G211" s="268">
        <v>3.99</v>
      </c>
      <c r="H211" s="42">
        <v>189.5</v>
      </c>
      <c r="I211" s="42">
        <v>189.9</v>
      </c>
      <c r="J211" s="23">
        <v>187.53</v>
      </c>
      <c r="K211" s="23">
        <v>188.85</v>
      </c>
      <c r="L211" s="229">
        <f t="shared" si="114"/>
        <v>1.9699999999999989</v>
      </c>
      <c r="M211" s="229">
        <f t="shared" si="112"/>
        <v>1.0500000000000114</v>
      </c>
      <c r="N211" s="357">
        <f t="shared" si="113"/>
        <v>34.768211920530057</v>
      </c>
      <c r="O211" s="51">
        <v>44307</v>
      </c>
    </row>
    <row r="212" spans="2:15">
      <c r="C212" s="10">
        <v>0.25</v>
      </c>
      <c r="D212" s="18">
        <v>5</v>
      </c>
      <c r="E212" s="382" t="s">
        <v>775</v>
      </c>
      <c r="F212" s="361" t="s">
        <v>4</v>
      </c>
      <c r="G212" s="268">
        <v>3.99</v>
      </c>
      <c r="H212" s="23">
        <v>189.21</v>
      </c>
      <c r="I212" s="42">
        <v>189.6</v>
      </c>
      <c r="J212" s="23">
        <v>187.96</v>
      </c>
      <c r="K212" s="23">
        <v>188.31</v>
      </c>
      <c r="L212" s="229">
        <f t="shared" si="114"/>
        <v>1.25</v>
      </c>
      <c r="M212" s="229">
        <f t="shared" si="112"/>
        <v>1.289999999999992</v>
      </c>
      <c r="N212" s="357">
        <f t="shared" si="113"/>
        <v>50.787401574802992</v>
      </c>
      <c r="O212" s="51">
        <v>44307</v>
      </c>
    </row>
    <row r="213" spans="2:15">
      <c r="C213" s="10">
        <v>0.25</v>
      </c>
      <c r="D213" s="18">
        <v>6</v>
      </c>
      <c r="E213" s="382" t="s">
        <v>775</v>
      </c>
      <c r="F213" s="356" t="s">
        <v>5</v>
      </c>
      <c r="G213" s="268">
        <v>4.03</v>
      </c>
      <c r="H213" s="23">
        <v>189.92</v>
      </c>
      <c r="I213" s="23">
        <v>189.97</v>
      </c>
      <c r="J213" s="23">
        <v>187.66</v>
      </c>
      <c r="K213" s="23">
        <v>188.88</v>
      </c>
      <c r="L213" s="229">
        <f t="shared" si="114"/>
        <v>2.2599999999999909</v>
      </c>
      <c r="M213" s="229">
        <f t="shared" si="112"/>
        <v>1.0900000000000034</v>
      </c>
      <c r="N213" s="357">
        <f t="shared" si="113"/>
        <v>32.53731343283598</v>
      </c>
      <c r="O213" s="51">
        <v>44307</v>
      </c>
    </row>
    <row r="214" spans="2:15">
      <c r="C214" s="10">
        <v>0.25</v>
      </c>
      <c r="D214" s="18">
        <v>7</v>
      </c>
      <c r="E214" s="382" t="s">
        <v>775</v>
      </c>
      <c r="F214" s="356" t="s">
        <v>45</v>
      </c>
      <c r="G214" s="268">
        <v>3.99</v>
      </c>
      <c r="H214" s="23">
        <v>189.26</v>
      </c>
      <c r="I214" s="23">
        <v>189.49</v>
      </c>
      <c r="J214" s="23">
        <v>187.76</v>
      </c>
      <c r="K214" s="23">
        <v>187.83</v>
      </c>
      <c r="L214" s="229">
        <f t="shared" si="114"/>
        <v>1.5</v>
      </c>
      <c r="M214" s="229">
        <f t="shared" si="112"/>
        <v>1.6599999999999966</v>
      </c>
      <c r="N214" s="357">
        <f t="shared" si="113"/>
        <v>52.531645569620203</v>
      </c>
      <c r="O214" s="51">
        <v>44307</v>
      </c>
    </row>
    <row r="215" spans="2:15">
      <c r="C215" s="10">
        <v>0.25</v>
      </c>
      <c r="D215" s="18">
        <v>8</v>
      </c>
      <c r="E215" s="382" t="s">
        <v>775</v>
      </c>
      <c r="F215" s="361" t="s">
        <v>792</v>
      </c>
      <c r="G215" s="268">
        <v>4</v>
      </c>
      <c r="H215" s="23">
        <v>190.29</v>
      </c>
      <c r="I215" s="23">
        <v>190.65</v>
      </c>
      <c r="J215" s="23">
        <v>188.77</v>
      </c>
      <c r="K215" s="23">
        <v>188.87</v>
      </c>
      <c r="L215" s="229">
        <f t="shared" si="114"/>
        <v>1.5199999999999818</v>
      </c>
      <c r="M215" s="229">
        <f t="shared" si="112"/>
        <v>1.7800000000000011</v>
      </c>
      <c r="N215" s="357">
        <f t="shared" si="113"/>
        <v>53.93939393939425</v>
      </c>
      <c r="O215" s="51">
        <v>44307</v>
      </c>
    </row>
    <row r="216" spans="2:15">
      <c r="G216" s="268"/>
    </row>
    <row r="217" spans="2:15">
      <c r="B217" s="15"/>
      <c r="E217" s="46" t="s">
        <v>802</v>
      </c>
      <c r="G217" s="268"/>
      <c r="J217" s="44" t="s">
        <v>54</v>
      </c>
      <c r="K217" s="44" t="s">
        <v>55</v>
      </c>
      <c r="L217" s="226" t="s">
        <v>42</v>
      </c>
      <c r="M217" s="226" t="s">
        <v>43</v>
      </c>
      <c r="N217" s="227" t="s">
        <v>44</v>
      </c>
      <c r="O217" s="50" t="s">
        <v>107</v>
      </c>
    </row>
    <row r="218" spans="2:15">
      <c r="C218" s="10">
        <v>0.25</v>
      </c>
      <c r="D218" s="18">
        <v>1</v>
      </c>
      <c r="E218" s="382" t="s">
        <v>803</v>
      </c>
      <c r="F218" s="361" t="s">
        <v>4</v>
      </c>
      <c r="G218" s="268">
        <v>4.03</v>
      </c>
      <c r="H218" s="23">
        <v>190.93</v>
      </c>
      <c r="I218" s="23">
        <v>187.97</v>
      </c>
      <c r="J218" s="23">
        <v>190.25</v>
      </c>
      <c r="K218" s="23">
        <v>187.52</v>
      </c>
      <c r="L218" s="229">
        <f>H218-J218</f>
        <v>0.68000000000000682</v>
      </c>
      <c r="M218" s="229">
        <f t="shared" ref="M218:M225" si="115">I218-K218</f>
        <v>0.44999999999998863</v>
      </c>
      <c r="N218" s="357">
        <f t="shared" ref="N218:N225" si="116">M218*100/(L218+M218)</f>
        <v>39.823008849556679</v>
      </c>
      <c r="O218" s="51">
        <v>44308</v>
      </c>
    </row>
    <row r="219" spans="2:15">
      <c r="C219" s="10">
        <v>0.25</v>
      </c>
      <c r="D219" s="18">
        <v>2</v>
      </c>
      <c r="E219" s="382" t="s">
        <v>803</v>
      </c>
      <c r="F219" s="356" t="s">
        <v>5</v>
      </c>
      <c r="G219" s="268">
        <v>4.01</v>
      </c>
      <c r="H219" s="23">
        <v>188.48</v>
      </c>
      <c r="I219" s="23">
        <v>188.32</v>
      </c>
      <c r="J219" s="23">
        <v>187.65</v>
      </c>
      <c r="K219" s="42">
        <v>187.6</v>
      </c>
      <c r="L219" s="229">
        <f t="shared" ref="L219:L225" si="117">H219-J219</f>
        <v>0.82999999999998408</v>
      </c>
      <c r="M219" s="229">
        <f t="shared" si="115"/>
        <v>0.71999999999999886</v>
      </c>
      <c r="N219" s="357">
        <f t="shared" si="116"/>
        <v>46.451612903226241</v>
      </c>
      <c r="O219" s="51">
        <v>44308</v>
      </c>
    </row>
    <row r="220" spans="2:15">
      <c r="C220" s="10">
        <v>0.25</v>
      </c>
      <c r="D220" s="18">
        <v>3</v>
      </c>
      <c r="E220" s="382" t="s">
        <v>803</v>
      </c>
      <c r="F220" s="356" t="s">
        <v>45</v>
      </c>
      <c r="G220" s="268">
        <v>3.98</v>
      </c>
      <c r="H220" s="42">
        <v>189.2</v>
      </c>
      <c r="I220" s="23">
        <v>190.99</v>
      </c>
      <c r="J220" s="23">
        <v>188.14</v>
      </c>
      <c r="K220" s="42">
        <v>190.3</v>
      </c>
      <c r="L220" s="229">
        <f t="shared" si="117"/>
        <v>1.0600000000000023</v>
      </c>
      <c r="M220" s="229">
        <f t="shared" si="115"/>
        <v>0.68999999999999773</v>
      </c>
      <c r="N220" s="357">
        <f t="shared" si="116"/>
        <v>39.428571428571296</v>
      </c>
      <c r="O220" s="51">
        <v>44308</v>
      </c>
    </row>
    <row r="221" spans="2:15">
      <c r="C221" s="10">
        <v>0.25</v>
      </c>
      <c r="D221" s="18">
        <v>4</v>
      </c>
      <c r="E221" s="382" t="s">
        <v>774</v>
      </c>
      <c r="F221" s="361" t="s">
        <v>4</v>
      </c>
      <c r="G221" s="268">
        <v>4</v>
      </c>
      <c r="H221" s="23">
        <v>188.55</v>
      </c>
      <c r="I221" s="42">
        <v>191</v>
      </c>
      <c r="J221" s="23">
        <v>187.67</v>
      </c>
      <c r="K221" s="23">
        <v>189.71</v>
      </c>
      <c r="L221" s="229">
        <f t="shared" si="117"/>
        <v>0.88000000000002387</v>
      </c>
      <c r="M221" s="229">
        <f t="shared" si="115"/>
        <v>1.289999999999992</v>
      </c>
      <c r="N221" s="357">
        <f t="shared" si="116"/>
        <v>59.447004608294129</v>
      </c>
      <c r="O221" s="51">
        <v>44308</v>
      </c>
    </row>
    <row r="222" spans="2:15">
      <c r="C222" s="10">
        <v>0.25</v>
      </c>
      <c r="D222" s="18">
        <v>5</v>
      </c>
      <c r="E222" s="382" t="s">
        <v>774</v>
      </c>
      <c r="F222" s="356" t="s">
        <v>5</v>
      </c>
      <c r="G222" s="268">
        <v>4</v>
      </c>
      <c r="H222" s="42">
        <v>189.2</v>
      </c>
      <c r="I222" s="23">
        <v>189.92</v>
      </c>
      <c r="J222" s="23">
        <v>188.26</v>
      </c>
      <c r="K222" s="23">
        <v>188.48</v>
      </c>
      <c r="L222" s="229">
        <f t="shared" si="117"/>
        <v>0.93999999999999773</v>
      </c>
      <c r="M222" s="229">
        <f t="shared" si="115"/>
        <v>1.4399999999999977</v>
      </c>
      <c r="N222" s="357">
        <f t="shared" si="116"/>
        <v>60.504201680672288</v>
      </c>
      <c r="O222" s="51">
        <v>44308</v>
      </c>
    </row>
    <row r="223" spans="2:15">
      <c r="C223" s="10">
        <v>0.25</v>
      </c>
      <c r="D223" s="18">
        <v>6</v>
      </c>
      <c r="E223" s="382" t="s">
        <v>774</v>
      </c>
      <c r="F223" s="356" t="s">
        <v>45</v>
      </c>
      <c r="G223" s="268">
        <v>3.99</v>
      </c>
      <c r="H223" s="23">
        <v>189.63</v>
      </c>
      <c r="I223" s="23">
        <v>191.61</v>
      </c>
      <c r="J223" s="42">
        <v>187.7</v>
      </c>
      <c r="K223" s="23">
        <v>190.27</v>
      </c>
      <c r="L223" s="229">
        <f t="shared" si="117"/>
        <v>1.9300000000000068</v>
      </c>
      <c r="M223" s="229">
        <f t="shared" si="115"/>
        <v>1.3400000000000034</v>
      </c>
      <c r="N223" s="357">
        <f t="shared" si="116"/>
        <v>40.978593272171231</v>
      </c>
      <c r="O223" s="51">
        <v>44308</v>
      </c>
    </row>
    <row r="224" spans="2:15">
      <c r="C224" s="10">
        <v>0.25</v>
      </c>
      <c r="D224" s="18">
        <v>7</v>
      </c>
      <c r="E224" s="382" t="s">
        <v>774</v>
      </c>
      <c r="F224" s="356" t="s">
        <v>73</v>
      </c>
      <c r="G224" s="268">
        <v>3.99</v>
      </c>
      <c r="H224" s="23">
        <v>190.71</v>
      </c>
      <c r="I224" s="23">
        <v>189.29</v>
      </c>
      <c r="J224" s="23">
        <v>188.87</v>
      </c>
      <c r="K224" s="23">
        <v>187.71</v>
      </c>
      <c r="L224" s="229">
        <f t="shared" si="117"/>
        <v>1.8400000000000034</v>
      </c>
      <c r="M224" s="229">
        <f t="shared" si="115"/>
        <v>1.5799999999999841</v>
      </c>
      <c r="N224" s="357">
        <f t="shared" si="116"/>
        <v>46.198830409356425</v>
      </c>
      <c r="O224" s="51">
        <v>44308</v>
      </c>
    </row>
    <row r="225" spans="2:15">
      <c r="C225" s="10">
        <v>0.25</v>
      </c>
      <c r="D225" s="18">
        <v>8</v>
      </c>
      <c r="E225" s="382" t="s">
        <v>774</v>
      </c>
      <c r="F225" s="361" t="s">
        <v>792</v>
      </c>
      <c r="G225" s="268">
        <v>4</v>
      </c>
      <c r="H225" s="23">
        <v>189.67</v>
      </c>
      <c r="I225" s="23">
        <v>190.08</v>
      </c>
      <c r="J225" s="23">
        <v>187.81</v>
      </c>
      <c r="K225" s="23">
        <v>188.54</v>
      </c>
      <c r="L225" s="229">
        <f t="shared" si="117"/>
        <v>1.8599999999999852</v>
      </c>
      <c r="M225" s="229">
        <f t="shared" si="115"/>
        <v>1.5400000000000205</v>
      </c>
      <c r="N225" s="357">
        <f t="shared" si="116"/>
        <v>45.294117647059352</v>
      </c>
      <c r="O225" s="51">
        <v>44308</v>
      </c>
    </row>
    <row r="226" spans="2:15">
      <c r="G226" s="268"/>
    </row>
    <row r="227" spans="2:15">
      <c r="B227" s="15"/>
      <c r="E227" s="46" t="s">
        <v>804</v>
      </c>
      <c r="G227" s="268"/>
      <c r="J227" s="44" t="s">
        <v>46</v>
      </c>
      <c r="K227" s="44" t="s">
        <v>47</v>
      </c>
      <c r="L227" s="226" t="s">
        <v>42</v>
      </c>
      <c r="M227" s="226" t="s">
        <v>43</v>
      </c>
      <c r="N227" s="227" t="s">
        <v>44</v>
      </c>
      <c r="O227" s="50" t="s">
        <v>107</v>
      </c>
    </row>
    <row r="228" spans="2:15">
      <c r="C228" s="10">
        <v>0.25</v>
      </c>
      <c r="D228" s="18">
        <v>1</v>
      </c>
      <c r="E228" s="382" t="s">
        <v>795</v>
      </c>
      <c r="F228" s="361" t="s">
        <v>4</v>
      </c>
      <c r="G228" s="268">
        <v>3.98</v>
      </c>
      <c r="H228" s="23">
        <v>188.96</v>
      </c>
      <c r="I228" s="23">
        <v>188.16</v>
      </c>
      <c r="J228" s="23">
        <v>187.91</v>
      </c>
      <c r="K228" s="23">
        <v>187.72</v>
      </c>
      <c r="L228" s="229">
        <f>H228-J228</f>
        <v>1.0500000000000114</v>
      </c>
      <c r="M228" s="229">
        <f t="shared" ref="M228:M235" si="118">I228-K228</f>
        <v>0.43999999999999773</v>
      </c>
      <c r="N228" s="357">
        <f t="shared" ref="N228:N235" si="119">M228*100/(L228+M228)</f>
        <v>29.530201342281547</v>
      </c>
      <c r="O228" s="51">
        <v>44309</v>
      </c>
    </row>
    <row r="229" spans="2:15">
      <c r="C229" s="10">
        <v>0.25</v>
      </c>
      <c r="D229" s="18">
        <v>2</v>
      </c>
      <c r="E229" s="382" t="s">
        <v>795</v>
      </c>
      <c r="F229" s="356" t="s">
        <v>5</v>
      </c>
      <c r="G229" s="268">
        <v>3.99</v>
      </c>
      <c r="H229" s="23">
        <v>189.18</v>
      </c>
      <c r="I229" s="23">
        <v>188.36</v>
      </c>
      <c r="J229" s="23">
        <v>187.91</v>
      </c>
      <c r="K229" s="23">
        <v>187.78</v>
      </c>
      <c r="L229" s="229">
        <f t="shared" ref="L229:L235" si="120">H229-J229</f>
        <v>1.2700000000000102</v>
      </c>
      <c r="M229" s="229">
        <f t="shared" si="118"/>
        <v>0.58000000000001251</v>
      </c>
      <c r="N229" s="357">
        <f t="shared" si="119"/>
        <v>31.351351351351642</v>
      </c>
      <c r="O229" s="51">
        <v>44309</v>
      </c>
    </row>
    <row r="230" spans="2:15">
      <c r="C230" s="10">
        <v>0.25</v>
      </c>
      <c r="D230" s="18">
        <v>3</v>
      </c>
      <c r="E230" s="382" t="s">
        <v>805</v>
      </c>
      <c r="F230" s="361" t="s">
        <v>4</v>
      </c>
      <c r="G230" s="268">
        <v>3.99</v>
      </c>
      <c r="H230" s="23">
        <v>186.89</v>
      </c>
      <c r="I230" s="23">
        <v>187.74</v>
      </c>
      <c r="J230" s="23">
        <v>186.78</v>
      </c>
      <c r="K230" s="23">
        <v>187.68</v>
      </c>
      <c r="L230" s="229">
        <f t="shared" si="120"/>
        <v>0.10999999999998522</v>
      </c>
      <c r="M230" s="229">
        <f t="shared" si="118"/>
        <v>6.0000000000002274E-2</v>
      </c>
      <c r="N230" s="357">
        <f t="shared" si="119"/>
        <v>35.294117647062755</v>
      </c>
      <c r="O230" s="51">
        <v>44309</v>
      </c>
    </row>
    <row r="231" spans="2:15">
      <c r="C231" s="10">
        <v>0.25</v>
      </c>
      <c r="D231" s="18">
        <v>4</v>
      </c>
      <c r="E231" s="382" t="s">
        <v>805</v>
      </c>
      <c r="F231" s="356" t="s">
        <v>5</v>
      </c>
      <c r="G231" s="268">
        <v>4.01</v>
      </c>
      <c r="H231" s="23">
        <v>180.97</v>
      </c>
      <c r="I231" s="23">
        <v>181.13</v>
      </c>
      <c r="J231" s="23">
        <v>180.9</v>
      </c>
      <c r="K231" s="23">
        <v>180.95</v>
      </c>
      <c r="L231" s="229">
        <f t="shared" si="120"/>
        <v>6.9999999999993179E-2</v>
      </c>
      <c r="M231" s="229">
        <f t="shared" si="118"/>
        <v>0.18000000000000682</v>
      </c>
      <c r="N231" s="357">
        <f t="shared" si="119"/>
        <v>72.000000000002728</v>
      </c>
      <c r="O231" s="51">
        <v>44309</v>
      </c>
    </row>
    <row r="232" spans="2:15">
      <c r="C232" s="10">
        <v>0.25</v>
      </c>
      <c r="D232" s="18">
        <v>5</v>
      </c>
      <c r="E232" s="382" t="s">
        <v>805</v>
      </c>
      <c r="F232" s="356" t="s">
        <v>45</v>
      </c>
      <c r="G232" s="268">
        <v>3.99</v>
      </c>
      <c r="H232" s="23">
        <v>189.53</v>
      </c>
      <c r="I232" s="23">
        <v>189.29</v>
      </c>
      <c r="J232" s="23">
        <v>188.95</v>
      </c>
      <c r="K232" s="23">
        <v>188.44</v>
      </c>
      <c r="L232" s="229">
        <f t="shared" si="120"/>
        <v>0.58000000000001251</v>
      </c>
      <c r="M232" s="229">
        <f t="shared" si="118"/>
        <v>0.84999999999999432</v>
      </c>
      <c r="N232" s="357">
        <f t="shared" si="119"/>
        <v>59.440559440558758</v>
      </c>
      <c r="O232" s="51">
        <v>44309</v>
      </c>
    </row>
    <row r="233" spans="2:15">
      <c r="C233" s="10">
        <v>0.25</v>
      </c>
      <c r="D233" s="18">
        <v>6</v>
      </c>
      <c r="E233" s="382" t="s">
        <v>806</v>
      </c>
      <c r="F233" s="361" t="s">
        <v>4</v>
      </c>
      <c r="G233" s="268">
        <v>3.98</v>
      </c>
      <c r="H233" s="23">
        <v>187.98</v>
      </c>
      <c r="I233" s="23">
        <v>188.46</v>
      </c>
      <c r="J233" s="23">
        <v>187.65</v>
      </c>
      <c r="K233" s="23">
        <v>187.98</v>
      </c>
      <c r="L233" s="229">
        <f t="shared" si="120"/>
        <v>0.32999999999998408</v>
      </c>
      <c r="M233" s="229">
        <f t="shared" si="118"/>
        <v>0.48000000000001819</v>
      </c>
      <c r="N233" s="357">
        <f t="shared" si="119"/>
        <v>59.259259259261341</v>
      </c>
      <c r="O233" s="51">
        <v>44309</v>
      </c>
    </row>
    <row r="234" spans="2:15">
      <c r="C234" s="10">
        <v>0.25</v>
      </c>
      <c r="D234" s="18">
        <v>7</v>
      </c>
      <c r="E234" s="382" t="s">
        <v>806</v>
      </c>
      <c r="F234" s="356" t="s">
        <v>5</v>
      </c>
      <c r="G234" s="268">
        <v>3.99</v>
      </c>
      <c r="H234" s="23">
        <v>190.96</v>
      </c>
      <c r="I234" s="42">
        <v>190.3</v>
      </c>
      <c r="J234" s="23">
        <v>190.11</v>
      </c>
      <c r="K234" s="23">
        <v>189.74</v>
      </c>
      <c r="L234" s="229">
        <f t="shared" si="120"/>
        <v>0.84999999999999432</v>
      </c>
      <c r="M234" s="229">
        <f t="shared" si="118"/>
        <v>0.56000000000000227</v>
      </c>
      <c r="N234" s="357">
        <f t="shared" si="119"/>
        <v>39.716312056737848</v>
      </c>
      <c r="O234" s="51">
        <v>44309</v>
      </c>
    </row>
    <row r="235" spans="2:15">
      <c r="C235" s="10">
        <v>0.25</v>
      </c>
      <c r="D235" s="18">
        <v>8</v>
      </c>
      <c r="E235" s="382" t="s">
        <v>806</v>
      </c>
      <c r="F235" s="356" t="s">
        <v>45</v>
      </c>
      <c r="G235" s="268">
        <v>4.0199999999999996</v>
      </c>
      <c r="H235" s="23">
        <v>191.44</v>
      </c>
      <c r="I235" s="23">
        <v>189.42</v>
      </c>
      <c r="J235" s="23">
        <v>190.41</v>
      </c>
      <c r="K235" s="23">
        <v>188.97</v>
      </c>
      <c r="L235" s="229">
        <f t="shared" si="120"/>
        <v>1.0300000000000011</v>
      </c>
      <c r="M235" s="229">
        <f t="shared" si="118"/>
        <v>0.44999999999998863</v>
      </c>
      <c r="N235" s="357">
        <f t="shared" si="119"/>
        <v>30.405405405404846</v>
      </c>
      <c r="O235" s="51">
        <v>44309</v>
      </c>
    </row>
    <row r="237" spans="2:15">
      <c r="E237" s="46" t="s">
        <v>825</v>
      </c>
      <c r="G237" s="268"/>
      <c r="J237" s="44" t="s">
        <v>54</v>
      </c>
      <c r="K237" s="44" t="s">
        <v>55</v>
      </c>
      <c r="L237" s="226" t="s">
        <v>42</v>
      </c>
      <c r="M237" s="226" t="s">
        <v>43</v>
      </c>
      <c r="N237" s="227" t="s">
        <v>44</v>
      </c>
      <c r="O237" s="50" t="s">
        <v>107</v>
      </c>
    </row>
    <row r="238" spans="2:15">
      <c r="C238" s="10">
        <v>0.25</v>
      </c>
      <c r="D238" s="18">
        <v>1</v>
      </c>
      <c r="E238" s="382" t="s">
        <v>710</v>
      </c>
      <c r="F238" s="361" t="s">
        <v>4</v>
      </c>
      <c r="G238" s="268">
        <v>4</v>
      </c>
      <c r="H238" s="42">
        <v>191.3</v>
      </c>
      <c r="I238" s="23">
        <v>188.18</v>
      </c>
      <c r="J238" s="23">
        <v>190.25</v>
      </c>
      <c r="K238" s="23">
        <v>187.52</v>
      </c>
      <c r="L238" s="229">
        <f>H238-J238</f>
        <v>1.0500000000000114</v>
      </c>
      <c r="M238" s="229">
        <f t="shared" ref="M238:M245" si="121">I238-K238</f>
        <v>0.65999999999999659</v>
      </c>
      <c r="N238" s="357">
        <f t="shared" ref="N238:N245" si="122">M238*100/(L238+M238)</f>
        <v>38.596491228069794</v>
      </c>
      <c r="O238" s="51">
        <v>44323</v>
      </c>
    </row>
    <row r="239" spans="2:15">
      <c r="C239" s="10">
        <v>0.25</v>
      </c>
      <c r="D239" s="18">
        <v>2</v>
      </c>
      <c r="E239" s="382" t="s">
        <v>710</v>
      </c>
      <c r="F239" s="356" t="s">
        <v>5</v>
      </c>
      <c r="G239" s="268">
        <v>4.01</v>
      </c>
      <c r="H239" s="23">
        <v>189.15</v>
      </c>
      <c r="I239" s="23">
        <v>188.22</v>
      </c>
      <c r="J239" s="23">
        <v>187.65</v>
      </c>
      <c r="K239" s="42">
        <v>187.6</v>
      </c>
      <c r="L239" s="229">
        <f t="shared" ref="L239:L245" si="123">H239-J239</f>
        <v>1.5</v>
      </c>
      <c r="M239" s="229">
        <f t="shared" si="121"/>
        <v>0.62000000000000455</v>
      </c>
      <c r="N239" s="357">
        <f t="shared" si="122"/>
        <v>29.245283018868076</v>
      </c>
      <c r="O239" s="51">
        <v>44323</v>
      </c>
    </row>
    <row r="240" spans="2:15">
      <c r="C240" s="10">
        <v>0.25</v>
      </c>
      <c r="D240" s="18">
        <v>3</v>
      </c>
      <c r="E240" s="382" t="s">
        <v>710</v>
      </c>
      <c r="F240" s="361" t="s">
        <v>45</v>
      </c>
      <c r="G240" s="268">
        <v>4.03</v>
      </c>
      <c r="H240" s="23">
        <v>189.15</v>
      </c>
      <c r="I240" s="42">
        <v>190.7</v>
      </c>
      <c r="J240" s="23">
        <v>188.14</v>
      </c>
      <c r="K240" s="42">
        <v>190.3</v>
      </c>
      <c r="L240" s="229">
        <f t="shared" si="123"/>
        <v>1.0100000000000193</v>
      </c>
      <c r="M240" s="229">
        <f t="shared" si="121"/>
        <v>0.39999999999997726</v>
      </c>
      <c r="N240" s="357">
        <f t="shared" si="122"/>
        <v>28.368794326239591</v>
      </c>
      <c r="O240" s="51">
        <v>44323</v>
      </c>
    </row>
    <row r="241" spans="3:15">
      <c r="C241" s="10">
        <v>0.25</v>
      </c>
      <c r="D241" s="18">
        <v>4</v>
      </c>
      <c r="E241" s="382" t="s">
        <v>163</v>
      </c>
      <c r="F241" s="356" t="s">
        <v>4</v>
      </c>
      <c r="G241" s="268">
        <v>4</v>
      </c>
      <c r="H241" s="23">
        <v>188.99</v>
      </c>
      <c r="I241" s="23">
        <v>190.31</v>
      </c>
      <c r="J241" s="23">
        <v>187.67</v>
      </c>
      <c r="K241" s="23">
        <v>189.71</v>
      </c>
      <c r="L241" s="229">
        <f t="shared" si="123"/>
        <v>1.3200000000000216</v>
      </c>
      <c r="M241" s="229">
        <f t="shared" si="121"/>
        <v>0.59999999999999432</v>
      </c>
      <c r="N241" s="357">
        <f t="shared" si="122"/>
        <v>31.249999999999446</v>
      </c>
      <c r="O241" s="51">
        <v>44323</v>
      </c>
    </row>
    <row r="242" spans="3:15">
      <c r="C242" s="10">
        <v>0.25</v>
      </c>
      <c r="D242" s="18">
        <v>5</v>
      </c>
      <c r="E242" s="382" t="s">
        <v>163</v>
      </c>
      <c r="F242" s="356" t="s">
        <v>5</v>
      </c>
      <c r="G242" s="268">
        <v>4</v>
      </c>
      <c r="H242" s="23">
        <v>189.72</v>
      </c>
      <c r="I242" s="23">
        <v>189.31</v>
      </c>
      <c r="J242" s="23">
        <v>188.26</v>
      </c>
      <c r="K242" s="23">
        <v>188.48</v>
      </c>
      <c r="L242" s="229">
        <f t="shared" si="123"/>
        <v>1.460000000000008</v>
      </c>
      <c r="M242" s="229">
        <f t="shared" si="121"/>
        <v>0.83000000000001251</v>
      </c>
      <c r="N242" s="357">
        <f t="shared" si="122"/>
        <v>36.244541484716379</v>
      </c>
      <c r="O242" s="51">
        <v>44323</v>
      </c>
    </row>
    <row r="243" spans="3:15">
      <c r="C243" s="10">
        <v>0.25</v>
      </c>
      <c r="D243" s="18">
        <v>6</v>
      </c>
      <c r="E243" s="382" t="s">
        <v>163</v>
      </c>
      <c r="F243" s="361" t="s">
        <v>45</v>
      </c>
      <c r="G243" s="268">
        <v>4.01</v>
      </c>
      <c r="H243" s="23">
        <v>189.23</v>
      </c>
      <c r="I243" s="23">
        <v>191.22</v>
      </c>
      <c r="J243" s="42">
        <v>187.7</v>
      </c>
      <c r="K243" s="23">
        <v>190.27</v>
      </c>
      <c r="L243" s="229">
        <f t="shared" si="123"/>
        <v>1.5300000000000011</v>
      </c>
      <c r="M243" s="229">
        <f t="shared" si="121"/>
        <v>0.94999999999998863</v>
      </c>
      <c r="N243" s="357">
        <f t="shared" si="122"/>
        <v>38.306451612902926</v>
      </c>
      <c r="O243" s="51">
        <v>44323</v>
      </c>
    </row>
    <row r="244" spans="3:15">
      <c r="C244" s="10">
        <v>0.25</v>
      </c>
      <c r="D244" s="18">
        <v>7</v>
      </c>
      <c r="E244" s="382" t="s">
        <v>801</v>
      </c>
      <c r="F244" s="356" t="s">
        <v>5</v>
      </c>
      <c r="G244" s="268">
        <v>4.01</v>
      </c>
      <c r="H244" s="23">
        <v>189.01</v>
      </c>
      <c r="I244" s="42">
        <v>189.02</v>
      </c>
      <c r="J244" s="23">
        <v>188.87</v>
      </c>
      <c r="K244" s="23">
        <v>187.71</v>
      </c>
      <c r="L244" s="229">
        <f t="shared" si="123"/>
        <v>0.13999999999998636</v>
      </c>
      <c r="M244" s="229">
        <f t="shared" si="121"/>
        <v>1.3100000000000023</v>
      </c>
      <c r="N244" s="357">
        <f t="shared" si="122"/>
        <v>90.344827586207757</v>
      </c>
      <c r="O244" s="51">
        <v>44323</v>
      </c>
    </row>
    <row r="245" spans="3:15">
      <c r="C245" s="10">
        <v>0.25</v>
      </c>
      <c r="D245" s="18">
        <v>8</v>
      </c>
      <c r="E245" s="382" t="s">
        <v>801</v>
      </c>
      <c r="F245" s="356" t="s">
        <v>45</v>
      </c>
      <c r="G245" s="268">
        <v>4</v>
      </c>
      <c r="H245" s="23">
        <v>188.53</v>
      </c>
      <c r="I245" s="23">
        <v>190.64</v>
      </c>
      <c r="J245" s="23">
        <v>187.81</v>
      </c>
      <c r="K245" s="23">
        <v>188.54</v>
      </c>
      <c r="L245" s="229">
        <f t="shared" si="123"/>
        <v>0.71999999999999886</v>
      </c>
      <c r="M245" s="229">
        <f t="shared" si="121"/>
        <v>2.0999999999999943</v>
      </c>
      <c r="N245" s="357">
        <f t="shared" si="122"/>
        <v>74.468085106382958</v>
      </c>
      <c r="O245" s="51">
        <v>44323</v>
      </c>
    </row>
    <row r="247" spans="3:15">
      <c r="E247" s="46" t="s">
        <v>100</v>
      </c>
      <c r="G247" s="268"/>
      <c r="J247" s="44" t="s">
        <v>46</v>
      </c>
      <c r="K247" s="44" t="s">
        <v>47</v>
      </c>
      <c r="L247" s="226" t="s">
        <v>42</v>
      </c>
      <c r="M247" s="226" t="s">
        <v>43</v>
      </c>
      <c r="N247" s="227" t="s">
        <v>44</v>
      </c>
      <c r="O247" s="50" t="s">
        <v>107</v>
      </c>
    </row>
    <row r="248" spans="3:15">
      <c r="C248" s="10">
        <v>0.25</v>
      </c>
      <c r="D248" s="18">
        <v>1</v>
      </c>
      <c r="E248" s="382" t="s">
        <v>814</v>
      </c>
      <c r="F248" s="361" t="s">
        <v>4</v>
      </c>
      <c r="G248" s="268">
        <v>3.98</v>
      </c>
      <c r="H248" s="42">
        <v>188.57</v>
      </c>
      <c r="I248" s="23">
        <v>188.05</v>
      </c>
      <c r="J248" s="23">
        <v>187.91</v>
      </c>
      <c r="K248" s="23">
        <v>187.72</v>
      </c>
      <c r="L248" s="229">
        <f>H248-J248</f>
        <v>0.65999999999999659</v>
      </c>
      <c r="M248" s="229">
        <f t="shared" ref="M248:M255" si="124">I248-K248</f>
        <v>0.33000000000001251</v>
      </c>
      <c r="N248" s="357">
        <f t="shared" ref="N248:N255" si="125">M248*100/(L248+M248)</f>
        <v>33.333333333334288</v>
      </c>
      <c r="O248" s="51">
        <v>44326</v>
      </c>
    </row>
    <row r="249" spans="3:15">
      <c r="C249" s="10">
        <v>0.25</v>
      </c>
      <c r="D249" s="18">
        <v>2</v>
      </c>
      <c r="E249" s="382" t="s">
        <v>814</v>
      </c>
      <c r="F249" s="356" t="s">
        <v>5</v>
      </c>
      <c r="G249" s="268">
        <v>4.03</v>
      </c>
      <c r="H249" s="23">
        <v>188.98</v>
      </c>
      <c r="I249" s="42">
        <v>188.4</v>
      </c>
      <c r="J249" s="23">
        <v>187.91</v>
      </c>
      <c r="K249" s="23">
        <v>187.78</v>
      </c>
      <c r="L249" s="229">
        <f t="shared" ref="L249:L255" si="126">H249-J249</f>
        <v>1.0699999999999932</v>
      </c>
      <c r="M249" s="229">
        <f t="shared" si="124"/>
        <v>0.62000000000000455</v>
      </c>
      <c r="N249" s="357">
        <f t="shared" si="125"/>
        <v>36.686390532544699</v>
      </c>
      <c r="O249" s="51">
        <v>44326</v>
      </c>
    </row>
    <row r="250" spans="3:15">
      <c r="C250" s="10">
        <v>0.25</v>
      </c>
      <c r="D250" s="18">
        <v>3</v>
      </c>
      <c r="E250" s="382" t="s">
        <v>814</v>
      </c>
      <c r="F250" s="361" t="s">
        <v>45</v>
      </c>
      <c r="G250" s="268">
        <v>4.01</v>
      </c>
      <c r="H250" s="42">
        <v>188.1</v>
      </c>
      <c r="I250" s="42">
        <v>188.54</v>
      </c>
      <c r="J250" s="23">
        <v>186.78</v>
      </c>
      <c r="K250" s="23">
        <v>187.68</v>
      </c>
      <c r="L250" s="229">
        <f t="shared" si="126"/>
        <v>1.3199999999999932</v>
      </c>
      <c r="M250" s="229">
        <f t="shared" si="124"/>
        <v>0.85999999999998522</v>
      </c>
      <c r="N250" s="357">
        <f t="shared" si="125"/>
        <v>39.449541284403381</v>
      </c>
      <c r="O250" s="51">
        <v>44326</v>
      </c>
    </row>
    <row r="251" spans="3:15">
      <c r="C251" s="10">
        <v>0.25</v>
      </c>
      <c r="D251" s="18">
        <v>4</v>
      </c>
      <c r="E251" s="382" t="s">
        <v>164</v>
      </c>
      <c r="F251" s="356" t="s">
        <v>4</v>
      </c>
      <c r="G251" s="268">
        <v>3.99</v>
      </c>
      <c r="H251" s="42">
        <v>182.3</v>
      </c>
      <c r="I251" s="23">
        <v>181.33</v>
      </c>
      <c r="J251" s="23">
        <v>180.9</v>
      </c>
      <c r="K251" s="23">
        <v>180.95</v>
      </c>
      <c r="L251" s="229">
        <f t="shared" si="126"/>
        <v>1.4000000000000057</v>
      </c>
      <c r="M251" s="229">
        <f t="shared" si="124"/>
        <v>0.38000000000002387</v>
      </c>
      <c r="N251" s="357">
        <f t="shared" si="125"/>
        <v>21.348314606742559</v>
      </c>
      <c r="O251" s="51">
        <v>44326</v>
      </c>
    </row>
    <row r="252" spans="3:15">
      <c r="C252" s="10">
        <v>0.25</v>
      </c>
      <c r="D252" s="18">
        <v>5</v>
      </c>
      <c r="E252" s="382" t="s">
        <v>164</v>
      </c>
      <c r="F252" s="356" t="s">
        <v>5</v>
      </c>
      <c r="G252" s="268">
        <v>4.03</v>
      </c>
      <c r="H252" s="23">
        <v>190.36</v>
      </c>
      <c r="I252" s="23">
        <v>189.03</v>
      </c>
      <c r="J252" s="23">
        <v>188.95</v>
      </c>
      <c r="K252" s="23">
        <v>188.44</v>
      </c>
      <c r="L252" s="229">
        <f t="shared" si="126"/>
        <v>1.410000000000025</v>
      </c>
      <c r="M252" s="229">
        <f t="shared" si="124"/>
        <v>0.59000000000000341</v>
      </c>
      <c r="N252" s="357">
        <f t="shared" si="125"/>
        <v>29.499999999999751</v>
      </c>
      <c r="O252" s="51">
        <v>44326</v>
      </c>
    </row>
    <row r="253" spans="3:15">
      <c r="C253" s="10">
        <v>0.25</v>
      </c>
      <c r="D253" s="18">
        <v>6</v>
      </c>
      <c r="E253" s="382" t="s">
        <v>164</v>
      </c>
      <c r="F253" s="361" t="s">
        <v>45</v>
      </c>
      <c r="G253" s="268">
        <v>4.05</v>
      </c>
      <c r="H253" s="23">
        <v>188.75</v>
      </c>
      <c r="I253" s="23">
        <v>188.65</v>
      </c>
      <c r="J253" s="23">
        <v>187.65</v>
      </c>
      <c r="K253" s="23">
        <v>187.98</v>
      </c>
      <c r="L253" s="229">
        <f t="shared" si="126"/>
        <v>1.0999999999999943</v>
      </c>
      <c r="M253" s="229">
        <f t="shared" si="124"/>
        <v>0.67000000000001592</v>
      </c>
      <c r="N253" s="357">
        <f t="shared" si="125"/>
        <v>37.85310734463345</v>
      </c>
      <c r="O253" s="51">
        <v>44326</v>
      </c>
    </row>
    <row r="254" spans="3:15">
      <c r="C254" s="10">
        <v>0.25</v>
      </c>
      <c r="D254" s="18">
        <v>7</v>
      </c>
      <c r="E254" s="382" t="s">
        <v>718</v>
      </c>
      <c r="F254" s="356" t="s">
        <v>4</v>
      </c>
      <c r="G254" s="268">
        <v>3.96</v>
      </c>
      <c r="H254" s="23">
        <v>191.28</v>
      </c>
      <c r="I254" s="42">
        <v>190.35</v>
      </c>
      <c r="J254" s="23">
        <v>190.11</v>
      </c>
      <c r="K254" s="23">
        <v>189.74</v>
      </c>
      <c r="L254" s="229">
        <f t="shared" si="126"/>
        <v>1.1699999999999875</v>
      </c>
      <c r="M254" s="229">
        <f t="shared" si="124"/>
        <v>0.60999999999998522</v>
      </c>
      <c r="N254" s="357">
        <f t="shared" si="125"/>
        <v>34.269662921348008</v>
      </c>
      <c r="O254" s="51">
        <v>44326</v>
      </c>
    </row>
    <row r="255" spans="3:15">
      <c r="C255" s="10">
        <v>0.25</v>
      </c>
      <c r="D255" s="18">
        <v>8</v>
      </c>
      <c r="E255" s="382" t="s">
        <v>718</v>
      </c>
      <c r="F255" s="356" t="s">
        <v>5</v>
      </c>
      <c r="G255" s="268">
        <v>4</v>
      </c>
      <c r="H255" s="23">
        <v>191.47</v>
      </c>
      <c r="I255" s="23">
        <v>189.35</v>
      </c>
      <c r="J255" s="23">
        <v>190.41</v>
      </c>
      <c r="K255" s="23">
        <v>188.97</v>
      </c>
      <c r="L255" s="229">
        <f t="shared" si="126"/>
        <v>1.0600000000000023</v>
      </c>
      <c r="M255" s="229">
        <f t="shared" si="124"/>
        <v>0.37999999999999545</v>
      </c>
      <c r="N255" s="357">
        <f t="shared" si="125"/>
        <v>26.388888888888616</v>
      </c>
      <c r="O255" s="51">
        <v>44326</v>
      </c>
    </row>
    <row r="257" spans="3:15">
      <c r="E257" s="46" t="s">
        <v>799</v>
      </c>
      <c r="G257" s="268"/>
      <c r="J257" s="44" t="s">
        <v>48</v>
      </c>
      <c r="K257" s="44" t="s">
        <v>49</v>
      </c>
      <c r="L257" s="226" t="s">
        <v>42</v>
      </c>
      <c r="M257" s="226" t="s">
        <v>43</v>
      </c>
      <c r="N257" s="227" t="s">
        <v>44</v>
      </c>
      <c r="O257" s="50" t="s">
        <v>107</v>
      </c>
    </row>
    <row r="258" spans="3:15">
      <c r="C258" s="10">
        <v>0.25</v>
      </c>
      <c r="D258" s="18">
        <v>1</v>
      </c>
      <c r="E258" s="382" t="s">
        <v>788</v>
      </c>
      <c r="F258" s="361" t="s">
        <v>4</v>
      </c>
      <c r="G258" s="268">
        <v>4.05</v>
      </c>
      <c r="H258" s="42">
        <v>189.97</v>
      </c>
      <c r="I258" s="23">
        <v>189.11</v>
      </c>
      <c r="J258" s="23">
        <v>188.67</v>
      </c>
      <c r="K258" s="23">
        <v>187.64</v>
      </c>
      <c r="L258" s="229">
        <f>H258-J258</f>
        <v>1.3000000000000114</v>
      </c>
      <c r="M258" s="229">
        <f t="shared" ref="M258:M265" si="127">I258-K258</f>
        <v>1.4700000000000273</v>
      </c>
      <c r="N258" s="357">
        <f t="shared" ref="N258:N265" si="128">M258*100/(L258+M258)</f>
        <v>53.068592057761975</v>
      </c>
      <c r="O258" s="51">
        <v>44327</v>
      </c>
    </row>
    <row r="259" spans="3:15">
      <c r="C259" s="10">
        <v>0.25</v>
      </c>
      <c r="D259" s="18">
        <v>2</v>
      </c>
      <c r="E259" s="382" t="s">
        <v>788</v>
      </c>
      <c r="F259" s="356" t="s">
        <v>73</v>
      </c>
      <c r="G259" s="268">
        <v>3.99</v>
      </c>
      <c r="H259" s="23">
        <v>189.32</v>
      </c>
      <c r="I259" s="42">
        <v>189.13</v>
      </c>
      <c r="J259" s="23">
        <v>187.61</v>
      </c>
      <c r="K259" s="23">
        <v>187.54</v>
      </c>
      <c r="L259" s="229">
        <f t="shared" ref="L259:L265" si="129">H259-J259</f>
        <v>1.7099999999999795</v>
      </c>
      <c r="M259" s="229">
        <f t="shared" si="127"/>
        <v>1.5900000000000034</v>
      </c>
      <c r="N259" s="357">
        <f t="shared" si="128"/>
        <v>48.181818181818535</v>
      </c>
      <c r="O259" s="51">
        <v>44327</v>
      </c>
    </row>
    <row r="260" spans="3:15">
      <c r="C260" s="10">
        <v>0.25</v>
      </c>
      <c r="D260" s="18">
        <v>3</v>
      </c>
      <c r="E260" s="382" t="s">
        <v>775</v>
      </c>
      <c r="F260" s="361" t="s">
        <v>73</v>
      </c>
      <c r="G260" s="268">
        <v>3.99</v>
      </c>
      <c r="H260" s="42">
        <v>188.85</v>
      </c>
      <c r="I260" s="42">
        <v>190.5</v>
      </c>
      <c r="J260" s="23">
        <v>187.37</v>
      </c>
      <c r="K260" s="23">
        <v>188.79</v>
      </c>
      <c r="L260" s="229">
        <f t="shared" si="129"/>
        <v>1.4799999999999898</v>
      </c>
      <c r="M260" s="229">
        <f t="shared" si="127"/>
        <v>1.710000000000008</v>
      </c>
      <c r="N260" s="357">
        <f t="shared" si="128"/>
        <v>53.605015673981477</v>
      </c>
      <c r="O260" s="51">
        <v>44327</v>
      </c>
    </row>
    <row r="261" spans="3:15">
      <c r="C261" s="10">
        <v>0.25</v>
      </c>
      <c r="D261" s="18">
        <v>4</v>
      </c>
      <c r="E261" s="382" t="s">
        <v>815</v>
      </c>
      <c r="F261" s="356" t="s">
        <v>45</v>
      </c>
      <c r="G261" s="268">
        <v>4.01</v>
      </c>
      <c r="H261" s="42">
        <v>189.16</v>
      </c>
      <c r="I261" s="23">
        <v>189.88</v>
      </c>
      <c r="J261" s="23">
        <v>187.53</v>
      </c>
      <c r="K261" s="23">
        <v>188.85</v>
      </c>
      <c r="L261" s="229">
        <f t="shared" si="129"/>
        <v>1.6299999999999955</v>
      </c>
      <c r="M261" s="229">
        <f t="shared" si="127"/>
        <v>1.0300000000000011</v>
      </c>
      <c r="N261" s="357">
        <f t="shared" si="128"/>
        <v>38.721804511278286</v>
      </c>
      <c r="O261" s="51">
        <v>44327</v>
      </c>
    </row>
    <row r="262" spans="3:15">
      <c r="C262" s="10">
        <v>0.25</v>
      </c>
      <c r="D262" s="18">
        <v>5</v>
      </c>
      <c r="E262" s="382" t="s">
        <v>718</v>
      </c>
      <c r="F262" s="356" t="s">
        <v>45</v>
      </c>
      <c r="G262" s="268">
        <v>4</v>
      </c>
      <c r="H262" s="23">
        <v>189.46</v>
      </c>
      <c r="I262" s="23">
        <v>189.27</v>
      </c>
      <c r="J262" s="23">
        <v>187.96</v>
      </c>
      <c r="K262" s="23">
        <v>188.31</v>
      </c>
      <c r="L262" s="229">
        <f t="shared" si="129"/>
        <v>1.5</v>
      </c>
      <c r="M262" s="229">
        <f t="shared" si="127"/>
        <v>0.96000000000000796</v>
      </c>
      <c r="N262" s="357">
        <f t="shared" si="128"/>
        <v>39.024390243902637</v>
      </c>
      <c r="O262" s="51">
        <v>44327</v>
      </c>
    </row>
    <row r="263" spans="3:15">
      <c r="C263" s="10">
        <v>0.25</v>
      </c>
      <c r="D263" s="18">
        <v>6</v>
      </c>
      <c r="E263" s="382" t="s">
        <v>826</v>
      </c>
      <c r="F263" s="361" t="s">
        <v>4</v>
      </c>
      <c r="G263" s="268">
        <v>4.04</v>
      </c>
      <c r="H263" s="23">
        <v>187.82</v>
      </c>
      <c r="I263" s="23">
        <v>189.42</v>
      </c>
      <c r="J263" s="23">
        <v>187.66</v>
      </c>
      <c r="K263" s="23">
        <v>188.88</v>
      </c>
      <c r="L263" s="229">
        <f t="shared" si="129"/>
        <v>0.15999999999999659</v>
      </c>
      <c r="M263" s="229">
        <f t="shared" si="127"/>
        <v>0.53999999999999204</v>
      </c>
      <c r="N263" s="357">
        <f t="shared" si="128"/>
        <v>77.142857142857252</v>
      </c>
      <c r="O263" s="51">
        <v>44327</v>
      </c>
    </row>
    <row r="264" spans="3:15">
      <c r="C264" s="10">
        <v>0.25</v>
      </c>
      <c r="D264" s="18">
        <v>7</v>
      </c>
      <c r="E264" s="382" t="s">
        <v>826</v>
      </c>
      <c r="F264" s="356" t="s">
        <v>5</v>
      </c>
      <c r="G264" s="268">
        <v>4.0199999999999996</v>
      </c>
      <c r="H264" s="23">
        <v>188.58</v>
      </c>
      <c r="I264" s="42">
        <v>188.43</v>
      </c>
      <c r="J264" s="23">
        <v>187.76</v>
      </c>
      <c r="K264" s="23">
        <v>187.83</v>
      </c>
      <c r="L264" s="229">
        <f t="shared" si="129"/>
        <v>0.8200000000000216</v>
      </c>
      <c r="M264" s="229">
        <f t="shared" si="127"/>
        <v>0.59999999999999432</v>
      </c>
      <c r="N264" s="357">
        <f t="shared" si="128"/>
        <v>42.253521126759686</v>
      </c>
      <c r="O264" s="51">
        <v>44327</v>
      </c>
    </row>
    <row r="265" spans="3:15">
      <c r="C265" s="10">
        <v>0.25</v>
      </c>
      <c r="D265" s="18">
        <v>8</v>
      </c>
      <c r="E265" s="382" t="s">
        <v>826</v>
      </c>
      <c r="F265" s="356" t="s">
        <v>45</v>
      </c>
      <c r="G265" s="268">
        <v>3.98</v>
      </c>
      <c r="H265" s="23">
        <v>189.83</v>
      </c>
      <c r="I265" s="23">
        <v>189.66</v>
      </c>
      <c r="J265" s="23">
        <v>188.77</v>
      </c>
      <c r="K265" s="23">
        <v>188.87</v>
      </c>
      <c r="L265" s="229">
        <f t="shared" si="129"/>
        <v>1.0600000000000023</v>
      </c>
      <c r="M265" s="229">
        <f t="shared" si="127"/>
        <v>0.78999999999999204</v>
      </c>
      <c r="N265" s="357">
        <f t="shared" si="128"/>
        <v>42.702702702702403</v>
      </c>
      <c r="O265" s="51">
        <v>44327</v>
      </c>
    </row>
  </sheetData>
  <mergeCells count="5">
    <mergeCell ref="L6:N6"/>
    <mergeCell ref="AE6:AF6"/>
    <mergeCell ref="AI6:AJ6"/>
    <mergeCell ref="AF17:AG17"/>
    <mergeCell ref="AI17:AJ1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KSEE3" shapeId="24577" r:id="rId4">
          <objectPr defaultSize="0" autoPict="0" altText="" r:id="rId5">
            <anchor moveWithCells="1">
              <from>
                <xdr:col>0</xdr:col>
                <xdr:colOff>381000</xdr:colOff>
                <xdr:row>3</xdr:row>
                <xdr:rowOff>171450</xdr:rowOff>
              </from>
              <to>
                <xdr:col>2</xdr:col>
                <xdr:colOff>85725</xdr:colOff>
                <xdr:row>5</xdr:row>
                <xdr:rowOff>247650</xdr:rowOff>
              </to>
            </anchor>
          </objectPr>
        </oleObject>
      </mc:Choice>
      <mc:Fallback>
        <oleObject progId="Equation.KSEE3" shapeId="24577" r:id="rId4"/>
      </mc:Fallback>
    </mc:AlternateContent>
    <mc:AlternateContent xmlns:mc="http://schemas.openxmlformats.org/markup-compatibility/2006">
      <mc:Choice Requires="x14">
        <oleObject progId="Equation.KSEE3" shapeId="24578" r:id="rId6">
          <objectPr defaultSize="0" altText="" r:id="rId5">
            <anchor moveWithCells="1">
              <from>
                <xdr:col>12</xdr:col>
                <xdr:colOff>733425</xdr:colOff>
                <xdr:row>3</xdr:row>
                <xdr:rowOff>47625</xdr:rowOff>
              </from>
              <to>
                <xdr:col>13</xdr:col>
                <xdr:colOff>828675</xdr:colOff>
                <xdr:row>5</xdr:row>
                <xdr:rowOff>38100</xdr:rowOff>
              </to>
            </anchor>
          </objectPr>
        </oleObject>
      </mc:Choice>
      <mc:Fallback>
        <oleObject progId="Equation.KSEE3" shapeId="2457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18B6-8E73-459C-B277-0369D2197F68}">
  <dimension ref="A1:J236"/>
  <sheetViews>
    <sheetView topLeftCell="A98" zoomScaleSheetLayoutView="100" workbookViewId="0">
      <selection activeCell="H16" sqref="H16"/>
    </sheetView>
  </sheetViews>
  <sheetFormatPr defaultColWidth="10.28515625" defaultRowHeight="14.25"/>
  <cols>
    <col min="1" max="1" width="10.28515625" style="488"/>
    <col min="2" max="2" width="13.140625" style="488" bestFit="1" customWidth="1"/>
    <col min="3" max="3" width="10.7109375" style="488" bestFit="1" customWidth="1"/>
    <col min="4" max="4" width="10.28515625" style="488"/>
    <col min="5" max="5" width="18" style="488" customWidth="1"/>
    <col min="6" max="6" width="19.28515625" style="488" customWidth="1"/>
    <col min="7" max="7" width="12.5703125" style="488" customWidth="1"/>
    <col min="8" max="8" width="10.28515625" style="490"/>
    <col min="9" max="257" width="10.28515625" style="488"/>
    <col min="258" max="258" width="13.140625" style="488" bestFit="1" customWidth="1"/>
    <col min="259" max="259" width="10.7109375" style="488" bestFit="1" customWidth="1"/>
    <col min="260" max="260" width="10.28515625" style="488"/>
    <col min="261" max="261" width="18" style="488" customWidth="1"/>
    <col min="262" max="262" width="19.28515625" style="488" customWidth="1"/>
    <col min="263" max="513" width="10.28515625" style="488"/>
    <col min="514" max="514" width="13.140625" style="488" bestFit="1" customWidth="1"/>
    <col min="515" max="515" width="10.7109375" style="488" bestFit="1" customWidth="1"/>
    <col min="516" max="516" width="10.28515625" style="488"/>
    <col min="517" max="517" width="18" style="488" customWidth="1"/>
    <col min="518" max="518" width="19.28515625" style="488" customWidth="1"/>
    <col min="519" max="769" width="10.28515625" style="488"/>
    <col min="770" max="770" width="13.140625" style="488" bestFit="1" customWidth="1"/>
    <col min="771" max="771" width="10.7109375" style="488" bestFit="1" customWidth="1"/>
    <col min="772" max="772" width="10.28515625" style="488"/>
    <col min="773" max="773" width="18" style="488" customWidth="1"/>
    <col min="774" max="774" width="19.28515625" style="488" customWidth="1"/>
    <col min="775" max="1025" width="10.28515625" style="488"/>
    <col min="1026" max="1026" width="13.140625" style="488" bestFit="1" customWidth="1"/>
    <col min="1027" max="1027" width="10.7109375" style="488" bestFit="1" customWidth="1"/>
    <col min="1028" max="1028" width="10.28515625" style="488"/>
    <col min="1029" max="1029" width="18" style="488" customWidth="1"/>
    <col min="1030" max="1030" width="19.28515625" style="488" customWidth="1"/>
    <col min="1031" max="1281" width="10.28515625" style="488"/>
    <col min="1282" max="1282" width="13.140625" style="488" bestFit="1" customWidth="1"/>
    <col min="1283" max="1283" width="10.7109375" style="488" bestFit="1" customWidth="1"/>
    <col min="1284" max="1284" width="10.28515625" style="488"/>
    <col min="1285" max="1285" width="18" style="488" customWidth="1"/>
    <col min="1286" max="1286" width="19.28515625" style="488" customWidth="1"/>
    <col min="1287" max="1537" width="10.28515625" style="488"/>
    <col min="1538" max="1538" width="13.140625" style="488" bestFit="1" customWidth="1"/>
    <col min="1539" max="1539" width="10.7109375" style="488" bestFit="1" customWidth="1"/>
    <col min="1540" max="1540" width="10.28515625" style="488"/>
    <col min="1541" max="1541" width="18" style="488" customWidth="1"/>
    <col min="1542" max="1542" width="19.28515625" style="488" customWidth="1"/>
    <col min="1543" max="1793" width="10.28515625" style="488"/>
    <col min="1794" max="1794" width="13.140625" style="488" bestFit="1" customWidth="1"/>
    <col min="1795" max="1795" width="10.7109375" style="488" bestFit="1" customWidth="1"/>
    <col min="1796" max="1796" width="10.28515625" style="488"/>
    <col min="1797" max="1797" width="18" style="488" customWidth="1"/>
    <col min="1798" max="1798" width="19.28515625" style="488" customWidth="1"/>
    <col min="1799" max="2049" width="10.28515625" style="488"/>
    <col min="2050" max="2050" width="13.140625" style="488" bestFit="1" customWidth="1"/>
    <col min="2051" max="2051" width="10.7109375" style="488" bestFit="1" customWidth="1"/>
    <col min="2052" max="2052" width="10.28515625" style="488"/>
    <col min="2053" max="2053" width="18" style="488" customWidth="1"/>
    <col min="2054" max="2054" width="19.28515625" style="488" customWidth="1"/>
    <col min="2055" max="2305" width="10.28515625" style="488"/>
    <col min="2306" max="2306" width="13.140625" style="488" bestFit="1" customWidth="1"/>
    <col min="2307" max="2307" width="10.7109375" style="488" bestFit="1" customWidth="1"/>
    <col min="2308" max="2308" width="10.28515625" style="488"/>
    <col min="2309" max="2309" width="18" style="488" customWidth="1"/>
    <col min="2310" max="2310" width="19.28515625" style="488" customWidth="1"/>
    <col min="2311" max="2561" width="10.28515625" style="488"/>
    <col min="2562" max="2562" width="13.140625" style="488" bestFit="1" customWidth="1"/>
    <col min="2563" max="2563" width="10.7109375" style="488" bestFit="1" customWidth="1"/>
    <col min="2564" max="2564" width="10.28515625" style="488"/>
    <col min="2565" max="2565" width="18" style="488" customWidth="1"/>
    <col min="2566" max="2566" width="19.28515625" style="488" customWidth="1"/>
    <col min="2567" max="2817" width="10.28515625" style="488"/>
    <col min="2818" max="2818" width="13.140625" style="488" bestFit="1" customWidth="1"/>
    <col min="2819" max="2819" width="10.7109375" style="488" bestFit="1" customWidth="1"/>
    <col min="2820" max="2820" width="10.28515625" style="488"/>
    <col min="2821" max="2821" width="18" style="488" customWidth="1"/>
    <col min="2822" max="2822" width="19.28515625" style="488" customWidth="1"/>
    <col min="2823" max="3073" width="10.28515625" style="488"/>
    <col min="3074" max="3074" width="13.140625" style="488" bestFit="1" customWidth="1"/>
    <col min="3075" max="3075" width="10.7109375" style="488" bestFit="1" customWidth="1"/>
    <col min="3076" max="3076" width="10.28515625" style="488"/>
    <col min="3077" max="3077" width="18" style="488" customWidth="1"/>
    <col min="3078" max="3078" width="19.28515625" style="488" customWidth="1"/>
    <col min="3079" max="3329" width="10.28515625" style="488"/>
    <col min="3330" max="3330" width="13.140625" style="488" bestFit="1" customWidth="1"/>
    <col min="3331" max="3331" width="10.7109375" style="488" bestFit="1" customWidth="1"/>
    <col min="3332" max="3332" width="10.28515625" style="488"/>
    <col min="3333" max="3333" width="18" style="488" customWidth="1"/>
    <col min="3334" max="3334" width="19.28515625" style="488" customWidth="1"/>
    <col min="3335" max="3585" width="10.28515625" style="488"/>
    <col min="3586" max="3586" width="13.140625" style="488" bestFit="1" customWidth="1"/>
    <col min="3587" max="3587" width="10.7109375" style="488" bestFit="1" customWidth="1"/>
    <col min="3588" max="3588" width="10.28515625" style="488"/>
    <col min="3589" max="3589" width="18" style="488" customWidth="1"/>
    <col min="3590" max="3590" width="19.28515625" style="488" customWidth="1"/>
    <col min="3591" max="3841" width="10.28515625" style="488"/>
    <col min="3842" max="3842" width="13.140625" style="488" bestFit="1" customWidth="1"/>
    <col min="3843" max="3843" width="10.7109375" style="488" bestFit="1" customWidth="1"/>
    <col min="3844" max="3844" width="10.28515625" style="488"/>
    <col min="3845" max="3845" width="18" style="488" customWidth="1"/>
    <col min="3846" max="3846" width="19.28515625" style="488" customWidth="1"/>
    <col min="3847" max="4097" width="10.28515625" style="488"/>
    <col min="4098" max="4098" width="13.140625" style="488" bestFit="1" customWidth="1"/>
    <col min="4099" max="4099" width="10.7109375" style="488" bestFit="1" customWidth="1"/>
    <col min="4100" max="4100" width="10.28515625" style="488"/>
    <col min="4101" max="4101" width="18" style="488" customWidth="1"/>
    <col min="4102" max="4102" width="19.28515625" style="488" customWidth="1"/>
    <col min="4103" max="4353" width="10.28515625" style="488"/>
    <col min="4354" max="4354" width="13.140625" style="488" bestFit="1" customWidth="1"/>
    <col min="4355" max="4355" width="10.7109375" style="488" bestFit="1" customWidth="1"/>
    <col min="4356" max="4356" width="10.28515625" style="488"/>
    <col min="4357" max="4357" width="18" style="488" customWidth="1"/>
    <col min="4358" max="4358" width="19.28515625" style="488" customWidth="1"/>
    <col min="4359" max="4609" width="10.28515625" style="488"/>
    <col min="4610" max="4610" width="13.140625" style="488" bestFit="1" customWidth="1"/>
    <col min="4611" max="4611" width="10.7109375" style="488" bestFit="1" customWidth="1"/>
    <col min="4612" max="4612" width="10.28515625" style="488"/>
    <col min="4613" max="4613" width="18" style="488" customWidth="1"/>
    <col min="4614" max="4614" width="19.28515625" style="488" customWidth="1"/>
    <col min="4615" max="4865" width="10.28515625" style="488"/>
    <col min="4866" max="4866" width="13.140625" style="488" bestFit="1" customWidth="1"/>
    <col min="4867" max="4867" width="10.7109375" style="488" bestFit="1" customWidth="1"/>
    <col min="4868" max="4868" width="10.28515625" style="488"/>
    <col min="4869" max="4869" width="18" style="488" customWidth="1"/>
    <col min="4870" max="4870" width="19.28515625" style="488" customWidth="1"/>
    <col min="4871" max="5121" width="10.28515625" style="488"/>
    <col min="5122" max="5122" width="13.140625" style="488" bestFit="1" customWidth="1"/>
    <col min="5123" max="5123" width="10.7109375" style="488" bestFit="1" customWidth="1"/>
    <col min="5124" max="5124" width="10.28515625" style="488"/>
    <col min="5125" max="5125" width="18" style="488" customWidth="1"/>
    <col min="5126" max="5126" width="19.28515625" style="488" customWidth="1"/>
    <col min="5127" max="5377" width="10.28515625" style="488"/>
    <col min="5378" max="5378" width="13.140625" style="488" bestFit="1" customWidth="1"/>
    <col min="5379" max="5379" width="10.7109375" style="488" bestFit="1" customWidth="1"/>
    <col min="5380" max="5380" width="10.28515625" style="488"/>
    <col min="5381" max="5381" width="18" style="488" customWidth="1"/>
    <col min="5382" max="5382" width="19.28515625" style="488" customWidth="1"/>
    <col min="5383" max="5633" width="10.28515625" style="488"/>
    <col min="5634" max="5634" width="13.140625" style="488" bestFit="1" customWidth="1"/>
    <col min="5635" max="5635" width="10.7109375" style="488" bestFit="1" customWidth="1"/>
    <col min="5636" max="5636" width="10.28515625" style="488"/>
    <col min="5637" max="5637" width="18" style="488" customWidth="1"/>
    <col min="5638" max="5638" width="19.28515625" style="488" customWidth="1"/>
    <col min="5639" max="5889" width="10.28515625" style="488"/>
    <col min="5890" max="5890" width="13.140625" style="488" bestFit="1" customWidth="1"/>
    <col min="5891" max="5891" width="10.7109375" style="488" bestFit="1" customWidth="1"/>
    <col min="5892" max="5892" width="10.28515625" style="488"/>
    <col min="5893" max="5893" width="18" style="488" customWidth="1"/>
    <col min="5894" max="5894" width="19.28515625" style="488" customWidth="1"/>
    <col min="5895" max="6145" width="10.28515625" style="488"/>
    <col min="6146" max="6146" width="13.140625" style="488" bestFit="1" customWidth="1"/>
    <col min="6147" max="6147" width="10.7109375" style="488" bestFit="1" customWidth="1"/>
    <col min="6148" max="6148" width="10.28515625" style="488"/>
    <col min="6149" max="6149" width="18" style="488" customWidth="1"/>
    <col min="6150" max="6150" width="19.28515625" style="488" customWidth="1"/>
    <col min="6151" max="6401" width="10.28515625" style="488"/>
    <col min="6402" max="6402" width="13.140625" style="488" bestFit="1" customWidth="1"/>
    <col min="6403" max="6403" width="10.7109375" style="488" bestFit="1" customWidth="1"/>
    <col min="6404" max="6404" width="10.28515625" style="488"/>
    <col min="6405" max="6405" width="18" style="488" customWidth="1"/>
    <col min="6406" max="6406" width="19.28515625" style="488" customWidth="1"/>
    <col min="6407" max="6657" width="10.28515625" style="488"/>
    <col min="6658" max="6658" width="13.140625" style="488" bestFit="1" customWidth="1"/>
    <col min="6659" max="6659" width="10.7109375" style="488" bestFit="1" customWidth="1"/>
    <col min="6660" max="6660" width="10.28515625" style="488"/>
    <col min="6661" max="6661" width="18" style="488" customWidth="1"/>
    <col min="6662" max="6662" width="19.28515625" style="488" customWidth="1"/>
    <col min="6663" max="6913" width="10.28515625" style="488"/>
    <col min="6914" max="6914" width="13.140625" style="488" bestFit="1" customWidth="1"/>
    <col min="6915" max="6915" width="10.7109375" style="488" bestFit="1" customWidth="1"/>
    <col min="6916" max="6916" width="10.28515625" style="488"/>
    <col min="6917" max="6917" width="18" style="488" customWidth="1"/>
    <col min="6918" max="6918" width="19.28515625" style="488" customWidth="1"/>
    <col min="6919" max="7169" width="10.28515625" style="488"/>
    <col min="7170" max="7170" width="13.140625" style="488" bestFit="1" customWidth="1"/>
    <col min="7171" max="7171" width="10.7109375" style="488" bestFit="1" customWidth="1"/>
    <col min="7172" max="7172" width="10.28515625" style="488"/>
    <col min="7173" max="7173" width="18" style="488" customWidth="1"/>
    <col min="7174" max="7174" width="19.28515625" style="488" customWidth="1"/>
    <col min="7175" max="7425" width="10.28515625" style="488"/>
    <col min="7426" max="7426" width="13.140625" style="488" bestFit="1" customWidth="1"/>
    <col min="7427" max="7427" width="10.7109375" style="488" bestFit="1" customWidth="1"/>
    <col min="7428" max="7428" width="10.28515625" style="488"/>
    <col min="7429" max="7429" width="18" style="488" customWidth="1"/>
    <col min="7430" max="7430" width="19.28515625" style="488" customWidth="1"/>
    <col min="7431" max="7681" width="10.28515625" style="488"/>
    <col min="7682" max="7682" width="13.140625" style="488" bestFit="1" customWidth="1"/>
    <col min="7683" max="7683" width="10.7109375" style="488" bestFit="1" customWidth="1"/>
    <col min="7684" max="7684" width="10.28515625" style="488"/>
    <col min="7685" max="7685" width="18" style="488" customWidth="1"/>
    <col min="7686" max="7686" width="19.28515625" style="488" customWidth="1"/>
    <col min="7687" max="7937" width="10.28515625" style="488"/>
    <col min="7938" max="7938" width="13.140625" style="488" bestFit="1" customWidth="1"/>
    <col min="7939" max="7939" width="10.7109375" style="488" bestFit="1" customWidth="1"/>
    <col min="7940" max="7940" width="10.28515625" style="488"/>
    <col min="7941" max="7941" width="18" style="488" customWidth="1"/>
    <col min="7942" max="7942" width="19.28515625" style="488" customWidth="1"/>
    <col min="7943" max="8193" width="10.28515625" style="488"/>
    <col min="8194" max="8194" width="13.140625" style="488" bestFit="1" customWidth="1"/>
    <col min="8195" max="8195" width="10.7109375" style="488" bestFit="1" customWidth="1"/>
    <col min="8196" max="8196" width="10.28515625" style="488"/>
    <col min="8197" max="8197" width="18" style="488" customWidth="1"/>
    <col min="8198" max="8198" width="19.28515625" style="488" customWidth="1"/>
    <col min="8199" max="8449" width="10.28515625" style="488"/>
    <col min="8450" max="8450" width="13.140625" style="488" bestFit="1" customWidth="1"/>
    <col min="8451" max="8451" width="10.7109375" style="488" bestFit="1" customWidth="1"/>
    <col min="8452" max="8452" width="10.28515625" style="488"/>
    <col min="8453" max="8453" width="18" style="488" customWidth="1"/>
    <col min="8454" max="8454" width="19.28515625" style="488" customWidth="1"/>
    <col min="8455" max="8705" width="10.28515625" style="488"/>
    <col min="8706" max="8706" width="13.140625" style="488" bestFit="1" customWidth="1"/>
    <col min="8707" max="8707" width="10.7109375" style="488" bestFit="1" customWidth="1"/>
    <col min="8708" max="8708" width="10.28515625" style="488"/>
    <col min="8709" max="8709" width="18" style="488" customWidth="1"/>
    <col min="8710" max="8710" width="19.28515625" style="488" customWidth="1"/>
    <col min="8711" max="8961" width="10.28515625" style="488"/>
    <col min="8962" max="8962" width="13.140625" style="488" bestFit="1" customWidth="1"/>
    <col min="8963" max="8963" width="10.7109375" style="488" bestFit="1" customWidth="1"/>
    <col min="8964" max="8964" width="10.28515625" style="488"/>
    <col min="8965" max="8965" width="18" style="488" customWidth="1"/>
    <col min="8966" max="8966" width="19.28515625" style="488" customWidth="1"/>
    <col min="8967" max="9217" width="10.28515625" style="488"/>
    <col min="9218" max="9218" width="13.140625" style="488" bestFit="1" customWidth="1"/>
    <col min="9219" max="9219" width="10.7109375" style="488" bestFit="1" customWidth="1"/>
    <col min="9220" max="9220" width="10.28515625" style="488"/>
    <col min="9221" max="9221" width="18" style="488" customWidth="1"/>
    <col min="9222" max="9222" width="19.28515625" style="488" customWidth="1"/>
    <col min="9223" max="9473" width="10.28515625" style="488"/>
    <col min="9474" max="9474" width="13.140625" style="488" bestFit="1" customWidth="1"/>
    <col min="9475" max="9475" width="10.7109375" style="488" bestFit="1" customWidth="1"/>
    <col min="9476" max="9476" width="10.28515625" style="488"/>
    <col min="9477" max="9477" width="18" style="488" customWidth="1"/>
    <col min="9478" max="9478" width="19.28515625" style="488" customWidth="1"/>
    <col min="9479" max="9729" width="10.28515625" style="488"/>
    <col min="9730" max="9730" width="13.140625" style="488" bestFit="1" customWidth="1"/>
    <col min="9731" max="9731" width="10.7109375" style="488" bestFit="1" customWidth="1"/>
    <col min="9732" max="9732" width="10.28515625" style="488"/>
    <col min="9733" max="9733" width="18" style="488" customWidth="1"/>
    <col min="9734" max="9734" width="19.28515625" style="488" customWidth="1"/>
    <col min="9735" max="9985" width="10.28515625" style="488"/>
    <col min="9986" max="9986" width="13.140625" style="488" bestFit="1" customWidth="1"/>
    <col min="9987" max="9987" width="10.7109375" style="488" bestFit="1" customWidth="1"/>
    <col min="9988" max="9988" width="10.28515625" style="488"/>
    <col min="9989" max="9989" width="18" style="488" customWidth="1"/>
    <col min="9990" max="9990" width="19.28515625" style="488" customWidth="1"/>
    <col min="9991" max="10241" width="10.28515625" style="488"/>
    <col min="10242" max="10242" width="13.140625" style="488" bestFit="1" customWidth="1"/>
    <col min="10243" max="10243" width="10.7109375" style="488" bestFit="1" customWidth="1"/>
    <col min="10244" max="10244" width="10.28515625" style="488"/>
    <col min="10245" max="10245" width="18" style="488" customWidth="1"/>
    <col min="10246" max="10246" width="19.28515625" style="488" customWidth="1"/>
    <col min="10247" max="10497" width="10.28515625" style="488"/>
    <col min="10498" max="10498" width="13.140625" style="488" bestFit="1" customWidth="1"/>
    <col min="10499" max="10499" width="10.7109375" style="488" bestFit="1" customWidth="1"/>
    <col min="10500" max="10500" width="10.28515625" style="488"/>
    <col min="10501" max="10501" width="18" style="488" customWidth="1"/>
    <col min="10502" max="10502" width="19.28515625" style="488" customWidth="1"/>
    <col min="10503" max="10753" width="10.28515625" style="488"/>
    <col min="10754" max="10754" width="13.140625" style="488" bestFit="1" customWidth="1"/>
    <col min="10755" max="10755" width="10.7109375" style="488" bestFit="1" customWidth="1"/>
    <col min="10756" max="10756" width="10.28515625" style="488"/>
    <col min="10757" max="10757" width="18" style="488" customWidth="1"/>
    <col min="10758" max="10758" width="19.28515625" style="488" customWidth="1"/>
    <col min="10759" max="11009" width="10.28515625" style="488"/>
    <col min="11010" max="11010" width="13.140625" style="488" bestFit="1" customWidth="1"/>
    <col min="11011" max="11011" width="10.7109375" style="488" bestFit="1" customWidth="1"/>
    <col min="11012" max="11012" width="10.28515625" style="488"/>
    <col min="11013" max="11013" width="18" style="488" customWidth="1"/>
    <col min="11014" max="11014" width="19.28515625" style="488" customWidth="1"/>
    <col min="11015" max="11265" width="10.28515625" style="488"/>
    <col min="11266" max="11266" width="13.140625" style="488" bestFit="1" customWidth="1"/>
    <col min="11267" max="11267" width="10.7109375" style="488" bestFit="1" customWidth="1"/>
    <col min="11268" max="11268" width="10.28515625" style="488"/>
    <col min="11269" max="11269" width="18" style="488" customWidth="1"/>
    <col min="11270" max="11270" width="19.28515625" style="488" customWidth="1"/>
    <col min="11271" max="11521" width="10.28515625" style="488"/>
    <col min="11522" max="11522" width="13.140625" style="488" bestFit="1" customWidth="1"/>
    <col min="11523" max="11523" width="10.7109375" style="488" bestFit="1" customWidth="1"/>
    <col min="11524" max="11524" width="10.28515625" style="488"/>
    <col min="11525" max="11525" width="18" style="488" customWidth="1"/>
    <col min="11526" max="11526" width="19.28515625" style="488" customWidth="1"/>
    <col min="11527" max="11777" width="10.28515625" style="488"/>
    <col min="11778" max="11778" width="13.140625" style="488" bestFit="1" customWidth="1"/>
    <col min="11779" max="11779" width="10.7109375" style="488" bestFit="1" customWidth="1"/>
    <col min="11780" max="11780" width="10.28515625" style="488"/>
    <col min="11781" max="11781" width="18" style="488" customWidth="1"/>
    <col min="11782" max="11782" width="19.28515625" style="488" customWidth="1"/>
    <col min="11783" max="12033" width="10.28515625" style="488"/>
    <col min="12034" max="12034" width="13.140625" style="488" bestFit="1" customWidth="1"/>
    <col min="12035" max="12035" width="10.7109375" style="488" bestFit="1" customWidth="1"/>
    <col min="12036" max="12036" width="10.28515625" style="488"/>
    <col min="12037" max="12037" width="18" style="488" customWidth="1"/>
    <col min="12038" max="12038" width="19.28515625" style="488" customWidth="1"/>
    <col min="12039" max="12289" width="10.28515625" style="488"/>
    <col min="12290" max="12290" width="13.140625" style="488" bestFit="1" customWidth="1"/>
    <col min="12291" max="12291" width="10.7109375" style="488" bestFit="1" customWidth="1"/>
    <col min="12292" max="12292" width="10.28515625" style="488"/>
    <col min="12293" max="12293" width="18" style="488" customWidth="1"/>
    <col min="12294" max="12294" width="19.28515625" style="488" customWidth="1"/>
    <col min="12295" max="12545" width="10.28515625" style="488"/>
    <col min="12546" max="12546" width="13.140625" style="488" bestFit="1" customWidth="1"/>
    <col min="12547" max="12547" width="10.7109375" style="488" bestFit="1" customWidth="1"/>
    <col min="12548" max="12548" width="10.28515625" style="488"/>
    <col min="12549" max="12549" width="18" style="488" customWidth="1"/>
    <col min="12550" max="12550" width="19.28515625" style="488" customWidth="1"/>
    <col min="12551" max="12801" width="10.28515625" style="488"/>
    <col min="12802" max="12802" width="13.140625" style="488" bestFit="1" customWidth="1"/>
    <col min="12803" max="12803" width="10.7109375" style="488" bestFit="1" customWidth="1"/>
    <col min="12804" max="12804" width="10.28515625" style="488"/>
    <col min="12805" max="12805" width="18" style="488" customWidth="1"/>
    <col min="12806" max="12806" width="19.28515625" style="488" customWidth="1"/>
    <col min="12807" max="13057" width="10.28515625" style="488"/>
    <col min="13058" max="13058" width="13.140625" style="488" bestFit="1" customWidth="1"/>
    <col min="13059" max="13059" width="10.7109375" style="488" bestFit="1" customWidth="1"/>
    <col min="13060" max="13060" width="10.28515625" style="488"/>
    <col min="13061" max="13061" width="18" style="488" customWidth="1"/>
    <col min="13062" max="13062" width="19.28515625" style="488" customWidth="1"/>
    <col min="13063" max="13313" width="10.28515625" style="488"/>
    <col min="13314" max="13314" width="13.140625" style="488" bestFit="1" customWidth="1"/>
    <col min="13315" max="13315" width="10.7109375" style="488" bestFit="1" customWidth="1"/>
    <col min="13316" max="13316" width="10.28515625" style="488"/>
    <col min="13317" max="13317" width="18" style="488" customWidth="1"/>
    <col min="13318" max="13318" width="19.28515625" style="488" customWidth="1"/>
    <col min="13319" max="13569" width="10.28515625" style="488"/>
    <col min="13570" max="13570" width="13.140625" style="488" bestFit="1" customWidth="1"/>
    <col min="13571" max="13571" width="10.7109375" style="488" bestFit="1" customWidth="1"/>
    <col min="13572" max="13572" width="10.28515625" style="488"/>
    <col min="13573" max="13573" width="18" style="488" customWidth="1"/>
    <col min="13574" max="13574" width="19.28515625" style="488" customWidth="1"/>
    <col min="13575" max="13825" width="10.28515625" style="488"/>
    <col min="13826" max="13826" width="13.140625" style="488" bestFit="1" customWidth="1"/>
    <col min="13827" max="13827" width="10.7109375" style="488" bestFit="1" customWidth="1"/>
    <col min="13828" max="13828" width="10.28515625" style="488"/>
    <col min="13829" max="13829" width="18" style="488" customWidth="1"/>
    <col min="13830" max="13830" width="19.28515625" style="488" customWidth="1"/>
    <col min="13831" max="14081" width="10.28515625" style="488"/>
    <col min="14082" max="14082" width="13.140625" style="488" bestFit="1" customWidth="1"/>
    <col min="14083" max="14083" width="10.7109375" style="488" bestFit="1" customWidth="1"/>
    <col min="14084" max="14084" width="10.28515625" style="488"/>
    <col min="14085" max="14085" width="18" style="488" customWidth="1"/>
    <col min="14086" max="14086" width="19.28515625" style="488" customWidth="1"/>
    <col min="14087" max="14337" width="10.28515625" style="488"/>
    <col min="14338" max="14338" width="13.140625" style="488" bestFit="1" customWidth="1"/>
    <col min="14339" max="14339" width="10.7109375" style="488" bestFit="1" customWidth="1"/>
    <col min="14340" max="14340" width="10.28515625" style="488"/>
    <col min="14341" max="14341" width="18" style="488" customWidth="1"/>
    <col min="14342" max="14342" width="19.28515625" style="488" customWidth="1"/>
    <col min="14343" max="14593" width="10.28515625" style="488"/>
    <col min="14594" max="14594" width="13.140625" style="488" bestFit="1" customWidth="1"/>
    <col min="14595" max="14595" width="10.7109375" style="488" bestFit="1" customWidth="1"/>
    <col min="14596" max="14596" width="10.28515625" style="488"/>
    <col min="14597" max="14597" width="18" style="488" customWidth="1"/>
    <col min="14598" max="14598" width="19.28515625" style="488" customWidth="1"/>
    <col min="14599" max="14849" width="10.28515625" style="488"/>
    <col min="14850" max="14850" width="13.140625" style="488" bestFit="1" customWidth="1"/>
    <col min="14851" max="14851" width="10.7109375" style="488" bestFit="1" customWidth="1"/>
    <col min="14852" max="14852" width="10.28515625" style="488"/>
    <col min="14853" max="14853" width="18" style="488" customWidth="1"/>
    <col min="14854" max="14854" width="19.28515625" style="488" customWidth="1"/>
    <col min="14855" max="15105" width="10.28515625" style="488"/>
    <col min="15106" max="15106" width="13.140625" style="488" bestFit="1" customWidth="1"/>
    <col min="15107" max="15107" width="10.7109375" style="488" bestFit="1" customWidth="1"/>
    <col min="15108" max="15108" width="10.28515625" style="488"/>
    <col min="15109" max="15109" width="18" style="488" customWidth="1"/>
    <col min="15110" max="15110" width="19.28515625" style="488" customWidth="1"/>
    <col min="15111" max="15361" width="10.28515625" style="488"/>
    <col min="15362" max="15362" width="13.140625" style="488" bestFit="1" customWidth="1"/>
    <col min="15363" max="15363" width="10.7109375" style="488" bestFit="1" customWidth="1"/>
    <col min="15364" max="15364" width="10.28515625" style="488"/>
    <col min="15365" max="15365" width="18" style="488" customWidth="1"/>
    <col min="15366" max="15366" width="19.28515625" style="488" customWidth="1"/>
    <col min="15367" max="15617" width="10.28515625" style="488"/>
    <col min="15618" max="15618" width="13.140625" style="488" bestFit="1" customWidth="1"/>
    <col min="15619" max="15619" width="10.7109375" style="488" bestFit="1" customWidth="1"/>
    <col min="15620" max="15620" width="10.28515625" style="488"/>
    <col min="15621" max="15621" width="18" style="488" customWidth="1"/>
    <col min="15622" max="15622" width="19.28515625" style="488" customWidth="1"/>
    <col min="15623" max="15873" width="10.28515625" style="488"/>
    <col min="15874" max="15874" width="13.140625" style="488" bestFit="1" customWidth="1"/>
    <col min="15875" max="15875" width="10.7109375" style="488" bestFit="1" customWidth="1"/>
    <col min="15876" max="15876" width="10.28515625" style="488"/>
    <col min="15877" max="15877" width="18" style="488" customWidth="1"/>
    <col min="15878" max="15878" width="19.28515625" style="488" customWidth="1"/>
    <col min="15879" max="16129" width="10.28515625" style="488"/>
    <col min="16130" max="16130" width="13.140625" style="488" bestFit="1" customWidth="1"/>
    <col min="16131" max="16131" width="10.7109375" style="488" bestFit="1" customWidth="1"/>
    <col min="16132" max="16132" width="10.28515625" style="488"/>
    <col min="16133" max="16133" width="18" style="488" customWidth="1"/>
    <col min="16134" max="16134" width="19.28515625" style="488" customWidth="1"/>
    <col min="16135" max="16384" width="10.28515625" style="488"/>
  </cols>
  <sheetData>
    <row r="1" spans="1:8">
      <c r="A1" s="488" t="s">
        <v>107</v>
      </c>
      <c r="B1" s="489">
        <v>44173</v>
      </c>
    </row>
    <row r="2" spans="1:8" ht="31.5">
      <c r="A2" s="627"/>
      <c r="B2" s="628" t="s">
        <v>119</v>
      </c>
      <c r="C2" s="628" t="s">
        <v>38</v>
      </c>
      <c r="D2" s="629" t="s">
        <v>930</v>
      </c>
      <c r="E2" s="629" t="s">
        <v>931</v>
      </c>
      <c r="F2" s="629" t="s">
        <v>932</v>
      </c>
      <c r="G2" s="628"/>
      <c r="H2" s="630" t="s">
        <v>934</v>
      </c>
    </row>
    <row r="3" spans="1:8" ht="15.75">
      <c r="A3" s="627"/>
      <c r="B3" s="627"/>
      <c r="C3" s="627"/>
      <c r="D3" s="627"/>
      <c r="E3" s="627"/>
      <c r="F3" s="627"/>
      <c r="G3" s="627"/>
      <c r="H3" s="631"/>
    </row>
    <row r="4" spans="1:8" ht="15.75">
      <c r="A4" s="627">
        <v>1</v>
      </c>
      <c r="B4" s="627" t="s">
        <v>890</v>
      </c>
      <c r="C4" s="632" t="s">
        <v>112</v>
      </c>
      <c r="D4" s="627">
        <v>2.23</v>
      </c>
      <c r="E4" s="627">
        <v>6.31</v>
      </c>
      <c r="F4" s="627">
        <v>5.1100000000000003</v>
      </c>
      <c r="G4" s="627"/>
      <c r="H4" s="631">
        <f>(E4-F4)/(E4-D4)*100%</f>
        <v>0.29411764705882337</v>
      </c>
    </row>
    <row r="5" spans="1:8" ht="15.75">
      <c r="A5" s="627">
        <v>2</v>
      </c>
      <c r="B5" s="627" t="s">
        <v>890</v>
      </c>
      <c r="C5" s="632" t="s">
        <v>114</v>
      </c>
      <c r="D5" s="627">
        <v>2.25</v>
      </c>
      <c r="E5" s="627">
        <v>6.36</v>
      </c>
      <c r="F5" s="627">
        <v>5.13</v>
      </c>
      <c r="G5" s="627"/>
      <c r="H5" s="631">
        <f t="shared" ref="H5:H33" si="0">(E5-F5)/(E5-D5)*100%</f>
        <v>0.29927007299270081</v>
      </c>
    </row>
    <row r="6" spans="1:8" ht="15.75">
      <c r="A6" s="627">
        <v>3</v>
      </c>
      <c r="B6" s="627" t="s">
        <v>890</v>
      </c>
      <c r="C6" s="632" t="s">
        <v>817</v>
      </c>
      <c r="D6" s="627">
        <v>2.27</v>
      </c>
      <c r="E6" s="627">
        <v>6.72</v>
      </c>
      <c r="F6" s="627">
        <v>5.5</v>
      </c>
      <c r="G6" s="627"/>
      <c r="H6" s="631">
        <f t="shared" si="0"/>
        <v>0.27415730337078653</v>
      </c>
    </row>
    <row r="7" spans="1:8" ht="15.75">
      <c r="A7" s="627">
        <v>4</v>
      </c>
      <c r="B7" s="627" t="s">
        <v>891</v>
      </c>
      <c r="C7" s="632" t="s">
        <v>112</v>
      </c>
      <c r="D7" s="627">
        <v>2.2200000000000002</v>
      </c>
      <c r="E7" s="627">
        <v>6.19</v>
      </c>
      <c r="F7" s="627">
        <v>5.12</v>
      </c>
      <c r="G7" s="627"/>
      <c r="H7" s="631">
        <f t="shared" si="0"/>
        <v>0.26952141057934514</v>
      </c>
    </row>
    <row r="8" spans="1:8" ht="15.75">
      <c r="A8" s="627">
        <v>5</v>
      </c>
      <c r="B8" s="627" t="s">
        <v>891</v>
      </c>
      <c r="C8" s="632" t="s">
        <v>114</v>
      </c>
      <c r="D8" s="627">
        <v>2.2599999999999998</v>
      </c>
      <c r="E8" s="627">
        <v>6.61</v>
      </c>
      <c r="F8" s="627">
        <v>5.22</v>
      </c>
      <c r="G8" s="627"/>
      <c r="H8" s="631">
        <f t="shared" si="0"/>
        <v>0.31954022988505754</v>
      </c>
    </row>
    <row r="9" spans="1:8" ht="15.75">
      <c r="A9" s="627">
        <v>6</v>
      </c>
      <c r="B9" s="627" t="s">
        <v>891</v>
      </c>
      <c r="C9" s="632" t="s">
        <v>817</v>
      </c>
      <c r="D9" s="627">
        <v>2.23</v>
      </c>
      <c r="E9" s="627">
        <v>7.54</v>
      </c>
      <c r="F9" s="627">
        <v>6.24</v>
      </c>
      <c r="G9" s="627"/>
      <c r="H9" s="631">
        <f t="shared" si="0"/>
        <v>0.24482109227871934</v>
      </c>
    </row>
    <row r="10" spans="1:8" ht="15.75">
      <c r="A10" s="627">
        <v>7</v>
      </c>
      <c r="B10" s="627" t="s">
        <v>892</v>
      </c>
      <c r="C10" s="632" t="s">
        <v>112</v>
      </c>
      <c r="D10" s="627">
        <v>2.2400000000000002</v>
      </c>
      <c r="E10" s="627">
        <v>6.38</v>
      </c>
      <c r="F10" s="627">
        <v>4.92</v>
      </c>
      <c r="G10" s="627"/>
      <c r="H10" s="631">
        <f t="shared" si="0"/>
        <v>0.35265700483091789</v>
      </c>
    </row>
    <row r="11" spans="1:8" ht="15.75">
      <c r="A11" s="627">
        <v>9</v>
      </c>
      <c r="B11" s="627" t="s">
        <v>892</v>
      </c>
      <c r="C11" s="632" t="s">
        <v>114</v>
      </c>
      <c r="D11" s="627">
        <v>2.2200000000000002</v>
      </c>
      <c r="E11" s="627">
        <v>6.43</v>
      </c>
      <c r="F11" s="627">
        <v>5.05</v>
      </c>
      <c r="G11" s="627"/>
      <c r="H11" s="631">
        <f t="shared" si="0"/>
        <v>0.327790973871734</v>
      </c>
    </row>
    <row r="12" spans="1:8" ht="15.75">
      <c r="A12" s="627">
        <v>10</v>
      </c>
      <c r="B12" s="627" t="s">
        <v>892</v>
      </c>
      <c r="C12" s="632" t="s">
        <v>817</v>
      </c>
      <c r="D12" s="627">
        <v>2.25</v>
      </c>
      <c r="E12" s="627">
        <v>6.42</v>
      </c>
      <c r="F12" s="627">
        <v>5.39</v>
      </c>
      <c r="G12" s="627"/>
      <c r="H12" s="631">
        <f t="shared" si="0"/>
        <v>0.24700239808153485</v>
      </c>
    </row>
    <row r="13" spans="1:8" ht="15.75">
      <c r="A13" s="627">
        <v>11</v>
      </c>
      <c r="B13" s="627" t="s">
        <v>893</v>
      </c>
      <c r="C13" s="632" t="s">
        <v>112</v>
      </c>
      <c r="D13" s="627">
        <v>2.2200000000000002</v>
      </c>
      <c r="E13" s="627">
        <v>6.13</v>
      </c>
      <c r="F13" s="633">
        <v>5.2</v>
      </c>
      <c r="G13" s="627"/>
      <c r="H13" s="631">
        <f t="shared" si="0"/>
        <v>0.23785166240409203</v>
      </c>
    </row>
    <row r="14" spans="1:8" ht="15.75">
      <c r="A14" s="627">
        <v>12</v>
      </c>
      <c r="B14" s="627" t="s">
        <v>893</v>
      </c>
      <c r="C14" s="632" t="s">
        <v>114</v>
      </c>
      <c r="D14" s="627">
        <v>2.2599999999999998</v>
      </c>
      <c r="E14" s="627">
        <v>6.4</v>
      </c>
      <c r="F14" s="627">
        <v>5.32</v>
      </c>
      <c r="G14" s="627"/>
      <c r="H14" s="631">
        <f t="shared" si="0"/>
        <v>0.2608695652173913</v>
      </c>
    </row>
    <row r="15" spans="1:8" ht="15.75">
      <c r="A15" s="627">
        <v>13</v>
      </c>
      <c r="B15" s="627" t="s">
        <v>893</v>
      </c>
      <c r="C15" s="632" t="s">
        <v>817</v>
      </c>
      <c r="D15" s="627">
        <v>2.2599999999999998</v>
      </c>
      <c r="E15" s="627">
        <v>7.08</v>
      </c>
      <c r="F15" s="627">
        <v>6.37</v>
      </c>
      <c r="G15" s="627"/>
      <c r="H15" s="631">
        <f t="shared" si="0"/>
        <v>0.14730290456431533</v>
      </c>
    </row>
    <row r="16" spans="1:8" ht="15.75">
      <c r="A16" s="627">
        <v>14</v>
      </c>
      <c r="B16" s="627" t="s">
        <v>894</v>
      </c>
      <c r="C16" s="632" t="s">
        <v>112</v>
      </c>
      <c r="D16" s="627">
        <v>2.29</v>
      </c>
      <c r="E16" s="627">
        <v>6.44</v>
      </c>
      <c r="F16" s="627">
        <v>5.07</v>
      </c>
      <c r="G16" s="627"/>
      <c r="H16" s="631">
        <f t="shared" si="0"/>
        <v>0.33012048192771082</v>
      </c>
    </row>
    <row r="17" spans="1:10" ht="15.75">
      <c r="A17" s="627">
        <v>15</v>
      </c>
      <c r="B17" s="627" t="s">
        <v>894</v>
      </c>
      <c r="C17" s="632" t="s">
        <v>114</v>
      </c>
      <c r="D17" s="627">
        <v>2.2400000000000002</v>
      </c>
      <c r="E17" s="627">
        <v>7.06</v>
      </c>
      <c r="F17" s="627">
        <v>5.64</v>
      </c>
      <c r="G17" s="627"/>
      <c r="H17" s="631">
        <f t="shared" si="0"/>
        <v>0.29460580912863071</v>
      </c>
    </row>
    <row r="18" spans="1:10" ht="15.75">
      <c r="A18" s="627">
        <v>16</v>
      </c>
      <c r="B18" s="627" t="s">
        <v>894</v>
      </c>
      <c r="C18" s="632" t="s">
        <v>817</v>
      </c>
      <c r="D18" s="627">
        <v>2.2599999999999998</v>
      </c>
      <c r="E18" s="627">
        <v>7.22</v>
      </c>
      <c r="F18" s="627">
        <v>5.89</v>
      </c>
      <c r="G18" s="627"/>
      <c r="H18" s="631">
        <f t="shared" si="0"/>
        <v>0.26814516129032262</v>
      </c>
    </row>
    <row r="19" spans="1:10" ht="15.75">
      <c r="A19" s="627">
        <v>17</v>
      </c>
      <c r="B19" s="627" t="s">
        <v>895</v>
      </c>
      <c r="C19" s="632" t="s">
        <v>112</v>
      </c>
      <c r="D19" s="633">
        <v>2.2999999999999998</v>
      </c>
      <c r="E19" s="627">
        <v>6.46</v>
      </c>
      <c r="F19" s="627">
        <v>5.7</v>
      </c>
      <c r="G19" s="627"/>
      <c r="H19" s="631">
        <f t="shared" si="0"/>
        <v>0.18269230769230763</v>
      </c>
    </row>
    <row r="20" spans="1:10" ht="15.75">
      <c r="A20" s="627">
        <v>18</v>
      </c>
      <c r="B20" s="627" t="s">
        <v>895</v>
      </c>
      <c r="C20" s="632" t="s">
        <v>114</v>
      </c>
      <c r="D20" s="627">
        <v>2.2799999999999998</v>
      </c>
      <c r="E20" s="627">
        <v>6.49</v>
      </c>
      <c r="F20" s="627">
        <v>5.36</v>
      </c>
      <c r="G20" s="627"/>
      <c r="H20" s="631">
        <f t="shared" si="0"/>
        <v>0.26840855106888351</v>
      </c>
    </row>
    <row r="21" spans="1:10" ht="15.75">
      <c r="A21" s="627">
        <v>19</v>
      </c>
      <c r="B21" s="627" t="s">
        <v>895</v>
      </c>
      <c r="C21" s="632" t="s">
        <v>817</v>
      </c>
      <c r="D21" s="627">
        <v>2.2799999999999998</v>
      </c>
      <c r="E21" s="627">
        <v>6.57</v>
      </c>
      <c r="F21" s="627">
        <v>5.55</v>
      </c>
      <c r="G21" s="627"/>
      <c r="H21" s="631">
        <f t="shared" si="0"/>
        <v>0.23776223776223782</v>
      </c>
    </row>
    <row r="22" spans="1:10" ht="15.75">
      <c r="A22" s="627">
        <v>20</v>
      </c>
      <c r="B22" s="627" t="s">
        <v>896</v>
      </c>
      <c r="C22" s="632" t="s">
        <v>112</v>
      </c>
      <c r="D22" s="633">
        <v>2.2999999999999998</v>
      </c>
      <c r="E22" s="627">
        <v>6.44</v>
      </c>
      <c r="F22" s="627">
        <v>5.03</v>
      </c>
      <c r="G22" s="627"/>
      <c r="H22" s="631">
        <f t="shared" si="0"/>
        <v>0.34057971014492755</v>
      </c>
    </row>
    <row r="23" spans="1:10" ht="15.75">
      <c r="A23" s="627">
        <v>21</v>
      </c>
      <c r="B23" s="627" t="s">
        <v>896</v>
      </c>
      <c r="C23" s="632" t="s">
        <v>114</v>
      </c>
      <c r="D23" s="627">
        <v>2.21</v>
      </c>
      <c r="E23" s="627">
        <v>5.87</v>
      </c>
      <c r="F23" s="627">
        <v>4.7</v>
      </c>
      <c r="G23" s="627"/>
      <c r="H23" s="631">
        <f t="shared" si="0"/>
        <v>0.31967213114754095</v>
      </c>
    </row>
    <row r="24" spans="1:10" ht="15.75">
      <c r="A24" s="627">
        <v>22</v>
      </c>
      <c r="B24" s="627" t="s">
        <v>896</v>
      </c>
      <c r="C24" s="632" t="s">
        <v>817</v>
      </c>
      <c r="D24" s="633">
        <v>2.2999999999999998</v>
      </c>
      <c r="E24" s="627">
        <v>6.4</v>
      </c>
      <c r="F24" s="627">
        <v>5.38</v>
      </c>
      <c r="G24" s="627"/>
      <c r="H24" s="631">
        <f t="shared" si="0"/>
        <v>0.24878048780487813</v>
      </c>
    </row>
    <row r="25" spans="1:10" ht="15.75">
      <c r="A25" s="627">
        <v>23</v>
      </c>
      <c r="B25" s="627" t="s">
        <v>897</v>
      </c>
      <c r="C25" s="632" t="s">
        <v>112</v>
      </c>
      <c r="D25" s="627">
        <v>2.27</v>
      </c>
      <c r="E25" s="627">
        <v>5.03</v>
      </c>
      <c r="F25" s="627">
        <v>3.78</v>
      </c>
      <c r="G25" s="627"/>
      <c r="H25" s="631">
        <f t="shared" si="0"/>
        <v>0.45289855072463781</v>
      </c>
    </row>
    <row r="26" spans="1:10" ht="15.75">
      <c r="A26" s="627">
        <v>24</v>
      </c>
      <c r="B26" s="627" t="s">
        <v>897</v>
      </c>
      <c r="C26" s="632" t="s">
        <v>114</v>
      </c>
      <c r="D26" s="627">
        <v>2.2599999999999998</v>
      </c>
      <c r="E26" s="627">
        <v>6.26</v>
      </c>
      <c r="F26" s="627">
        <v>4.8600000000000003</v>
      </c>
      <c r="G26" s="627"/>
      <c r="H26" s="631">
        <f t="shared" si="0"/>
        <v>0.34999999999999987</v>
      </c>
    </row>
    <row r="27" spans="1:10" ht="15.75">
      <c r="A27" s="627">
        <v>25</v>
      </c>
      <c r="B27" s="627" t="s">
        <v>897</v>
      </c>
      <c r="C27" s="632" t="s">
        <v>817</v>
      </c>
      <c r="D27" s="627">
        <v>2.2799999999999998</v>
      </c>
      <c r="E27" s="627">
        <v>7.75</v>
      </c>
      <c r="F27" s="627">
        <v>6.5</v>
      </c>
      <c r="G27" s="627"/>
      <c r="H27" s="631">
        <f t="shared" si="0"/>
        <v>0.22851919561243142</v>
      </c>
    </row>
    <row r="28" spans="1:10" ht="15.75">
      <c r="A28" s="627">
        <v>26</v>
      </c>
      <c r="B28" s="627" t="s">
        <v>898</v>
      </c>
      <c r="C28" s="632" t="s">
        <v>112</v>
      </c>
      <c r="D28" s="633">
        <v>2.2999999999999998</v>
      </c>
      <c r="E28" s="627">
        <v>6.53</v>
      </c>
      <c r="F28" s="627">
        <v>5.24</v>
      </c>
      <c r="G28" s="627"/>
      <c r="H28" s="631">
        <f t="shared" si="0"/>
        <v>0.30496453900709219</v>
      </c>
    </row>
    <row r="29" spans="1:10" ht="15.75">
      <c r="A29" s="627">
        <v>27</v>
      </c>
      <c r="B29" s="627" t="s">
        <v>898</v>
      </c>
      <c r="C29" s="632" t="s">
        <v>114</v>
      </c>
      <c r="D29" s="627">
        <v>2.29</v>
      </c>
      <c r="E29" s="627">
        <v>6.18</v>
      </c>
      <c r="F29" s="627">
        <v>4.8</v>
      </c>
      <c r="G29" s="627"/>
      <c r="H29" s="631">
        <f t="shared" si="0"/>
        <v>0.35475578406169667</v>
      </c>
    </row>
    <row r="30" spans="1:10" ht="15.75">
      <c r="A30" s="627">
        <v>28</v>
      </c>
      <c r="B30" s="627" t="s">
        <v>898</v>
      </c>
      <c r="C30" s="632" t="s">
        <v>817</v>
      </c>
      <c r="D30" s="627">
        <v>2.31</v>
      </c>
      <c r="E30" s="627">
        <v>6.22</v>
      </c>
      <c r="F30" s="627">
        <v>5.32</v>
      </c>
      <c r="G30" s="627"/>
      <c r="H30" s="631">
        <f t="shared" si="0"/>
        <v>0.23017902813299221</v>
      </c>
    </row>
    <row r="31" spans="1:10" ht="15.75">
      <c r="A31" s="627">
        <v>29</v>
      </c>
      <c r="B31" s="627" t="s">
        <v>899</v>
      </c>
      <c r="C31" s="632" t="s">
        <v>112</v>
      </c>
      <c r="D31" s="627">
        <v>2.2400000000000002</v>
      </c>
      <c r="E31" s="633">
        <v>6.5</v>
      </c>
      <c r="F31" s="627">
        <v>5.24</v>
      </c>
      <c r="G31" s="627"/>
      <c r="H31" s="631">
        <f t="shared" si="0"/>
        <v>0.29577464788732388</v>
      </c>
    </row>
    <row r="32" spans="1:10" ht="15.75">
      <c r="A32" s="627">
        <v>30</v>
      </c>
      <c r="B32" s="627" t="s">
        <v>899</v>
      </c>
      <c r="C32" s="632" t="s">
        <v>114</v>
      </c>
      <c r="D32" s="627">
        <v>2.36</v>
      </c>
      <c r="E32" s="633">
        <v>6.4</v>
      </c>
      <c r="F32" s="627">
        <v>4.99</v>
      </c>
      <c r="G32" s="627"/>
      <c r="H32" s="631">
        <f t="shared" si="0"/>
        <v>0.34900990099009899</v>
      </c>
      <c r="I32" s="627"/>
      <c r="J32" s="627"/>
    </row>
    <row r="33" spans="1:10" ht="15.75">
      <c r="A33" s="627">
        <v>31</v>
      </c>
      <c r="B33" s="627" t="s">
        <v>899</v>
      </c>
      <c r="C33" s="632" t="s">
        <v>817</v>
      </c>
      <c r="D33" s="627">
        <v>2.31</v>
      </c>
      <c r="E33" s="627">
        <v>6.54</v>
      </c>
      <c r="F33" s="627">
        <v>5.38</v>
      </c>
      <c r="G33" s="627"/>
      <c r="H33" s="631">
        <f t="shared" si="0"/>
        <v>0.27423167848699764</v>
      </c>
      <c r="I33" s="627"/>
      <c r="J33" s="627"/>
    </row>
    <row r="34" spans="1:10" ht="15.75">
      <c r="A34" s="627"/>
      <c r="B34" s="627"/>
      <c r="C34" s="627"/>
      <c r="D34" s="627"/>
      <c r="E34" s="627"/>
      <c r="F34" s="627"/>
      <c r="G34" s="627"/>
      <c r="H34" s="631"/>
      <c r="I34" s="627"/>
      <c r="J34" s="627"/>
    </row>
    <row r="35" spans="1:10" ht="15.75">
      <c r="A35" s="627" t="s">
        <v>107</v>
      </c>
      <c r="B35" s="634">
        <v>44174</v>
      </c>
      <c r="C35" s="627"/>
      <c r="D35" s="627"/>
      <c r="E35" s="627"/>
      <c r="F35" s="627"/>
      <c r="G35" s="627"/>
      <c r="H35" s="631"/>
      <c r="I35" s="627"/>
      <c r="J35" s="627"/>
    </row>
    <row r="36" spans="1:10" ht="31.5">
      <c r="A36" s="627"/>
      <c r="B36" s="628" t="s">
        <v>119</v>
      </c>
      <c r="C36" s="628" t="s">
        <v>38</v>
      </c>
      <c r="D36" s="629" t="s">
        <v>930</v>
      </c>
      <c r="E36" s="629" t="s">
        <v>931</v>
      </c>
      <c r="F36" s="629" t="s">
        <v>932</v>
      </c>
      <c r="G36" s="628"/>
      <c r="H36" s="630" t="s">
        <v>934</v>
      </c>
      <c r="I36" s="627"/>
      <c r="J36" s="627"/>
    </row>
    <row r="37" spans="1:10" ht="15.75">
      <c r="A37" s="627"/>
      <c r="B37" s="627"/>
      <c r="C37" s="627"/>
      <c r="D37" s="627"/>
      <c r="E37" s="627"/>
      <c r="F37" s="627"/>
      <c r="G37" s="627"/>
      <c r="H37" s="631"/>
      <c r="I37" s="627"/>
      <c r="J37" s="627"/>
    </row>
    <row r="38" spans="1:10" ht="15.75">
      <c r="A38" s="627">
        <v>1</v>
      </c>
      <c r="B38" s="627" t="s">
        <v>900</v>
      </c>
      <c r="C38" s="632" t="s">
        <v>112</v>
      </c>
      <c r="D38" s="627">
        <v>2.2400000000000002</v>
      </c>
      <c r="E38" s="627">
        <v>6.18</v>
      </c>
      <c r="F38" s="627">
        <v>5.31</v>
      </c>
      <c r="G38" s="627"/>
      <c r="H38" s="631">
        <f>(E38-F38)/(E38-D38)*100%</f>
        <v>0.2208121827411168</v>
      </c>
      <c r="I38" s="627"/>
      <c r="J38" s="627"/>
    </row>
    <row r="39" spans="1:10" ht="15.75">
      <c r="A39" s="627">
        <v>2</v>
      </c>
      <c r="B39" s="627" t="s">
        <v>900</v>
      </c>
      <c r="C39" s="632" t="s">
        <v>114</v>
      </c>
      <c r="D39" s="627">
        <v>2.25</v>
      </c>
      <c r="E39" s="627">
        <v>6.51</v>
      </c>
      <c r="F39" s="627">
        <v>5.5</v>
      </c>
      <c r="G39" s="627"/>
      <c r="H39" s="631">
        <f t="shared" ref="H39:H67" si="1">(E39-F39)/(E39-D39)*100%</f>
        <v>0.23708920187793422</v>
      </c>
      <c r="I39" s="627"/>
      <c r="J39" s="627"/>
    </row>
    <row r="40" spans="1:10" ht="15.75">
      <c r="A40" s="627">
        <v>3</v>
      </c>
      <c r="B40" s="627" t="s">
        <v>900</v>
      </c>
      <c r="C40" s="632" t="s">
        <v>817</v>
      </c>
      <c r="D40" s="627">
        <v>2.2799999999999998</v>
      </c>
      <c r="E40" s="627">
        <v>6.26</v>
      </c>
      <c r="F40" s="627">
        <v>5.6</v>
      </c>
      <c r="G40" s="627"/>
      <c r="H40" s="631">
        <f t="shared" si="1"/>
        <v>0.16582914572864324</v>
      </c>
      <c r="I40" s="627"/>
      <c r="J40" s="627"/>
    </row>
    <row r="41" spans="1:10" ht="15.75">
      <c r="A41" s="627">
        <v>4</v>
      </c>
      <c r="B41" s="627" t="s">
        <v>901</v>
      </c>
      <c r="C41" s="632" t="s">
        <v>112</v>
      </c>
      <c r="D41" s="627">
        <v>2.2200000000000002</v>
      </c>
      <c r="E41" s="627">
        <v>6.36</v>
      </c>
      <c r="F41" s="627">
        <v>5.38</v>
      </c>
      <c r="G41" s="627"/>
      <c r="H41" s="631">
        <f t="shared" si="1"/>
        <v>0.23671497584541071</v>
      </c>
      <c r="I41" s="627"/>
      <c r="J41" s="627"/>
    </row>
    <row r="42" spans="1:10" ht="15.75">
      <c r="A42" s="627">
        <v>5</v>
      </c>
      <c r="B42" s="627" t="s">
        <v>901</v>
      </c>
      <c r="C42" s="632" t="s">
        <v>114</v>
      </c>
      <c r="D42" s="627">
        <v>2.27</v>
      </c>
      <c r="E42" s="627">
        <v>6.28</v>
      </c>
      <c r="F42" s="627">
        <v>5.28</v>
      </c>
      <c r="G42" s="627"/>
      <c r="H42" s="631">
        <f t="shared" si="1"/>
        <v>0.24937655860349128</v>
      </c>
      <c r="I42" s="627"/>
      <c r="J42" s="627"/>
    </row>
    <row r="43" spans="1:10" ht="15.75">
      <c r="A43" s="627">
        <v>6</v>
      </c>
      <c r="B43" s="627" t="s">
        <v>901</v>
      </c>
      <c r="C43" s="632" t="s">
        <v>817</v>
      </c>
      <c r="D43" s="627">
        <v>2.23</v>
      </c>
      <c r="E43" s="627">
        <v>7.04</v>
      </c>
      <c r="F43" s="627">
        <v>5.84</v>
      </c>
      <c r="G43" s="627"/>
      <c r="H43" s="631">
        <f t="shared" si="1"/>
        <v>0.24948024948024949</v>
      </c>
      <c r="I43" s="627"/>
      <c r="J43" s="627"/>
    </row>
    <row r="44" spans="1:10" ht="15.75">
      <c r="A44" s="627">
        <v>7</v>
      </c>
      <c r="B44" s="627" t="s">
        <v>902</v>
      </c>
      <c r="C44" s="632" t="s">
        <v>112</v>
      </c>
      <c r="D44" s="627">
        <v>2.2400000000000002</v>
      </c>
      <c r="E44" s="627">
        <v>6.49</v>
      </c>
      <c r="F44" s="627">
        <v>5.25</v>
      </c>
      <c r="G44" s="627"/>
      <c r="H44" s="631">
        <f t="shared" si="1"/>
        <v>0.29176470588235298</v>
      </c>
      <c r="I44" s="627"/>
      <c r="J44" s="627"/>
    </row>
    <row r="45" spans="1:10" ht="15.75">
      <c r="A45" s="627">
        <v>8</v>
      </c>
      <c r="B45" s="627" t="s">
        <v>902</v>
      </c>
      <c r="C45" s="632" t="s">
        <v>114</v>
      </c>
      <c r="D45" s="627">
        <v>2.33</v>
      </c>
      <c r="E45" s="627">
        <v>6.21</v>
      </c>
      <c r="F45" s="627">
        <v>5.26</v>
      </c>
      <c r="G45" s="627"/>
      <c r="H45" s="631">
        <f t="shared" si="1"/>
        <v>0.24484536082474231</v>
      </c>
      <c r="I45" s="627"/>
      <c r="J45" s="627"/>
    </row>
    <row r="46" spans="1:10" ht="15.75">
      <c r="A46" s="627">
        <v>9</v>
      </c>
      <c r="B46" s="627" t="s">
        <v>902</v>
      </c>
      <c r="C46" s="632" t="s">
        <v>817</v>
      </c>
      <c r="D46" s="627">
        <v>2.2200000000000002</v>
      </c>
      <c r="E46" s="627">
        <v>6.46</v>
      </c>
      <c r="F46" s="627">
        <v>5.41</v>
      </c>
      <c r="G46" s="627"/>
      <c r="H46" s="631">
        <f t="shared" si="1"/>
        <v>0.24764150943396221</v>
      </c>
      <c r="I46" s="627"/>
      <c r="J46" s="627"/>
    </row>
    <row r="47" spans="1:10" ht="15.75">
      <c r="A47" s="627">
        <v>10</v>
      </c>
      <c r="B47" s="627" t="s">
        <v>81</v>
      </c>
      <c r="C47" s="632" t="s">
        <v>112</v>
      </c>
      <c r="D47" s="627">
        <v>2.2400000000000002</v>
      </c>
      <c r="E47" s="627">
        <v>6.27</v>
      </c>
      <c r="F47" s="627">
        <v>5.28</v>
      </c>
      <c r="G47" s="627"/>
      <c r="H47" s="631">
        <f t="shared" si="1"/>
        <v>0.24565756823821328</v>
      </c>
      <c r="I47" s="627"/>
      <c r="J47" s="627"/>
    </row>
    <row r="48" spans="1:10" ht="15.75">
      <c r="A48" s="627">
        <v>11</v>
      </c>
      <c r="B48" s="627" t="s">
        <v>81</v>
      </c>
      <c r="C48" s="632" t="s">
        <v>114</v>
      </c>
      <c r="D48" s="627">
        <v>2.2200000000000002</v>
      </c>
      <c r="E48" s="627">
        <v>6.41</v>
      </c>
      <c r="F48" s="627">
        <v>5.57</v>
      </c>
      <c r="G48" s="627"/>
      <c r="H48" s="631">
        <f t="shared" si="1"/>
        <v>0.20047732696897375</v>
      </c>
      <c r="I48" s="627"/>
      <c r="J48" s="627"/>
    </row>
    <row r="49" spans="1:10" ht="15.75">
      <c r="A49" s="627">
        <v>12</v>
      </c>
      <c r="B49" s="627" t="s">
        <v>81</v>
      </c>
      <c r="C49" s="632" t="s">
        <v>817</v>
      </c>
      <c r="D49" s="627">
        <v>2.27</v>
      </c>
      <c r="E49" s="627">
        <v>6.41</v>
      </c>
      <c r="F49" s="627">
        <v>5.46</v>
      </c>
      <c r="G49" s="627"/>
      <c r="H49" s="631">
        <f t="shared" si="1"/>
        <v>0.22946859903381644</v>
      </c>
      <c r="I49" s="627"/>
      <c r="J49" s="627"/>
    </row>
    <row r="50" spans="1:10" ht="15.75">
      <c r="A50" s="627">
        <v>13</v>
      </c>
      <c r="B50" s="627" t="s">
        <v>903</v>
      </c>
      <c r="C50" s="632" t="s">
        <v>112</v>
      </c>
      <c r="D50" s="627">
        <v>2.27</v>
      </c>
      <c r="E50" s="627">
        <v>6.79</v>
      </c>
      <c r="F50" s="627">
        <v>5.33</v>
      </c>
      <c r="G50" s="627"/>
      <c r="H50" s="631">
        <f t="shared" si="1"/>
        <v>0.32300884955752213</v>
      </c>
      <c r="I50" s="627"/>
      <c r="J50" s="627"/>
    </row>
    <row r="51" spans="1:10" ht="15.75">
      <c r="A51" s="627">
        <v>14</v>
      </c>
      <c r="B51" s="627" t="s">
        <v>903</v>
      </c>
      <c r="C51" s="632" t="s">
        <v>114</v>
      </c>
      <c r="D51" s="627">
        <v>2.2400000000000002</v>
      </c>
      <c r="E51" s="627">
        <v>6.38</v>
      </c>
      <c r="F51" s="633">
        <v>5</v>
      </c>
      <c r="G51" s="627"/>
      <c r="H51" s="631">
        <f t="shared" si="1"/>
        <v>0.33333333333333331</v>
      </c>
      <c r="I51" s="627"/>
      <c r="J51" s="627"/>
    </row>
    <row r="52" spans="1:10" ht="15.75">
      <c r="A52" s="627">
        <v>15</v>
      </c>
      <c r="B52" s="627" t="s">
        <v>903</v>
      </c>
      <c r="C52" s="632" t="s">
        <v>817</v>
      </c>
      <c r="D52" s="627">
        <v>2.29</v>
      </c>
      <c r="E52" s="627">
        <v>5.99</v>
      </c>
      <c r="F52" s="627">
        <v>5.05</v>
      </c>
      <c r="G52" s="627"/>
      <c r="H52" s="631">
        <f t="shared" si="1"/>
        <v>0.25405405405405412</v>
      </c>
      <c r="I52" s="627"/>
      <c r="J52" s="627"/>
    </row>
    <row r="53" spans="1:10" ht="15.75">
      <c r="A53" s="627">
        <v>16</v>
      </c>
      <c r="B53" s="627" t="s">
        <v>904</v>
      </c>
      <c r="C53" s="632" t="s">
        <v>112</v>
      </c>
      <c r="D53" s="627">
        <v>2.27</v>
      </c>
      <c r="E53" s="627">
        <v>6.07</v>
      </c>
      <c r="F53" s="627">
        <v>5.26</v>
      </c>
      <c r="G53" s="627"/>
      <c r="H53" s="631">
        <f t="shared" si="1"/>
        <v>0.21315789473684221</v>
      </c>
      <c r="I53" s="627"/>
      <c r="J53" s="627"/>
    </row>
    <row r="54" spans="1:10" ht="15.75">
      <c r="A54" s="627">
        <v>17</v>
      </c>
      <c r="B54" s="627" t="s">
        <v>904</v>
      </c>
      <c r="C54" s="632" t="s">
        <v>114</v>
      </c>
      <c r="D54" s="627">
        <v>2.29</v>
      </c>
      <c r="E54" s="627">
        <v>6.74</v>
      </c>
      <c r="F54" s="627">
        <v>6.01</v>
      </c>
      <c r="G54" s="627"/>
      <c r="H54" s="631">
        <f t="shared" si="1"/>
        <v>0.1640449438202248</v>
      </c>
      <c r="I54" s="627"/>
      <c r="J54" s="627"/>
    </row>
    <row r="55" spans="1:10" ht="15.75">
      <c r="A55" s="627">
        <v>18</v>
      </c>
      <c r="B55" s="627" t="s">
        <v>904</v>
      </c>
      <c r="C55" s="632" t="s">
        <v>817</v>
      </c>
      <c r="D55" s="627">
        <v>2.2799999999999998</v>
      </c>
      <c r="E55" s="627">
        <v>6.02</v>
      </c>
      <c r="F55" s="627">
        <v>5.47</v>
      </c>
      <c r="G55" s="627"/>
      <c r="H55" s="631">
        <f t="shared" si="1"/>
        <v>0.14705882352941171</v>
      </c>
      <c r="I55" s="627"/>
      <c r="J55" s="627"/>
    </row>
    <row r="56" spans="1:10" ht="15.75">
      <c r="A56" s="627">
        <v>19</v>
      </c>
      <c r="B56" s="627" t="s">
        <v>904</v>
      </c>
      <c r="C56" s="632" t="s">
        <v>818</v>
      </c>
      <c r="D56" s="627">
        <v>2.27</v>
      </c>
      <c r="E56" s="627">
        <v>6.46</v>
      </c>
      <c r="F56" s="627">
        <v>5.74</v>
      </c>
      <c r="G56" s="627"/>
      <c r="H56" s="631">
        <f t="shared" si="1"/>
        <v>0.17183770883054889</v>
      </c>
      <c r="I56" s="627"/>
      <c r="J56" s="627"/>
    </row>
    <row r="57" spans="1:10" ht="15.75">
      <c r="A57" s="627">
        <v>20</v>
      </c>
      <c r="B57" s="627" t="s">
        <v>904</v>
      </c>
      <c r="C57" s="632" t="s">
        <v>905</v>
      </c>
      <c r="D57" s="633">
        <v>2.2999999999999998</v>
      </c>
      <c r="E57" s="627">
        <v>6.38</v>
      </c>
      <c r="F57" s="627">
        <v>5.69</v>
      </c>
      <c r="G57" s="627"/>
      <c r="H57" s="631">
        <f t="shared" si="1"/>
        <v>0.1691176470588234</v>
      </c>
      <c r="I57" s="627"/>
      <c r="J57" s="627"/>
    </row>
    <row r="58" spans="1:10" ht="15.75">
      <c r="A58" s="627">
        <v>21</v>
      </c>
      <c r="B58" s="627" t="s">
        <v>906</v>
      </c>
      <c r="C58" s="632" t="s">
        <v>112</v>
      </c>
      <c r="D58" s="633">
        <v>2.2999999999999998</v>
      </c>
      <c r="E58" s="627">
        <v>6.45</v>
      </c>
      <c r="F58" s="627">
        <v>5.74</v>
      </c>
      <c r="G58" s="627"/>
      <c r="H58" s="631">
        <f t="shared" si="1"/>
        <v>0.17108433734939757</v>
      </c>
      <c r="I58" s="627"/>
      <c r="J58" s="627"/>
    </row>
    <row r="59" spans="1:10" ht="15.75">
      <c r="A59" s="627">
        <v>22</v>
      </c>
      <c r="B59" s="627" t="s">
        <v>906</v>
      </c>
      <c r="C59" s="632" t="s">
        <v>114</v>
      </c>
      <c r="D59" s="627">
        <v>2.2200000000000002</v>
      </c>
      <c r="E59" s="627">
        <v>6.32</v>
      </c>
      <c r="F59" s="627">
        <v>5.61</v>
      </c>
      <c r="G59" s="627"/>
      <c r="H59" s="631">
        <f t="shared" si="1"/>
        <v>0.17317073170731709</v>
      </c>
      <c r="I59" s="627"/>
      <c r="J59" s="627"/>
    </row>
    <row r="60" spans="1:10" ht="15.75">
      <c r="A60" s="627">
        <v>23</v>
      </c>
      <c r="B60" s="627" t="s">
        <v>906</v>
      </c>
      <c r="C60" s="632" t="s">
        <v>817</v>
      </c>
      <c r="D60" s="627">
        <v>2.2799999999999998</v>
      </c>
      <c r="E60" s="627">
        <v>6.03</v>
      </c>
      <c r="F60" s="633">
        <v>5.4</v>
      </c>
      <c r="G60" s="627"/>
      <c r="H60" s="631">
        <f t="shared" si="1"/>
        <v>0.16799999999999995</v>
      </c>
      <c r="I60" s="627"/>
      <c r="J60" s="627"/>
    </row>
    <row r="61" spans="1:10" ht="15.75">
      <c r="A61" s="627">
        <v>24</v>
      </c>
      <c r="B61" s="627" t="s">
        <v>906</v>
      </c>
      <c r="C61" s="632" t="s">
        <v>818</v>
      </c>
      <c r="D61" s="627">
        <v>2.2599999999999998</v>
      </c>
      <c r="E61" s="627">
        <v>6.65</v>
      </c>
      <c r="F61" s="627">
        <v>6.09</v>
      </c>
      <c r="G61" s="627"/>
      <c r="H61" s="631">
        <f t="shared" si="1"/>
        <v>0.1275626423690206</v>
      </c>
      <c r="I61" s="627"/>
      <c r="J61" s="627"/>
    </row>
    <row r="62" spans="1:10" ht="15.75">
      <c r="A62" s="627">
        <v>25</v>
      </c>
      <c r="B62" s="627" t="s">
        <v>906</v>
      </c>
      <c r="C62" s="632" t="s">
        <v>905</v>
      </c>
      <c r="D62" s="627">
        <v>2.2799999999999998</v>
      </c>
      <c r="E62" s="627">
        <v>6.37</v>
      </c>
      <c r="F62" s="633">
        <v>5.9</v>
      </c>
      <c r="G62" s="627"/>
      <c r="H62" s="631">
        <f t="shared" si="1"/>
        <v>0.11491442542787281</v>
      </c>
      <c r="I62" s="627"/>
      <c r="J62" s="627"/>
    </row>
    <row r="63" spans="1:10" ht="15.75">
      <c r="A63" s="627">
        <v>26</v>
      </c>
      <c r="B63" s="627" t="s">
        <v>907</v>
      </c>
      <c r="C63" s="632" t="s">
        <v>112</v>
      </c>
      <c r="D63" s="633">
        <v>2.2999999999999998</v>
      </c>
      <c r="E63" s="627">
        <v>6.31</v>
      </c>
      <c r="F63" s="627">
        <v>5.44</v>
      </c>
      <c r="G63" s="627"/>
      <c r="H63" s="631">
        <f t="shared" si="1"/>
        <v>0.21695760598503722</v>
      </c>
      <c r="I63" s="627"/>
      <c r="J63" s="627"/>
    </row>
    <row r="64" spans="1:10" ht="15.75">
      <c r="A64" s="627">
        <v>27</v>
      </c>
      <c r="B64" s="627" t="s">
        <v>907</v>
      </c>
      <c r="C64" s="632" t="s">
        <v>114</v>
      </c>
      <c r="D64" s="627">
        <v>2.29</v>
      </c>
      <c r="E64" s="627">
        <v>6.19</v>
      </c>
      <c r="F64" s="627">
        <v>5.53</v>
      </c>
      <c r="G64" s="627"/>
      <c r="H64" s="631">
        <f t="shared" si="1"/>
        <v>0.16923076923076924</v>
      </c>
      <c r="I64" s="627"/>
      <c r="J64" s="627"/>
    </row>
    <row r="65" spans="1:10" ht="15.75">
      <c r="A65" s="627">
        <v>28</v>
      </c>
      <c r="B65" s="627" t="s">
        <v>907</v>
      </c>
      <c r="C65" s="632" t="s">
        <v>817</v>
      </c>
      <c r="D65" s="627">
        <v>2.31</v>
      </c>
      <c r="E65" s="627">
        <v>6.42</v>
      </c>
      <c r="F65" s="627">
        <v>5.86</v>
      </c>
      <c r="G65" s="627"/>
      <c r="H65" s="631">
        <f t="shared" si="1"/>
        <v>0.13625304136253033</v>
      </c>
      <c r="I65" s="627"/>
      <c r="J65" s="627"/>
    </row>
    <row r="66" spans="1:10" ht="15.75">
      <c r="A66" s="627">
        <v>29</v>
      </c>
      <c r="B66" s="627" t="s">
        <v>907</v>
      </c>
      <c r="C66" s="632" t="s">
        <v>818</v>
      </c>
      <c r="D66" s="627">
        <v>2.25</v>
      </c>
      <c r="E66" s="627">
        <v>6.78</v>
      </c>
      <c r="F66" s="627">
        <v>6.17</v>
      </c>
      <c r="G66" s="627"/>
      <c r="H66" s="631">
        <f t="shared" si="1"/>
        <v>0.13465783664459166</v>
      </c>
      <c r="I66" s="627"/>
      <c r="J66" s="627"/>
    </row>
    <row r="67" spans="1:10" ht="15.75">
      <c r="A67" s="627">
        <v>30</v>
      </c>
      <c r="B67" s="627" t="s">
        <v>907</v>
      </c>
      <c r="C67" s="632" t="s">
        <v>905</v>
      </c>
      <c r="D67" s="627">
        <v>2.35</v>
      </c>
      <c r="E67" s="633">
        <v>6.8</v>
      </c>
      <c r="F67" s="627">
        <v>6.24</v>
      </c>
      <c r="G67" s="627"/>
      <c r="H67" s="631">
        <f t="shared" si="1"/>
        <v>0.12584269662921341</v>
      </c>
      <c r="I67" s="627"/>
      <c r="J67" s="627"/>
    </row>
    <row r="68" spans="1:10" ht="15.75">
      <c r="A68" s="627"/>
      <c r="B68" s="627"/>
      <c r="C68" s="627"/>
      <c r="D68" s="627"/>
      <c r="E68" s="627"/>
      <c r="F68" s="627"/>
      <c r="G68" s="627"/>
      <c r="H68" s="631"/>
      <c r="I68" s="627"/>
      <c r="J68" s="627"/>
    </row>
    <row r="69" spans="1:10" ht="15.75">
      <c r="A69" s="627" t="s">
        <v>107</v>
      </c>
      <c r="B69" s="634">
        <v>44175</v>
      </c>
      <c r="C69" s="627"/>
      <c r="D69" s="627"/>
      <c r="E69" s="627"/>
      <c r="F69" s="627"/>
      <c r="G69" s="627"/>
      <c r="H69" s="631"/>
      <c r="I69" s="627"/>
      <c r="J69" s="627"/>
    </row>
    <row r="70" spans="1:10" ht="31.5">
      <c r="A70" s="627"/>
      <c r="B70" s="628" t="s">
        <v>119</v>
      </c>
      <c r="C70" s="628" t="s">
        <v>38</v>
      </c>
      <c r="D70" s="629" t="s">
        <v>930</v>
      </c>
      <c r="E70" s="629" t="s">
        <v>931</v>
      </c>
      <c r="F70" s="629" t="s">
        <v>932</v>
      </c>
      <c r="G70" s="628"/>
      <c r="H70" s="630" t="s">
        <v>934</v>
      </c>
      <c r="I70" s="627"/>
      <c r="J70" s="627"/>
    </row>
    <row r="71" spans="1:10" ht="15.75">
      <c r="A71" s="627"/>
      <c r="B71" s="627"/>
      <c r="C71" s="627"/>
      <c r="D71" s="627"/>
      <c r="E71" s="627"/>
      <c r="F71" s="627"/>
      <c r="G71" s="627"/>
      <c r="H71" s="631"/>
      <c r="I71" s="627"/>
      <c r="J71" s="627"/>
    </row>
    <row r="72" spans="1:10" ht="15.75">
      <c r="A72" s="627">
        <v>1</v>
      </c>
      <c r="B72" s="627" t="s">
        <v>754</v>
      </c>
      <c r="C72" s="632" t="s">
        <v>114</v>
      </c>
      <c r="D72" s="627">
        <v>2.2400000000000002</v>
      </c>
      <c r="E72" s="627">
        <v>6.33</v>
      </c>
      <c r="F72" s="627">
        <v>5.23</v>
      </c>
      <c r="G72" s="627"/>
      <c r="H72" s="631">
        <f>(E72-F72)/(E72-D72)*100%</f>
        <v>0.26894865525672362</v>
      </c>
      <c r="I72" s="627"/>
      <c r="J72" s="627"/>
    </row>
    <row r="73" spans="1:10" ht="15.75">
      <c r="A73" s="627">
        <v>2</v>
      </c>
      <c r="B73" s="627" t="s">
        <v>754</v>
      </c>
      <c r="C73" s="632" t="s">
        <v>817</v>
      </c>
      <c r="D73" s="627">
        <v>2.25</v>
      </c>
      <c r="E73" s="627">
        <v>6.29</v>
      </c>
      <c r="F73" s="627">
        <v>5.28</v>
      </c>
      <c r="G73" s="627"/>
      <c r="H73" s="631">
        <f t="shared" ref="H73:H102" si="2">(E73-F73)/(E73-D73)*100%</f>
        <v>0.24999999999999994</v>
      </c>
      <c r="I73" s="627"/>
      <c r="J73" s="627"/>
    </row>
    <row r="74" spans="1:10" ht="15.75">
      <c r="A74" s="627">
        <v>3</v>
      </c>
      <c r="B74" s="627" t="s">
        <v>87</v>
      </c>
      <c r="C74" s="632" t="s">
        <v>112</v>
      </c>
      <c r="D74" s="627">
        <v>2.2799999999999998</v>
      </c>
      <c r="E74" s="627">
        <v>6.17</v>
      </c>
      <c r="F74" s="627">
        <v>5.33</v>
      </c>
      <c r="G74" s="627"/>
      <c r="H74" s="631">
        <f t="shared" si="2"/>
        <v>0.21593830334190228</v>
      </c>
      <c r="I74" s="627"/>
      <c r="J74" s="627"/>
    </row>
    <row r="75" spans="1:10" ht="15.75">
      <c r="A75" s="627">
        <v>4</v>
      </c>
      <c r="B75" s="627" t="s">
        <v>87</v>
      </c>
      <c r="C75" s="632" t="s">
        <v>114</v>
      </c>
      <c r="D75" s="627">
        <v>2.23</v>
      </c>
      <c r="E75" s="627">
        <v>6.28</v>
      </c>
      <c r="F75" s="627">
        <v>5.42</v>
      </c>
      <c r="G75" s="627"/>
      <c r="H75" s="631">
        <f t="shared" si="2"/>
        <v>0.21234567901234572</v>
      </c>
      <c r="I75" s="627"/>
      <c r="J75" s="627"/>
    </row>
    <row r="76" spans="1:10" ht="15.75">
      <c r="A76" s="627">
        <v>5</v>
      </c>
      <c r="B76" s="627" t="s">
        <v>88</v>
      </c>
      <c r="C76" s="632" t="s">
        <v>112</v>
      </c>
      <c r="D76" s="627">
        <v>2.27</v>
      </c>
      <c r="E76" s="627">
        <v>6.23</v>
      </c>
      <c r="F76" s="633">
        <v>5.5</v>
      </c>
      <c r="G76" s="627"/>
      <c r="H76" s="631">
        <f t="shared" si="2"/>
        <v>0.18434343434343442</v>
      </c>
      <c r="I76" s="627"/>
      <c r="J76" s="627"/>
    </row>
    <row r="77" spans="1:10" ht="15.75">
      <c r="A77" s="627">
        <v>6</v>
      </c>
      <c r="B77" s="627" t="s">
        <v>88</v>
      </c>
      <c r="C77" s="632" t="s">
        <v>114</v>
      </c>
      <c r="D77" s="627">
        <v>2.23</v>
      </c>
      <c r="E77" s="627">
        <v>6.26</v>
      </c>
      <c r="F77" s="627">
        <v>5.42</v>
      </c>
      <c r="G77" s="627"/>
      <c r="H77" s="631">
        <f t="shared" si="2"/>
        <v>0.20843672456575682</v>
      </c>
      <c r="I77" s="627"/>
      <c r="J77" s="627"/>
    </row>
    <row r="78" spans="1:10" ht="15.75">
      <c r="A78" s="627">
        <v>7</v>
      </c>
      <c r="B78" s="627" t="s">
        <v>88</v>
      </c>
      <c r="C78" s="632" t="s">
        <v>817</v>
      </c>
      <c r="D78" s="627">
        <v>2.2400000000000002</v>
      </c>
      <c r="E78" s="627">
        <v>6.17</v>
      </c>
      <c r="F78" s="627">
        <v>5.42</v>
      </c>
      <c r="G78" s="627"/>
      <c r="H78" s="631">
        <f t="shared" si="2"/>
        <v>0.19083969465648856</v>
      </c>
      <c r="I78" s="627"/>
      <c r="J78" s="627"/>
    </row>
    <row r="79" spans="1:10" ht="15.75">
      <c r="A79" s="627">
        <v>8</v>
      </c>
      <c r="B79" s="627" t="s">
        <v>89</v>
      </c>
      <c r="C79" s="632" t="s">
        <v>112</v>
      </c>
      <c r="D79" s="627">
        <v>2.2799999999999998</v>
      </c>
      <c r="E79" s="627">
        <v>6.25</v>
      </c>
      <c r="F79" s="627">
        <v>5.12</v>
      </c>
      <c r="G79" s="627"/>
      <c r="H79" s="631">
        <f t="shared" si="2"/>
        <v>0.28463476070528965</v>
      </c>
      <c r="I79" s="627"/>
      <c r="J79" s="627"/>
    </row>
    <row r="80" spans="1:10" ht="15.75">
      <c r="A80" s="627">
        <v>9</v>
      </c>
      <c r="B80" s="627" t="s">
        <v>89</v>
      </c>
      <c r="C80" s="632" t="s">
        <v>114</v>
      </c>
      <c r="D80" s="627">
        <v>2.2200000000000002</v>
      </c>
      <c r="E80" s="633">
        <v>6.5</v>
      </c>
      <c r="F80" s="627">
        <v>5.37</v>
      </c>
      <c r="G80" s="627"/>
      <c r="H80" s="631">
        <f t="shared" si="2"/>
        <v>0.26401869158878505</v>
      </c>
      <c r="I80" s="627"/>
      <c r="J80" s="627"/>
    </row>
    <row r="81" spans="1:10" ht="15.75">
      <c r="A81" s="627">
        <v>10</v>
      </c>
      <c r="B81" s="627" t="s">
        <v>89</v>
      </c>
      <c r="C81" s="632" t="s">
        <v>817</v>
      </c>
      <c r="D81" s="627">
        <v>2.2400000000000002</v>
      </c>
      <c r="E81" s="627">
        <v>6.76</v>
      </c>
      <c r="F81" s="627">
        <v>5.52</v>
      </c>
      <c r="G81" s="627"/>
      <c r="H81" s="631">
        <f t="shared" si="2"/>
        <v>0.2743362831858408</v>
      </c>
      <c r="I81" s="627"/>
      <c r="J81" s="627"/>
    </row>
    <row r="82" spans="1:10" ht="15.75">
      <c r="A82" s="627">
        <v>11</v>
      </c>
      <c r="B82" s="627" t="s">
        <v>908</v>
      </c>
      <c r="C82" s="632" t="s">
        <v>112</v>
      </c>
      <c r="D82" s="627">
        <v>2.2200000000000002</v>
      </c>
      <c r="E82" s="633">
        <v>6.5</v>
      </c>
      <c r="F82" s="627">
        <v>5.37</v>
      </c>
      <c r="G82" s="627"/>
      <c r="H82" s="631">
        <f t="shared" si="2"/>
        <v>0.26401869158878505</v>
      </c>
      <c r="I82" s="627"/>
      <c r="J82" s="627"/>
    </row>
    <row r="83" spans="1:10" ht="15.75">
      <c r="A83" s="627">
        <v>12</v>
      </c>
      <c r="B83" s="627" t="s">
        <v>908</v>
      </c>
      <c r="C83" s="632" t="s">
        <v>114</v>
      </c>
      <c r="D83" s="627">
        <v>2.2599999999999998</v>
      </c>
      <c r="E83" s="627">
        <v>6.38</v>
      </c>
      <c r="F83" s="627">
        <v>5.31</v>
      </c>
      <c r="G83" s="627"/>
      <c r="H83" s="631">
        <f t="shared" si="2"/>
        <v>0.25970873786407772</v>
      </c>
      <c r="I83" s="627"/>
      <c r="J83" s="627"/>
    </row>
    <row r="84" spans="1:10" ht="15.75">
      <c r="A84" s="627">
        <v>13</v>
      </c>
      <c r="B84" s="627" t="s">
        <v>908</v>
      </c>
      <c r="C84" s="632" t="s">
        <v>817</v>
      </c>
      <c r="D84" s="627">
        <v>2.2599999999999998</v>
      </c>
      <c r="E84" s="627">
        <v>6.3</v>
      </c>
      <c r="F84" s="627">
        <v>5.55</v>
      </c>
      <c r="G84" s="627"/>
      <c r="H84" s="631">
        <f t="shared" si="2"/>
        <v>0.18564356435643564</v>
      </c>
      <c r="I84" s="627"/>
      <c r="J84" s="627"/>
    </row>
    <row r="85" spans="1:10" ht="15.75">
      <c r="A85" s="627">
        <v>14</v>
      </c>
      <c r="B85" s="627" t="s">
        <v>82</v>
      </c>
      <c r="C85" s="632" t="s">
        <v>112</v>
      </c>
      <c r="D85" s="627">
        <v>2.2400000000000002</v>
      </c>
      <c r="E85" s="627">
        <v>6.74</v>
      </c>
      <c r="F85" s="627">
        <v>5.47</v>
      </c>
      <c r="G85" s="627"/>
      <c r="H85" s="631">
        <f t="shared" si="2"/>
        <v>0.28222222222222232</v>
      </c>
      <c r="I85" s="627"/>
      <c r="J85" s="627"/>
    </row>
    <row r="86" spans="1:10" ht="15.75">
      <c r="A86" s="627">
        <v>15</v>
      </c>
      <c r="B86" s="627" t="s">
        <v>82</v>
      </c>
      <c r="C86" s="632" t="s">
        <v>114</v>
      </c>
      <c r="D86" s="627">
        <v>2.29</v>
      </c>
      <c r="E86" s="627">
        <v>6.09</v>
      </c>
      <c r="F86" s="627">
        <v>5.04</v>
      </c>
      <c r="G86" s="627"/>
      <c r="H86" s="631">
        <f t="shared" si="2"/>
        <v>0.27631578947368418</v>
      </c>
      <c r="I86" s="627"/>
      <c r="J86" s="627"/>
    </row>
    <row r="87" spans="1:10" ht="15.75">
      <c r="A87" s="627">
        <v>16</v>
      </c>
      <c r="B87" s="627" t="s">
        <v>82</v>
      </c>
      <c r="C87" s="632" t="s">
        <v>817</v>
      </c>
      <c r="D87" s="627">
        <v>2.2599999999999998</v>
      </c>
      <c r="E87" s="627">
        <v>6.11</v>
      </c>
      <c r="F87" s="627">
        <v>5.24</v>
      </c>
      <c r="G87" s="627"/>
      <c r="H87" s="631">
        <f t="shared" si="2"/>
        <v>0.22597402597402597</v>
      </c>
      <c r="I87" s="627"/>
      <c r="J87" s="627"/>
    </row>
    <row r="88" spans="1:10" ht="15.75">
      <c r="A88" s="627">
        <v>17</v>
      </c>
      <c r="B88" s="627" t="s">
        <v>909</v>
      </c>
      <c r="C88" s="632" t="s">
        <v>112</v>
      </c>
      <c r="D88" s="633">
        <v>2.2999999999999998</v>
      </c>
      <c r="E88" s="627">
        <v>6.71</v>
      </c>
      <c r="F88" s="627">
        <v>5.84</v>
      </c>
      <c r="G88" s="627"/>
      <c r="H88" s="631">
        <f t="shared" si="2"/>
        <v>0.19727891156462588</v>
      </c>
      <c r="I88" s="627"/>
      <c r="J88" s="627"/>
    </row>
    <row r="89" spans="1:10" ht="15.75">
      <c r="A89" s="627">
        <v>18</v>
      </c>
      <c r="B89" s="627" t="s">
        <v>909</v>
      </c>
      <c r="C89" s="632" t="s">
        <v>114</v>
      </c>
      <c r="D89" s="627">
        <v>2.2799999999999998</v>
      </c>
      <c r="E89" s="627">
        <v>7.11</v>
      </c>
      <c r="F89" s="627">
        <v>6.33</v>
      </c>
      <c r="G89" s="627"/>
      <c r="H89" s="631">
        <f t="shared" si="2"/>
        <v>0.16149068322981372</v>
      </c>
      <c r="I89" s="627"/>
      <c r="J89" s="627"/>
    </row>
    <row r="90" spans="1:10" ht="15.75">
      <c r="A90" s="627">
        <v>19</v>
      </c>
      <c r="B90" s="627" t="s">
        <v>909</v>
      </c>
      <c r="C90" s="632" t="s">
        <v>817</v>
      </c>
      <c r="D90" s="627">
        <v>2.27</v>
      </c>
      <c r="E90" s="627">
        <v>6.66</v>
      </c>
      <c r="F90" s="627">
        <v>5.95</v>
      </c>
      <c r="G90" s="627"/>
      <c r="H90" s="631">
        <f t="shared" si="2"/>
        <v>0.16173120728929383</v>
      </c>
      <c r="I90" s="627"/>
      <c r="J90" s="627"/>
    </row>
    <row r="91" spans="1:10" ht="15.75">
      <c r="A91" s="627">
        <v>20</v>
      </c>
      <c r="B91" s="627" t="s">
        <v>909</v>
      </c>
      <c r="C91" s="632" t="s">
        <v>818</v>
      </c>
      <c r="D91" s="633">
        <v>2.2999999999999998</v>
      </c>
      <c r="E91" s="627">
        <v>6.48</v>
      </c>
      <c r="F91" s="627">
        <v>5.86</v>
      </c>
      <c r="G91" s="627"/>
      <c r="H91" s="631">
        <f t="shared" si="2"/>
        <v>0.14832535885167464</v>
      </c>
      <c r="I91" s="627"/>
      <c r="J91" s="627"/>
    </row>
    <row r="92" spans="1:10" ht="15.75">
      <c r="A92" s="627">
        <v>21</v>
      </c>
      <c r="B92" s="627" t="s">
        <v>909</v>
      </c>
      <c r="C92" s="632" t="s">
        <v>905</v>
      </c>
      <c r="D92" s="633">
        <v>2.2999999999999998</v>
      </c>
      <c r="E92" s="627">
        <v>6.16</v>
      </c>
      <c r="F92" s="627">
        <v>5.56</v>
      </c>
      <c r="G92" s="627"/>
      <c r="H92" s="631">
        <f t="shared" si="2"/>
        <v>0.15544041450777216</v>
      </c>
      <c r="I92" s="627"/>
      <c r="J92" s="627"/>
    </row>
    <row r="93" spans="1:10" ht="15.75">
      <c r="A93" s="627">
        <v>22</v>
      </c>
      <c r="B93" s="627" t="s">
        <v>910</v>
      </c>
      <c r="C93" s="632" t="s">
        <v>112</v>
      </c>
      <c r="D93" s="627">
        <v>2.2200000000000002</v>
      </c>
      <c r="E93" s="627">
        <v>6.16</v>
      </c>
      <c r="F93" s="627">
        <v>5.15</v>
      </c>
      <c r="G93" s="627"/>
      <c r="H93" s="631">
        <f t="shared" si="2"/>
        <v>0.25634517766497456</v>
      </c>
      <c r="I93" s="627"/>
      <c r="J93" s="627"/>
    </row>
    <row r="94" spans="1:10" ht="15.75">
      <c r="A94" s="627">
        <v>23</v>
      </c>
      <c r="B94" s="627" t="s">
        <v>910</v>
      </c>
      <c r="C94" s="632" t="s">
        <v>114</v>
      </c>
      <c r="D94" s="627">
        <v>2.2799999999999998</v>
      </c>
      <c r="E94" s="627">
        <v>6.23</v>
      </c>
      <c r="F94" s="627">
        <v>5.22</v>
      </c>
      <c r="G94" s="627"/>
      <c r="H94" s="631">
        <f t="shared" si="2"/>
        <v>0.25569620253164571</v>
      </c>
      <c r="I94" s="627"/>
      <c r="J94" s="627"/>
    </row>
    <row r="95" spans="1:10" ht="15.75">
      <c r="A95" s="627">
        <v>24</v>
      </c>
      <c r="B95" s="627" t="s">
        <v>910</v>
      </c>
      <c r="C95" s="632" t="s">
        <v>817</v>
      </c>
      <c r="D95" s="627">
        <v>2.27</v>
      </c>
      <c r="E95" s="627">
        <v>7.98</v>
      </c>
      <c r="F95" s="627">
        <v>6.98</v>
      </c>
      <c r="G95" s="627"/>
      <c r="H95" s="631">
        <f t="shared" si="2"/>
        <v>0.17513134851138351</v>
      </c>
      <c r="I95" s="627"/>
      <c r="J95" s="627"/>
    </row>
    <row r="96" spans="1:10" ht="15.75">
      <c r="A96" s="627">
        <v>25</v>
      </c>
      <c r="B96" s="627" t="s">
        <v>910</v>
      </c>
      <c r="C96" s="632" t="s">
        <v>818</v>
      </c>
      <c r="D96" s="627">
        <v>2.2799999999999998</v>
      </c>
      <c r="E96" s="627">
        <v>6.55</v>
      </c>
      <c r="F96" s="627">
        <v>5.86</v>
      </c>
      <c r="G96" s="627"/>
      <c r="H96" s="631">
        <f t="shared" si="2"/>
        <v>0.16159250585480084</v>
      </c>
      <c r="I96" s="627"/>
      <c r="J96" s="627"/>
    </row>
    <row r="97" spans="1:10" ht="15.75">
      <c r="A97" s="627">
        <v>26</v>
      </c>
      <c r="B97" s="627" t="s">
        <v>910</v>
      </c>
      <c r="C97" s="632" t="s">
        <v>905</v>
      </c>
      <c r="D97" s="627">
        <v>2.31</v>
      </c>
      <c r="E97" s="627">
        <v>6.69</v>
      </c>
      <c r="F97" s="627">
        <v>6</v>
      </c>
      <c r="G97" s="627"/>
      <c r="H97" s="631">
        <f t="shared" si="2"/>
        <v>0.15753424657534254</v>
      </c>
      <c r="I97" s="627"/>
      <c r="J97" s="627"/>
    </row>
    <row r="98" spans="1:10" ht="15.75">
      <c r="A98" s="627">
        <v>27</v>
      </c>
      <c r="B98" s="627" t="s">
        <v>911</v>
      </c>
      <c r="C98" s="632" t="s">
        <v>112</v>
      </c>
      <c r="D98" s="633">
        <v>2.2999999999999998</v>
      </c>
      <c r="E98" s="627">
        <v>6.47</v>
      </c>
      <c r="F98" s="627">
        <v>5.4</v>
      </c>
      <c r="G98" s="627"/>
      <c r="H98" s="631">
        <f t="shared" si="2"/>
        <v>0.25659472422062335</v>
      </c>
      <c r="I98" s="627"/>
      <c r="J98" s="627"/>
    </row>
    <row r="99" spans="1:10" ht="15.75">
      <c r="A99" s="627">
        <v>28</v>
      </c>
      <c r="B99" s="627" t="s">
        <v>911</v>
      </c>
      <c r="C99" s="632" t="s">
        <v>114</v>
      </c>
      <c r="D99" s="633">
        <v>2.2999999999999998</v>
      </c>
      <c r="E99" s="627">
        <v>6.14</v>
      </c>
      <c r="F99" s="627">
        <v>4.9400000000000004</v>
      </c>
      <c r="G99" s="627"/>
      <c r="H99" s="631">
        <f t="shared" si="2"/>
        <v>0.31249999999999983</v>
      </c>
      <c r="I99" s="627"/>
      <c r="J99" s="627"/>
    </row>
    <row r="100" spans="1:10" ht="15.75">
      <c r="A100" s="627">
        <v>29</v>
      </c>
      <c r="B100" s="627" t="s">
        <v>911</v>
      </c>
      <c r="C100" s="632" t="s">
        <v>817</v>
      </c>
      <c r="D100" s="627">
        <v>2.25</v>
      </c>
      <c r="E100" s="627">
        <v>6.83</v>
      </c>
      <c r="F100" s="627">
        <v>6.08</v>
      </c>
      <c r="G100" s="627"/>
      <c r="H100" s="631">
        <f t="shared" si="2"/>
        <v>0.16375545851528384</v>
      </c>
      <c r="I100" s="627"/>
      <c r="J100" s="627"/>
    </row>
    <row r="101" spans="1:10" ht="15.75">
      <c r="A101" s="627">
        <v>30</v>
      </c>
      <c r="B101" s="627" t="s">
        <v>911</v>
      </c>
      <c r="C101" s="632" t="s">
        <v>818</v>
      </c>
      <c r="D101" s="627">
        <v>2.35</v>
      </c>
      <c r="E101" s="627">
        <v>6.56</v>
      </c>
      <c r="F101" s="627">
        <v>5.9</v>
      </c>
      <c r="G101" s="627"/>
      <c r="H101" s="631">
        <f t="shared" si="2"/>
        <v>0.1567695961995248</v>
      </c>
      <c r="I101" s="627"/>
      <c r="J101" s="627"/>
    </row>
    <row r="102" spans="1:10" ht="15.75">
      <c r="A102" s="627">
        <v>31</v>
      </c>
      <c r="B102" s="627" t="s">
        <v>911</v>
      </c>
      <c r="C102" s="632" t="s">
        <v>905</v>
      </c>
      <c r="D102" s="627">
        <v>2.31</v>
      </c>
      <c r="E102" s="627">
        <v>6.73</v>
      </c>
      <c r="F102" s="627">
        <v>6.04</v>
      </c>
      <c r="G102" s="627"/>
      <c r="H102" s="631">
        <f t="shared" si="2"/>
        <v>0.15610859728506796</v>
      </c>
      <c r="I102" s="627"/>
      <c r="J102" s="627"/>
    </row>
    <row r="103" spans="1:10" ht="15.75">
      <c r="A103" s="627"/>
      <c r="B103" s="627"/>
      <c r="C103" s="627"/>
      <c r="D103" s="627"/>
      <c r="E103" s="627"/>
      <c r="F103" s="627"/>
      <c r="G103" s="627"/>
      <c r="H103" s="631"/>
      <c r="I103" s="627"/>
      <c r="J103" s="627"/>
    </row>
    <row r="104" spans="1:10" ht="15.75">
      <c r="A104" s="627" t="s">
        <v>107</v>
      </c>
      <c r="B104" s="634">
        <v>44176</v>
      </c>
      <c r="C104" s="627"/>
      <c r="D104" s="627"/>
      <c r="E104" s="627"/>
      <c r="F104" s="627"/>
      <c r="G104" s="627"/>
      <c r="H104" s="631"/>
      <c r="I104" s="627"/>
      <c r="J104" s="627"/>
    </row>
    <row r="105" spans="1:10" ht="31.5">
      <c r="A105" s="627"/>
      <c r="B105" s="628" t="s">
        <v>119</v>
      </c>
      <c r="C105" s="628" t="s">
        <v>38</v>
      </c>
      <c r="D105" s="629" t="s">
        <v>930</v>
      </c>
      <c r="E105" s="629" t="s">
        <v>931</v>
      </c>
      <c r="F105" s="629" t="s">
        <v>932</v>
      </c>
      <c r="G105" s="628"/>
      <c r="H105" s="630" t="s">
        <v>934</v>
      </c>
      <c r="I105" s="627"/>
      <c r="J105" s="627"/>
    </row>
    <row r="106" spans="1:10" ht="15.75">
      <c r="A106" s="627"/>
      <c r="B106" s="627"/>
      <c r="C106" s="627"/>
      <c r="D106" s="627"/>
      <c r="E106" s="627"/>
      <c r="F106" s="627"/>
      <c r="G106" s="627"/>
      <c r="H106" s="631"/>
      <c r="I106" s="627"/>
      <c r="J106" s="627"/>
    </row>
    <row r="107" spans="1:10" ht="15.75">
      <c r="A107" s="627">
        <v>1</v>
      </c>
      <c r="B107" s="627" t="s">
        <v>912</v>
      </c>
      <c r="C107" s="632" t="s">
        <v>817</v>
      </c>
      <c r="D107" s="627">
        <v>2.25</v>
      </c>
      <c r="E107" s="627">
        <v>6.84</v>
      </c>
      <c r="F107" s="627">
        <v>5.75</v>
      </c>
      <c r="G107" s="627"/>
      <c r="H107" s="631">
        <f>(E107-F107)/(E107-D107)*100%</f>
        <v>0.23747276688453156</v>
      </c>
      <c r="I107" s="627"/>
      <c r="J107" s="627"/>
    </row>
    <row r="108" spans="1:10" ht="15.75">
      <c r="A108" s="627">
        <v>2</v>
      </c>
      <c r="B108" s="627" t="s">
        <v>913</v>
      </c>
      <c r="C108" s="632" t="s">
        <v>112</v>
      </c>
      <c r="D108" s="627">
        <v>2.2599999999999998</v>
      </c>
      <c r="E108" s="627">
        <v>5.79</v>
      </c>
      <c r="F108" s="627">
        <v>4.6399999999999997</v>
      </c>
      <c r="G108" s="627"/>
      <c r="H108" s="631">
        <f t="shared" ref="H108:H137" si="3">(E108-F108)/(E108-D108)*100%</f>
        <v>0.32577903682719556</v>
      </c>
      <c r="I108" s="627"/>
      <c r="J108" s="627"/>
    </row>
    <row r="109" spans="1:10" ht="15.75">
      <c r="A109" s="627">
        <v>3</v>
      </c>
      <c r="B109" s="627" t="s">
        <v>913</v>
      </c>
      <c r="C109" s="632" t="s">
        <v>114</v>
      </c>
      <c r="D109" s="627">
        <v>2.2799999999999998</v>
      </c>
      <c r="E109" s="627">
        <v>8.2100000000000009</v>
      </c>
      <c r="F109" s="627">
        <v>7.05</v>
      </c>
      <c r="G109" s="627"/>
      <c r="H109" s="631">
        <f t="shared" si="3"/>
        <v>0.19561551433389557</v>
      </c>
      <c r="I109" s="627"/>
      <c r="J109" s="627"/>
    </row>
    <row r="110" spans="1:10" ht="15.75">
      <c r="A110" s="627">
        <v>4</v>
      </c>
      <c r="B110" s="627" t="s">
        <v>913</v>
      </c>
      <c r="C110" s="632" t="s">
        <v>817</v>
      </c>
      <c r="D110" s="627">
        <v>2.23</v>
      </c>
      <c r="E110" s="627">
        <v>7.38</v>
      </c>
      <c r="F110" s="627">
        <v>6.63</v>
      </c>
      <c r="G110" s="627"/>
      <c r="H110" s="631">
        <f t="shared" si="3"/>
        <v>0.14563106796116504</v>
      </c>
      <c r="I110" s="627"/>
      <c r="J110" s="627"/>
    </row>
    <row r="111" spans="1:10" ht="15.75">
      <c r="A111" s="627">
        <v>5</v>
      </c>
      <c r="B111" s="627" t="s">
        <v>914</v>
      </c>
      <c r="C111" s="632" t="s">
        <v>112</v>
      </c>
      <c r="D111" s="627">
        <v>2.2799999999999998</v>
      </c>
      <c r="E111" s="627">
        <v>6.56</v>
      </c>
      <c r="F111" s="627">
        <v>5.14</v>
      </c>
      <c r="G111" s="627"/>
      <c r="H111" s="631">
        <f t="shared" si="3"/>
        <v>0.33177570093457948</v>
      </c>
      <c r="I111" s="627"/>
      <c r="J111" s="627"/>
    </row>
    <row r="112" spans="1:10" ht="15.75">
      <c r="A112" s="627">
        <v>6</v>
      </c>
      <c r="B112" s="627" t="s">
        <v>914</v>
      </c>
      <c r="C112" s="632" t="s">
        <v>114</v>
      </c>
      <c r="D112" s="627">
        <v>2.2400000000000002</v>
      </c>
      <c r="E112" s="627">
        <v>6.16</v>
      </c>
      <c r="F112" s="627">
        <v>5.19</v>
      </c>
      <c r="G112" s="627"/>
      <c r="H112" s="631">
        <f t="shared" si="3"/>
        <v>0.24744897959183668</v>
      </c>
      <c r="I112" s="627"/>
      <c r="J112" s="627"/>
    </row>
    <row r="113" spans="1:10" ht="15.75">
      <c r="A113" s="627">
        <v>7</v>
      </c>
      <c r="B113" s="627" t="s">
        <v>914</v>
      </c>
      <c r="C113" s="632" t="s">
        <v>817</v>
      </c>
      <c r="D113" s="627">
        <v>2.2400000000000002</v>
      </c>
      <c r="E113" s="627">
        <v>7.11</v>
      </c>
      <c r="F113" s="627">
        <v>6.31</v>
      </c>
      <c r="G113" s="627"/>
      <c r="H113" s="631">
        <f t="shared" si="3"/>
        <v>0.16427104722792621</v>
      </c>
      <c r="I113" s="627"/>
      <c r="J113" s="627"/>
    </row>
    <row r="114" spans="1:10" ht="15.75">
      <c r="A114" s="627">
        <v>8</v>
      </c>
      <c r="B114" s="627" t="s">
        <v>915</v>
      </c>
      <c r="C114" s="632" t="s">
        <v>112</v>
      </c>
      <c r="D114" s="627">
        <v>2.2799999999999998</v>
      </c>
      <c r="E114" s="633">
        <v>6.8</v>
      </c>
      <c r="F114" s="627">
        <v>6.34</v>
      </c>
      <c r="G114" s="627"/>
      <c r="H114" s="631">
        <f t="shared" si="3"/>
        <v>0.10176991150442478</v>
      </c>
      <c r="I114" s="627"/>
      <c r="J114" s="627"/>
    </row>
    <row r="115" spans="1:10" ht="15.75">
      <c r="A115" s="627">
        <v>9</v>
      </c>
      <c r="B115" s="627" t="s">
        <v>915</v>
      </c>
      <c r="C115" s="632" t="s">
        <v>114</v>
      </c>
      <c r="D115" s="627">
        <v>2.2000000000000002</v>
      </c>
      <c r="E115" s="627">
        <v>6.59</v>
      </c>
      <c r="F115" s="627">
        <v>5.89</v>
      </c>
      <c r="G115" s="627"/>
      <c r="H115" s="631">
        <f t="shared" si="3"/>
        <v>0.15945330296127569</v>
      </c>
      <c r="I115" s="627"/>
      <c r="J115" s="627"/>
    </row>
    <row r="116" spans="1:10" ht="15.75">
      <c r="A116" s="627">
        <v>10</v>
      </c>
      <c r="B116" s="627" t="s">
        <v>915</v>
      </c>
      <c r="C116" s="632" t="s">
        <v>817</v>
      </c>
      <c r="D116" s="627">
        <v>2.2400000000000002</v>
      </c>
      <c r="E116" s="627">
        <v>6.43</v>
      </c>
      <c r="F116" s="627">
        <v>5.77</v>
      </c>
      <c r="G116" s="627"/>
      <c r="H116" s="631">
        <f t="shared" si="3"/>
        <v>0.15751789976133657</v>
      </c>
      <c r="I116" s="627"/>
      <c r="J116" s="627"/>
    </row>
    <row r="117" spans="1:10" ht="15.75">
      <c r="A117" s="627">
        <v>11</v>
      </c>
      <c r="B117" s="627" t="s">
        <v>916</v>
      </c>
      <c r="C117" s="632" t="s">
        <v>112</v>
      </c>
      <c r="D117" s="627">
        <v>2.2200000000000002</v>
      </c>
      <c r="E117" s="627">
        <v>6.77</v>
      </c>
      <c r="F117" s="627">
        <v>6.03</v>
      </c>
      <c r="G117" s="627"/>
      <c r="H117" s="631">
        <f t="shared" si="3"/>
        <v>0.16263736263736253</v>
      </c>
      <c r="I117" s="627"/>
      <c r="J117" s="627"/>
    </row>
    <row r="118" spans="1:10" ht="15.75">
      <c r="A118" s="627">
        <v>12</v>
      </c>
      <c r="B118" s="627" t="s">
        <v>916</v>
      </c>
      <c r="C118" s="632" t="s">
        <v>114</v>
      </c>
      <c r="D118" s="627">
        <v>2.2599999999999998</v>
      </c>
      <c r="E118" s="627">
        <v>6.37</v>
      </c>
      <c r="F118" s="627">
        <v>6.32</v>
      </c>
      <c r="G118" s="627"/>
      <c r="H118" s="631">
        <f t="shared" si="3"/>
        <v>1.2165450121654457E-2</v>
      </c>
      <c r="I118" s="627"/>
      <c r="J118" s="627"/>
    </row>
    <row r="119" spans="1:10" ht="15.75">
      <c r="A119" s="627">
        <v>13</v>
      </c>
      <c r="B119" s="627" t="s">
        <v>916</v>
      </c>
      <c r="C119" s="632" t="s">
        <v>817</v>
      </c>
      <c r="D119" s="627">
        <v>2.2599999999999998</v>
      </c>
      <c r="E119" s="627">
        <v>6.63</v>
      </c>
      <c r="F119" s="627">
        <v>5.91</v>
      </c>
      <c r="G119" s="627"/>
      <c r="H119" s="631">
        <f t="shared" si="3"/>
        <v>0.16475972540045761</v>
      </c>
      <c r="I119" s="627"/>
      <c r="J119" s="627"/>
    </row>
    <row r="120" spans="1:10" ht="15.75">
      <c r="A120" s="627">
        <v>14</v>
      </c>
      <c r="B120" s="627" t="s">
        <v>917</v>
      </c>
      <c r="C120" s="632" t="s">
        <v>112</v>
      </c>
      <c r="D120" s="627">
        <v>2.25</v>
      </c>
      <c r="E120" s="627">
        <v>6.7</v>
      </c>
      <c r="F120" s="627">
        <v>5.68</v>
      </c>
      <c r="G120" s="627"/>
      <c r="H120" s="631">
        <f t="shared" si="3"/>
        <v>0.22921348314606751</v>
      </c>
      <c r="I120" s="627"/>
      <c r="J120" s="627"/>
    </row>
    <row r="121" spans="1:10" ht="15.75">
      <c r="A121" s="627">
        <v>15</v>
      </c>
      <c r="B121" s="627" t="s">
        <v>917</v>
      </c>
      <c r="C121" s="632" t="s">
        <v>114</v>
      </c>
      <c r="D121" s="633">
        <v>2.2999999999999998</v>
      </c>
      <c r="E121" s="627">
        <v>6.4</v>
      </c>
      <c r="F121" s="627">
        <v>5.78</v>
      </c>
      <c r="G121" s="627"/>
      <c r="H121" s="631">
        <f t="shared" si="3"/>
        <v>0.15121951219512195</v>
      </c>
      <c r="I121" s="627"/>
      <c r="J121" s="627"/>
    </row>
    <row r="122" spans="1:10" ht="15.75">
      <c r="A122" s="627">
        <v>16</v>
      </c>
      <c r="B122" s="627" t="s">
        <v>917</v>
      </c>
      <c r="C122" s="632" t="s">
        <v>817</v>
      </c>
      <c r="D122" s="627">
        <v>2.2599999999999998</v>
      </c>
      <c r="E122" s="627">
        <v>6.62</v>
      </c>
      <c r="F122" s="627">
        <v>5.95</v>
      </c>
      <c r="G122" s="627"/>
      <c r="H122" s="631">
        <f t="shared" si="3"/>
        <v>0.15366972477064217</v>
      </c>
      <c r="I122" s="627"/>
      <c r="J122" s="627"/>
    </row>
    <row r="123" spans="1:10" ht="15.75">
      <c r="A123" s="627">
        <v>17</v>
      </c>
      <c r="B123" s="627" t="s">
        <v>918</v>
      </c>
      <c r="C123" s="632" t="s">
        <v>112</v>
      </c>
      <c r="D123" s="627">
        <v>2.29</v>
      </c>
      <c r="E123" s="627">
        <v>6.31</v>
      </c>
      <c r="F123" s="627">
        <v>5.26</v>
      </c>
      <c r="G123" s="627"/>
      <c r="H123" s="631">
        <f t="shared" si="3"/>
        <v>0.26119402985074625</v>
      </c>
      <c r="I123" s="627"/>
      <c r="J123" s="627"/>
    </row>
    <row r="124" spans="1:10" ht="15.75">
      <c r="A124" s="627">
        <v>18</v>
      </c>
      <c r="B124" s="627" t="s">
        <v>918</v>
      </c>
      <c r="C124" s="632" t="s">
        <v>114</v>
      </c>
      <c r="D124" s="627">
        <v>2.2799999999999998</v>
      </c>
      <c r="E124" s="627">
        <v>6.2</v>
      </c>
      <c r="F124" s="627">
        <v>5.33</v>
      </c>
      <c r="G124" s="627"/>
      <c r="H124" s="631">
        <f t="shared" si="3"/>
        <v>0.22193877551020408</v>
      </c>
      <c r="I124" s="627"/>
      <c r="J124" s="627"/>
    </row>
    <row r="125" spans="1:10" ht="15.75">
      <c r="A125" s="627">
        <v>19</v>
      </c>
      <c r="B125" s="627" t="s">
        <v>918</v>
      </c>
      <c r="C125" s="632" t="s">
        <v>817</v>
      </c>
      <c r="D125" s="627">
        <v>2.27</v>
      </c>
      <c r="E125" s="627">
        <v>6.49</v>
      </c>
      <c r="F125" s="627">
        <v>5.67</v>
      </c>
      <c r="G125" s="627"/>
      <c r="H125" s="631">
        <f t="shared" si="3"/>
        <v>0.19431279620853084</v>
      </c>
      <c r="I125" s="627"/>
      <c r="J125" s="627"/>
    </row>
    <row r="126" spans="1:10" ht="15.75">
      <c r="A126" s="627">
        <v>20</v>
      </c>
      <c r="B126" s="627" t="s">
        <v>919</v>
      </c>
      <c r="C126" s="632" t="s">
        <v>112</v>
      </c>
      <c r="D126" s="633">
        <v>2.2999999999999998</v>
      </c>
      <c r="E126" s="627">
        <v>6.6</v>
      </c>
      <c r="F126" s="627">
        <v>5.44</v>
      </c>
      <c r="G126" s="627"/>
      <c r="H126" s="631">
        <f t="shared" si="3"/>
        <v>0.26976744186046497</v>
      </c>
      <c r="I126" s="627"/>
      <c r="J126" s="627"/>
    </row>
    <row r="127" spans="1:10" ht="15.75">
      <c r="A127" s="627">
        <v>21</v>
      </c>
      <c r="B127" s="627" t="s">
        <v>919</v>
      </c>
      <c r="C127" s="632" t="s">
        <v>114</v>
      </c>
      <c r="D127" s="633">
        <v>2.2999999999999998</v>
      </c>
      <c r="E127" s="627">
        <v>6.18</v>
      </c>
      <c r="F127" s="627">
        <v>5.37</v>
      </c>
      <c r="G127" s="627"/>
      <c r="H127" s="631">
        <f t="shared" si="3"/>
        <v>0.20876288659793804</v>
      </c>
      <c r="I127" s="627"/>
      <c r="J127" s="627"/>
    </row>
    <row r="128" spans="1:10" ht="15.75">
      <c r="A128" s="627">
        <v>22</v>
      </c>
      <c r="B128" s="627" t="s">
        <v>919</v>
      </c>
      <c r="C128" s="632" t="s">
        <v>817</v>
      </c>
      <c r="D128" s="627">
        <v>2.2200000000000002</v>
      </c>
      <c r="E128" s="627">
        <v>5.96</v>
      </c>
      <c r="F128" s="627">
        <v>5.25</v>
      </c>
      <c r="G128" s="627"/>
      <c r="H128" s="631">
        <f t="shared" si="3"/>
        <v>0.18983957219251338</v>
      </c>
      <c r="I128" s="627"/>
      <c r="J128" s="627"/>
    </row>
    <row r="129" spans="1:10" ht="15.75">
      <c r="A129" s="627">
        <v>23</v>
      </c>
      <c r="B129" s="627" t="s">
        <v>920</v>
      </c>
      <c r="C129" s="632" t="s">
        <v>112</v>
      </c>
      <c r="D129" s="627">
        <v>2.2799999999999998</v>
      </c>
      <c r="E129" s="627">
        <v>6.63</v>
      </c>
      <c r="F129" s="627">
        <v>5.51</v>
      </c>
      <c r="G129" s="627"/>
      <c r="H129" s="631">
        <f t="shared" si="3"/>
        <v>0.25747126436781614</v>
      </c>
      <c r="I129" s="627"/>
      <c r="J129" s="627"/>
    </row>
    <row r="130" spans="1:10" ht="15.75">
      <c r="A130" s="627">
        <v>24</v>
      </c>
      <c r="B130" s="627" t="s">
        <v>920</v>
      </c>
      <c r="C130" s="632" t="s">
        <v>114</v>
      </c>
      <c r="D130" s="627">
        <v>2.2599999999999998</v>
      </c>
      <c r="E130" s="627">
        <v>7.33</v>
      </c>
      <c r="F130" s="627">
        <v>5.66</v>
      </c>
      <c r="G130" s="627"/>
      <c r="H130" s="631">
        <f t="shared" si="3"/>
        <v>0.32938856015779089</v>
      </c>
      <c r="I130" s="627"/>
      <c r="J130" s="627"/>
    </row>
    <row r="131" spans="1:10" ht="15.75">
      <c r="A131" s="627">
        <v>25</v>
      </c>
      <c r="B131" s="627" t="s">
        <v>920</v>
      </c>
      <c r="C131" s="632" t="s">
        <v>817</v>
      </c>
      <c r="D131" s="627">
        <v>2.2799999999999998</v>
      </c>
      <c r="E131" s="627">
        <v>6.24</v>
      </c>
      <c r="F131" s="627">
        <v>5.47</v>
      </c>
      <c r="G131" s="627"/>
      <c r="H131" s="631">
        <f t="shared" si="3"/>
        <v>0.19444444444444453</v>
      </c>
      <c r="I131" s="627"/>
      <c r="J131" s="627"/>
    </row>
    <row r="132" spans="1:10" ht="15.75">
      <c r="A132" s="627">
        <v>26</v>
      </c>
      <c r="B132" s="627" t="s">
        <v>62</v>
      </c>
      <c r="C132" s="632" t="s">
        <v>112</v>
      </c>
      <c r="D132" s="627">
        <v>2.31</v>
      </c>
      <c r="E132" s="627">
        <v>6.4</v>
      </c>
      <c r="F132" s="633">
        <v>5.3</v>
      </c>
      <c r="G132" s="627"/>
      <c r="H132" s="631">
        <f t="shared" si="3"/>
        <v>0.26894865525672385</v>
      </c>
      <c r="I132" s="627"/>
      <c r="J132" s="627"/>
    </row>
    <row r="133" spans="1:10" ht="15.75">
      <c r="A133" s="627">
        <v>27</v>
      </c>
      <c r="B133" s="627" t="s">
        <v>62</v>
      </c>
      <c r="C133" s="632" t="s">
        <v>114</v>
      </c>
      <c r="D133" s="627">
        <v>2.29</v>
      </c>
      <c r="E133" s="627">
        <v>6.33</v>
      </c>
      <c r="F133" s="627">
        <v>5.12</v>
      </c>
      <c r="G133" s="627"/>
      <c r="H133" s="631">
        <f t="shared" si="3"/>
        <v>0.29950495049504949</v>
      </c>
      <c r="I133" s="627"/>
      <c r="J133" s="627"/>
    </row>
    <row r="134" spans="1:10" ht="15.75">
      <c r="A134" s="627">
        <v>28</v>
      </c>
      <c r="B134" s="627" t="s">
        <v>62</v>
      </c>
      <c r="C134" s="632" t="s">
        <v>817</v>
      </c>
      <c r="D134" s="633">
        <v>2.2999999999999998</v>
      </c>
      <c r="E134" s="627">
        <v>6.49</v>
      </c>
      <c r="F134" s="627">
        <v>5.39</v>
      </c>
      <c r="G134" s="627"/>
      <c r="H134" s="631">
        <f t="shared" si="3"/>
        <v>0.26252983293556098</v>
      </c>
      <c r="I134" s="627"/>
      <c r="J134" s="627"/>
    </row>
    <row r="135" spans="1:10" ht="15.75">
      <c r="A135" s="627">
        <v>29</v>
      </c>
      <c r="B135" s="627" t="s">
        <v>921</v>
      </c>
      <c r="C135" s="632" t="s">
        <v>112</v>
      </c>
      <c r="D135" s="627">
        <v>2.25</v>
      </c>
      <c r="E135" s="627">
        <v>5.7</v>
      </c>
      <c r="F135" s="627">
        <v>4.75</v>
      </c>
      <c r="G135" s="627"/>
      <c r="H135" s="631">
        <f t="shared" si="3"/>
        <v>0.27536231884057977</v>
      </c>
      <c r="I135" s="627"/>
      <c r="J135" s="627"/>
    </row>
    <row r="136" spans="1:10" ht="15.75">
      <c r="A136" s="627">
        <v>30</v>
      </c>
      <c r="B136" s="627" t="s">
        <v>921</v>
      </c>
      <c r="C136" s="632" t="s">
        <v>114</v>
      </c>
      <c r="D136" s="627">
        <v>2.35</v>
      </c>
      <c r="E136" s="627">
        <v>5.53</v>
      </c>
      <c r="F136" s="627">
        <v>4.5599999999999996</v>
      </c>
      <c r="G136" s="627"/>
      <c r="H136" s="631">
        <f t="shared" si="3"/>
        <v>0.30503144654088071</v>
      </c>
      <c r="I136" s="627"/>
      <c r="J136" s="627"/>
    </row>
    <row r="137" spans="1:10" ht="15.75">
      <c r="A137" s="627">
        <v>31</v>
      </c>
      <c r="B137" s="627" t="s">
        <v>921</v>
      </c>
      <c r="C137" s="632" t="s">
        <v>817</v>
      </c>
      <c r="D137" s="633">
        <v>2.2999999999999998</v>
      </c>
      <c r="E137" s="627">
        <v>5.69</v>
      </c>
      <c r="F137" s="627">
        <v>4.74</v>
      </c>
      <c r="G137" s="627"/>
      <c r="H137" s="631">
        <f t="shared" si="3"/>
        <v>0.28023598820058998</v>
      </c>
      <c r="I137" s="627"/>
      <c r="J137" s="627"/>
    </row>
    <row r="138" spans="1:10" ht="15.75">
      <c r="A138" s="627"/>
      <c r="B138" s="627"/>
      <c r="C138" s="627"/>
      <c r="D138" s="627"/>
      <c r="E138" s="627"/>
      <c r="F138" s="627"/>
      <c r="G138" s="627"/>
      <c r="H138" s="631"/>
      <c r="I138" s="627"/>
      <c r="J138" s="627"/>
    </row>
    <row r="139" spans="1:10" ht="15.75">
      <c r="A139" s="627" t="s">
        <v>1033</v>
      </c>
      <c r="B139" s="634">
        <v>44179</v>
      </c>
      <c r="C139" s="627"/>
      <c r="D139" s="627"/>
      <c r="E139" s="627"/>
      <c r="F139" s="627"/>
      <c r="G139" s="627"/>
      <c r="H139" s="631"/>
      <c r="I139" s="627"/>
      <c r="J139" s="627"/>
    </row>
    <row r="140" spans="1:10" ht="31.5">
      <c r="A140" s="627"/>
      <c r="B140" s="628" t="s">
        <v>119</v>
      </c>
      <c r="C140" s="628" t="s">
        <v>38</v>
      </c>
      <c r="D140" s="629" t="s">
        <v>930</v>
      </c>
      <c r="E140" s="629" t="s">
        <v>931</v>
      </c>
      <c r="F140" s="629" t="s">
        <v>932</v>
      </c>
      <c r="G140" s="628"/>
      <c r="H140" s="630" t="s">
        <v>934</v>
      </c>
      <c r="I140" s="627"/>
      <c r="J140" s="627"/>
    </row>
    <row r="141" spans="1:10" ht="15.75">
      <c r="A141" s="627"/>
      <c r="B141" s="627"/>
      <c r="C141" s="627"/>
      <c r="D141" s="627"/>
      <c r="E141" s="627"/>
      <c r="F141" s="627"/>
      <c r="G141" s="627"/>
      <c r="H141" s="631"/>
      <c r="I141" s="627"/>
      <c r="J141" s="627"/>
    </row>
    <row r="142" spans="1:10" ht="15.75">
      <c r="A142" s="627">
        <v>1</v>
      </c>
      <c r="B142" s="627" t="s">
        <v>60</v>
      </c>
      <c r="C142" s="632" t="s">
        <v>112</v>
      </c>
      <c r="D142" s="627">
        <v>2.2400000000000002</v>
      </c>
      <c r="E142" s="627">
        <v>6.55</v>
      </c>
      <c r="F142" s="627">
        <v>5.24</v>
      </c>
      <c r="G142" s="627"/>
      <c r="H142" s="631">
        <f>(E142-F142)/(E142-D142)*100%</f>
        <v>0.30394431554524354</v>
      </c>
      <c r="I142" s="627"/>
      <c r="J142" s="627"/>
    </row>
    <row r="143" spans="1:10" ht="15.75">
      <c r="A143" s="627">
        <v>2</v>
      </c>
      <c r="B143" s="627" t="s">
        <v>60</v>
      </c>
      <c r="C143" s="632" t="s">
        <v>114</v>
      </c>
      <c r="D143" s="627">
        <v>2.2599999999999998</v>
      </c>
      <c r="E143" s="627">
        <v>6.81</v>
      </c>
      <c r="F143" s="627">
        <v>5.38</v>
      </c>
      <c r="G143" s="627"/>
      <c r="H143" s="631">
        <f t="shared" ref="H143:H172" si="4">(E143-F143)/(E143-D143)*100%</f>
        <v>0.31428571428571422</v>
      </c>
      <c r="I143" s="627"/>
      <c r="J143" s="627"/>
    </row>
    <row r="144" spans="1:10" ht="15.75">
      <c r="A144" s="627">
        <v>3</v>
      </c>
      <c r="B144" s="627" t="s">
        <v>60</v>
      </c>
      <c r="C144" s="632" t="s">
        <v>817</v>
      </c>
      <c r="D144" s="627">
        <v>2.2799999999999998</v>
      </c>
      <c r="E144" s="627">
        <v>6.44</v>
      </c>
      <c r="F144" s="627">
        <v>5.21</v>
      </c>
      <c r="G144" s="627"/>
      <c r="H144" s="631">
        <f t="shared" si="4"/>
        <v>0.29567307692307704</v>
      </c>
      <c r="I144" s="627"/>
      <c r="J144" s="627"/>
    </row>
    <row r="145" spans="1:10" ht="15.75">
      <c r="A145" s="627">
        <v>4</v>
      </c>
      <c r="B145" s="627" t="s">
        <v>79</v>
      </c>
      <c r="C145" s="632" t="s">
        <v>112</v>
      </c>
      <c r="D145" s="627">
        <v>2.23</v>
      </c>
      <c r="E145" s="627">
        <v>6.62</v>
      </c>
      <c r="F145" s="627">
        <v>5.75</v>
      </c>
      <c r="G145" s="627"/>
      <c r="H145" s="631">
        <f t="shared" si="4"/>
        <v>0.19817767653758542</v>
      </c>
      <c r="I145" s="627"/>
      <c r="J145" s="627"/>
    </row>
    <row r="146" spans="1:10" ht="15.75">
      <c r="A146" s="627">
        <v>5</v>
      </c>
      <c r="B146" s="627" t="s">
        <v>79</v>
      </c>
      <c r="C146" s="632" t="s">
        <v>114</v>
      </c>
      <c r="D146" s="627">
        <v>2.2799999999999998</v>
      </c>
      <c r="E146" s="627">
        <v>5.9</v>
      </c>
      <c r="F146" s="627">
        <v>4.95</v>
      </c>
      <c r="G146" s="627"/>
      <c r="H146" s="631">
        <f t="shared" si="4"/>
        <v>0.26243093922651933</v>
      </c>
      <c r="I146" s="627"/>
      <c r="J146" s="627"/>
    </row>
    <row r="147" spans="1:10" ht="15.75">
      <c r="A147" s="627">
        <v>6</v>
      </c>
      <c r="B147" s="627" t="s">
        <v>79</v>
      </c>
      <c r="C147" s="632" t="s">
        <v>817</v>
      </c>
      <c r="D147" s="627">
        <v>2.23</v>
      </c>
      <c r="E147" s="627">
        <v>6.89</v>
      </c>
      <c r="F147" s="627">
        <v>5.81</v>
      </c>
      <c r="G147" s="627"/>
      <c r="H147" s="631">
        <f t="shared" si="4"/>
        <v>0.23175965665236054</v>
      </c>
      <c r="I147" s="627"/>
      <c r="J147" s="627"/>
    </row>
    <row r="148" spans="1:10" ht="15.75">
      <c r="A148" s="627">
        <v>7</v>
      </c>
      <c r="B148" s="627" t="s">
        <v>922</v>
      </c>
      <c r="C148" s="632" t="s">
        <v>112</v>
      </c>
      <c r="D148" s="627">
        <v>2.2400000000000002</v>
      </c>
      <c r="E148" s="627">
        <v>6.63</v>
      </c>
      <c r="F148" s="627">
        <v>5.84</v>
      </c>
      <c r="G148" s="627"/>
      <c r="H148" s="631">
        <f t="shared" si="4"/>
        <v>0.17995444191343965</v>
      </c>
      <c r="I148" s="627"/>
      <c r="J148" s="627"/>
    </row>
    <row r="149" spans="1:10" ht="15.75">
      <c r="A149" s="627">
        <v>8</v>
      </c>
      <c r="B149" s="627" t="s">
        <v>922</v>
      </c>
      <c r="C149" s="632" t="s">
        <v>114</v>
      </c>
      <c r="D149" s="627">
        <v>2.2799999999999998</v>
      </c>
      <c r="E149" s="627">
        <v>7.46</v>
      </c>
      <c r="F149" s="627">
        <v>6.12</v>
      </c>
      <c r="G149" s="627"/>
      <c r="H149" s="631">
        <f t="shared" si="4"/>
        <v>0.25868725868725867</v>
      </c>
      <c r="I149" s="627"/>
      <c r="J149" s="627"/>
    </row>
    <row r="150" spans="1:10" ht="15.75">
      <c r="A150" s="627">
        <v>9</v>
      </c>
      <c r="B150" s="627" t="s">
        <v>922</v>
      </c>
      <c r="C150" s="632" t="s">
        <v>817</v>
      </c>
      <c r="D150" s="627">
        <v>2.21</v>
      </c>
      <c r="E150" s="627">
        <v>6.25</v>
      </c>
      <c r="F150" s="627">
        <v>5.34</v>
      </c>
      <c r="G150" s="627"/>
      <c r="H150" s="631">
        <f t="shared" si="4"/>
        <v>0.22524752475247528</v>
      </c>
      <c r="I150" s="627"/>
      <c r="J150" s="627"/>
    </row>
    <row r="151" spans="1:10" ht="15.75">
      <c r="A151" s="627">
        <v>10</v>
      </c>
      <c r="B151" s="627" t="s">
        <v>80</v>
      </c>
      <c r="C151" s="632" t="s">
        <v>112</v>
      </c>
      <c r="D151" s="627">
        <v>2.2400000000000002</v>
      </c>
      <c r="E151" s="627">
        <v>5.91</v>
      </c>
      <c r="F151" s="627">
        <v>5.36</v>
      </c>
      <c r="G151" s="627"/>
      <c r="H151" s="631">
        <f t="shared" si="4"/>
        <v>0.14986376021798362</v>
      </c>
      <c r="I151" s="627"/>
      <c r="J151" s="627"/>
    </row>
    <row r="152" spans="1:10" ht="15.75">
      <c r="A152" s="627">
        <v>11</v>
      </c>
      <c r="B152" s="627" t="s">
        <v>80</v>
      </c>
      <c r="C152" s="632" t="s">
        <v>114</v>
      </c>
      <c r="D152" s="627">
        <v>2.21</v>
      </c>
      <c r="E152" s="627">
        <v>5.96</v>
      </c>
      <c r="F152" s="627">
        <v>4.8899999999999997</v>
      </c>
      <c r="G152" s="627"/>
      <c r="H152" s="631">
        <f t="shared" si="4"/>
        <v>0.28533333333333338</v>
      </c>
      <c r="I152" s="627"/>
      <c r="J152" s="627"/>
    </row>
    <row r="153" spans="1:10" ht="15.75">
      <c r="A153" s="627">
        <v>12</v>
      </c>
      <c r="B153" s="627" t="s">
        <v>80</v>
      </c>
      <c r="C153" s="632" t="s">
        <v>817</v>
      </c>
      <c r="D153" s="627">
        <v>2.27</v>
      </c>
      <c r="E153" s="627">
        <v>6.36</v>
      </c>
      <c r="F153" s="627">
        <v>5.34</v>
      </c>
      <c r="G153" s="627"/>
      <c r="H153" s="631">
        <f t="shared" si="4"/>
        <v>0.24938875305623484</v>
      </c>
      <c r="I153" s="627"/>
      <c r="J153" s="627"/>
    </row>
    <row r="154" spans="1:10" ht="15.75">
      <c r="A154" s="627">
        <v>13</v>
      </c>
      <c r="B154" s="627" t="s">
        <v>923</v>
      </c>
      <c r="C154" s="632" t="s">
        <v>112</v>
      </c>
      <c r="D154" s="627">
        <v>2.2599999999999998</v>
      </c>
      <c r="E154" s="627">
        <v>5.23</v>
      </c>
      <c r="F154" s="627">
        <v>4.53</v>
      </c>
      <c r="G154" s="627"/>
      <c r="H154" s="631">
        <f t="shared" si="4"/>
        <v>0.2356902356902357</v>
      </c>
      <c r="I154" s="627"/>
      <c r="J154" s="627"/>
    </row>
    <row r="155" spans="1:10" ht="15.75">
      <c r="A155" s="627">
        <v>14</v>
      </c>
      <c r="B155" s="627" t="s">
        <v>923</v>
      </c>
      <c r="C155" s="632" t="s">
        <v>114</v>
      </c>
      <c r="D155" s="627">
        <v>2.2400000000000002</v>
      </c>
      <c r="E155" s="627">
        <v>5.9</v>
      </c>
      <c r="F155" s="633">
        <v>5</v>
      </c>
      <c r="G155" s="627"/>
      <c r="H155" s="631">
        <f t="shared" si="4"/>
        <v>0.24590163934426237</v>
      </c>
      <c r="I155" s="627"/>
      <c r="J155" s="627"/>
    </row>
    <row r="156" spans="1:10" ht="15.75">
      <c r="A156" s="627">
        <v>15</v>
      </c>
      <c r="B156" s="627" t="s">
        <v>923</v>
      </c>
      <c r="C156" s="632" t="s">
        <v>817</v>
      </c>
      <c r="D156" s="633">
        <v>2.2999999999999998</v>
      </c>
      <c r="E156" s="627">
        <v>7.32</v>
      </c>
      <c r="F156" s="627">
        <v>6.22</v>
      </c>
      <c r="G156" s="627"/>
      <c r="H156" s="631">
        <f t="shared" si="4"/>
        <v>0.2191235059760957</v>
      </c>
      <c r="I156" s="627"/>
      <c r="J156" s="627"/>
    </row>
    <row r="157" spans="1:10" ht="15.75">
      <c r="A157" s="627">
        <v>16</v>
      </c>
      <c r="B157" s="627" t="s">
        <v>924</v>
      </c>
      <c r="C157" s="632" t="s">
        <v>112</v>
      </c>
      <c r="D157" s="627">
        <v>2.27</v>
      </c>
      <c r="E157" s="627">
        <v>6.02</v>
      </c>
      <c r="F157" s="627">
        <v>5.38</v>
      </c>
      <c r="G157" s="627"/>
      <c r="H157" s="631">
        <f t="shared" si="4"/>
        <v>0.17066666666666661</v>
      </c>
      <c r="I157" s="627"/>
      <c r="J157" s="627"/>
    </row>
    <row r="158" spans="1:10" ht="15.75">
      <c r="A158" s="627">
        <v>17</v>
      </c>
      <c r="B158" s="627" t="s">
        <v>924</v>
      </c>
      <c r="C158" s="632" t="s">
        <v>114</v>
      </c>
      <c r="D158" s="633">
        <v>2.2999999999999998</v>
      </c>
      <c r="E158" s="627">
        <v>6.34</v>
      </c>
      <c r="F158" s="633">
        <v>5.5</v>
      </c>
      <c r="G158" s="627"/>
      <c r="H158" s="631">
        <f t="shared" si="4"/>
        <v>0.20792079207920788</v>
      </c>
      <c r="I158" s="627"/>
      <c r="J158" s="627"/>
    </row>
    <row r="159" spans="1:10" ht="15.75">
      <c r="A159" s="627">
        <v>18</v>
      </c>
      <c r="B159" s="627" t="s">
        <v>924</v>
      </c>
      <c r="C159" s="632" t="s">
        <v>817</v>
      </c>
      <c r="D159" s="627">
        <v>2.2799999999999998</v>
      </c>
      <c r="E159" s="627">
        <v>6.28</v>
      </c>
      <c r="F159" s="633">
        <v>5.4</v>
      </c>
      <c r="G159" s="627"/>
      <c r="H159" s="631">
        <f t="shared" si="4"/>
        <v>0.21999999999999997</v>
      </c>
      <c r="I159" s="627"/>
      <c r="J159" s="627"/>
    </row>
    <row r="160" spans="1:10" ht="15.75">
      <c r="A160" s="627">
        <v>19</v>
      </c>
      <c r="B160" s="627" t="s">
        <v>76</v>
      </c>
      <c r="C160" s="632" t="s">
        <v>114</v>
      </c>
      <c r="D160" s="627">
        <v>2.27</v>
      </c>
      <c r="E160" s="627">
        <v>5.71</v>
      </c>
      <c r="F160" s="627">
        <v>5.19</v>
      </c>
      <c r="G160" s="627"/>
      <c r="H160" s="631">
        <f t="shared" si="4"/>
        <v>0.1511627906976743</v>
      </c>
      <c r="I160" s="627"/>
      <c r="J160" s="627"/>
    </row>
    <row r="161" spans="1:10" ht="15.75">
      <c r="A161" s="627">
        <v>20</v>
      </c>
      <c r="B161" s="627" t="s">
        <v>76</v>
      </c>
      <c r="C161" s="632" t="s">
        <v>817</v>
      </c>
      <c r="D161" s="633">
        <v>2.2999999999999998</v>
      </c>
      <c r="E161" s="627">
        <v>5.98</v>
      </c>
      <c r="F161" s="633">
        <v>5.4</v>
      </c>
      <c r="G161" s="627"/>
      <c r="H161" s="631">
        <f t="shared" si="4"/>
        <v>0.15760869565217392</v>
      </c>
      <c r="I161" s="627"/>
      <c r="J161" s="627"/>
    </row>
    <row r="162" spans="1:10" ht="15.75">
      <c r="A162" s="627">
        <v>21</v>
      </c>
      <c r="B162" s="627" t="s">
        <v>61</v>
      </c>
      <c r="C162" s="632" t="s">
        <v>112</v>
      </c>
      <c r="D162" s="627">
        <v>2.31</v>
      </c>
      <c r="E162" s="627">
        <v>6.21</v>
      </c>
      <c r="F162" s="627">
        <v>5.32</v>
      </c>
      <c r="G162" s="627"/>
      <c r="H162" s="631">
        <f t="shared" si="4"/>
        <v>0.22820512820512812</v>
      </c>
      <c r="I162" s="627"/>
      <c r="J162" s="627"/>
    </row>
    <row r="163" spans="1:10" ht="15.75">
      <c r="A163" s="627">
        <v>22</v>
      </c>
      <c r="B163" s="627" t="s">
        <v>61</v>
      </c>
      <c r="C163" s="632" t="s">
        <v>114</v>
      </c>
      <c r="D163" s="627">
        <v>2.23</v>
      </c>
      <c r="E163" s="627">
        <v>6.28</v>
      </c>
      <c r="F163" s="627">
        <v>5.19</v>
      </c>
      <c r="G163" s="627"/>
      <c r="H163" s="631">
        <f t="shared" si="4"/>
        <v>0.26913580246913571</v>
      </c>
      <c r="I163" s="627"/>
      <c r="J163" s="627"/>
    </row>
    <row r="164" spans="1:10" ht="15.75">
      <c r="A164" s="627">
        <v>23</v>
      </c>
      <c r="B164" s="627" t="s">
        <v>61</v>
      </c>
      <c r="C164" s="632" t="s">
        <v>817</v>
      </c>
      <c r="D164" s="627">
        <v>2.2799999999999998</v>
      </c>
      <c r="E164" s="627">
        <v>6.35</v>
      </c>
      <c r="F164" s="627">
        <v>5.44</v>
      </c>
      <c r="G164" s="627"/>
      <c r="H164" s="631">
        <f t="shared" si="4"/>
        <v>0.22358722358722338</v>
      </c>
      <c r="I164" s="627"/>
      <c r="J164" s="627"/>
    </row>
    <row r="165" spans="1:10" ht="15.75">
      <c r="A165" s="627">
        <v>24</v>
      </c>
      <c r="B165" s="627" t="s">
        <v>925</v>
      </c>
      <c r="C165" s="632" t="s">
        <v>112</v>
      </c>
      <c r="D165" s="627">
        <v>2.2599999999999998</v>
      </c>
      <c r="E165" s="627">
        <v>6.28</v>
      </c>
      <c r="F165" s="627">
        <v>5.61</v>
      </c>
      <c r="G165" s="627"/>
      <c r="H165" s="631">
        <f t="shared" si="4"/>
        <v>0.16666666666666663</v>
      </c>
      <c r="I165" s="627"/>
      <c r="J165" s="627"/>
    </row>
    <row r="166" spans="1:10" ht="15.75">
      <c r="A166" s="627">
        <v>25</v>
      </c>
      <c r="B166" s="627" t="s">
        <v>925</v>
      </c>
      <c r="C166" s="632" t="s">
        <v>114</v>
      </c>
      <c r="D166" s="627">
        <v>2.27</v>
      </c>
      <c r="E166" s="627">
        <v>6.41</v>
      </c>
      <c r="F166" s="627">
        <v>5.41</v>
      </c>
      <c r="G166" s="627"/>
      <c r="H166" s="631">
        <f t="shared" si="4"/>
        <v>0.24154589371980673</v>
      </c>
      <c r="I166" s="627"/>
      <c r="J166" s="627"/>
    </row>
    <row r="167" spans="1:10" ht="15.75">
      <c r="A167" s="627">
        <v>26</v>
      </c>
      <c r="B167" s="627" t="s">
        <v>925</v>
      </c>
      <c r="C167" s="632" t="s">
        <v>817</v>
      </c>
      <c r="D167" s="633">
        <v>2.2999999999999998</v>
      </c>
      <c r="E167" s="627">
        <v>6.45</v>
      </c>
      <c r="F167" s="627">
        <v>5.52</v>
      </c>
      <c r="G167" s="627"/>
      <c r="H167" s="631">
        <f t="shared" si="4"/>
        <v>0.22409638554216879</v>
      </c>
      <c r="I167" s="627"/>
      <c r="J167" s="627"/>
    </row>
    <row r="168" spans="1:10" ht="15.75">
      <c r="A168" s="627">
        <v>27</v>
      </c>
      <c r="B168" s="627" t="s">
        <v>926</v>
      </c>
      <c r="C168" s="632" t="s">
        <v>112</v>
      </c>
      <c r="D168" s="633">
        <v>2.2999999999999998</v>
      </c>
      <c r="E168" s="627">
        <v>6.09</v>
      </c>
      <c r="F168" s="627">
        <v>5.46</v>
      </c>
      <c r="G168" s="627"/>
      <c r="H168" s="631">
        <f t="shared" si="4"/>
        <v>0.16622691292875985</v>
      </c>
      <c r="I168" s="627"/>
      <c r="J168" s="627"/>
    </row>
    <row r="169" spans="1:10" ht="15.75">
      <c r="A169" s="627">
        <v>28</v>
      </c>
      <c r="B169" s="627" t="s">
        <v>926</v>
      </c>
      <c r="C169" s="632" t="s">
        <v>114</v>
      </c>
      <c r="D169" s="627">
        <v>2.3199999999999998</v>
      </c>
      <c r="E169" s="627">
        <v>5.79</v>
      </c>
      <c r="F169" s="627">
        <v>4.9800000000000004</v>
      </c>
      <c r="G169" s="627"/>
      <c r="H169" s="631">
        <f t="shared" si="4"/>
        <v>0.23342939481267999</v>
      </c>
      <c r="I169" s="627"/>
      <c r="J169" s="627"/>
    </row>
    <row r="170" spans="1:10" ht="15.75">
      <c r="A170" s="627">
        <v>29</v>
      </c>
      <c r="B170" s="627" t="s">
        <v>926</v>
      </c>
      <c r="C170" s="632" t="s">
        <v>817</v>
      </c>
      <c r="D170" s="627">
        <v>2.2599999999999998</v>
      </c>
      <c r="E170" s="627">
        <v>5.37</v>
      </c>
      <c r="F170" s="627">
        <v>4.6900000000000004</v>
      </c>
      <c r="G170" s="627"/>
      <c r="H170" s="631">
        <f t="shared" si="4"/>
        <v>0.21864951768488736</v>
      </c>
      <c r="I170" s="627"/>
      <c r="J170" s="627"/>
    </row>
    <row r="171" spans="1:10" ht="15.75">
      <c r="A171" s="627">
        <v>30</v>
      </c>
      <c r="B171" s="627" t="s">
        <v>927</v>
      </c>
      <c r="C171" s="632" t="s">
        <v>112</v>
      </c>
      <c r="D171" s="627">
        <v>2.35</v>
      </c>
      <c r="E171" s="627">
        <v>5.79</v>
      </c>
      <c r="F171" s="627">
        <v>5.49</v>
      </c>
      <c r="G171" s="627"/>
      <c r="H171" s="631">
        <f t="shared" si="4"/>
        <v>8.7209302325581342E-2</v>
      </c>
      <c r="I171" s="627"/>
      <c r="J171" s="627"/>
    </row>
    <row r="172" spans="1:10" ht="15.75">
      <c r="A172" s="627">
        <v>31</v>
      </c>
      <c r="B172" s="627" t="s">
        <v>927</v>
      </c>
      <c r="C172" s="632" t="s">
        <v>114</v>
      </c>
      <c r="D172" s="627">
        <v>2.31</v>
      </c>
      <c r="E172" s="627">
        <v>6.31</v>
      </c>
      <c r="F172" s="627">
        <v>5.74</v>
      </c>
      <c r="G172" s="627"/>
      <c r="H172" s="631">
        <f t="shared" si="4"/>
        <v>0.14249999999999988</v>
      </c>
      <c r="I172" s="627"/>
      <c r="J172" s="627"/>
    </row>
    <row r="173" spans="1:10" ht="15.75">
      <c r="A173" s="627"/>
      <c r="B173" s="627"/>
      <c r="C173" s="632"/>
      <c r="D173" s="627"/>
      <c r="E173" s="627"/>
      <c r="F173" s="627"/>
      <c r="G173" s="627"/>
      <c r="H173" s="631"/>
      <c r="I173" s="627"/>
      <c r="J173" s="627"/>
    </row>
    <row r="174" spans="1:10" ht="15.75">
      <c r="A174" s="627" t="s">
        <v>1032</v>
      </c>
      <c r="B174" s="634">
        <v>44180</v>
      </c>
      <c r="C174" s="627"/>
      <c r="D174" s="627"/>
      <c r="E174" s="627"/>
      <c r="F174" s="627"/>
      <c r="G174" s="627"/>
      <c r="H174" s="631"/>
      <c r="I174" s="627"/>
      <c r="J174" s="627"/>
    </row>
    <row r="175" spans="1:10" ht="31.5">
      <c r="A175" s="627"/>
      <c r="B175" s="628" t="s">
        <v>119</v>
      </c>
      <c r="C175" s="628" t="s">
        <v>38</v>
      </c>
      <c r="D175" s="629" t="s">
        <v>930</v>
      </c>
      <c r="E175" s="629" t="s">
        <v>931</v>
      </c>
      <c r="F175" s="629" t="s">
        <v>932</v>
      </c>
      <c r="G175" s="628"/>
      <c r="H175" s="630" t="s">
        <v>934</v>
      </c>
      <c r="I175" s="627"/>
      <c r="J175" s="627"/>
    </row>
    <row r="176" spans="1:10" ht="15.75">
      <c r="A176" s="627"/>
      <c r="B176" s="627"/>
      <c r="C176" s="627"/>
      <c r="D176" s="627"/>
      <c r="E176" s="627"/>
      <c r="F176" s="627"/>
      <c r="G176" s="627"/>
      <c r="H176" s="631"/>
      <c r="I176" s="627"/>
      <c r="J176" s="627"/>
    </row>
    <row r="177" spans="1:10" ht="15.75">
      <c r="A177" s="627">
        <v>1</v>
      </c>
      <c r="B177" s="627" t="s">
        <v>927</v>
      </c>
      <c r="C177" s="632" t="s">
        <v>817</v>
      </c>
      <c r="D177" s="627">
        <v>2.25</v>
      </c>
      <c r="E177" s="627">
        <v>5.89</v>
      </c>
      <c r="F177" s="627">
        <v>5.25</v>
      </c>
      <c r="G177" s="627"/>
      <c r="H177" s="631">
        <f>(E177-F177)/(E177-D177)*100%</f>
        <v>0.17582417582417575</v>
      </c>
      <c r="I177" s="627"/>
      <c r="J177" s="627"/>
    </row>
    <row r="178" spans="1:10" ht="15.75">
      <c r="A178" s="627">
        <v>2</v>
      </c>
      <c r="B178" s="627" t="s">
        <v>928</v>
      </c>
      <c r="C178" s="632" t="s">
        <v>112</v>
      </c>
      <c r="D178" s="627">
        <v>2.27</v>
      </c>
      <c r="E178" s="627">
        <v>6.48</v>
      </c>
      <c r="F178" s="627">
        <v>5.44</v>
      </c>
      <c r="G178" s="627"/>
      <c r="H178" s="631">
        <f t="shared" ref="H178:H196" si="5">(E178-F178)/(E178-D178)*100%</f>
        <v>0.24703087885985744</v>
      </c>
      <c r="I178" s="627"/>
      <c r="J178" s="627"/>
    </row>
    <row r="179" spans="1:10" ht="15.75">
      <c r="A179" s="627">
        <v>3</v>
      </c>
      <c r="B179" s="627" t="s">
        <v>928</v>
      </c>
      <c r="C179" s="632" t="s">
        <v>114</v>
      </c>
      <c r="D179" s="627">
        <v>2.2799999999999998</v>
      </c>
      <c r="E179" s="627">
        <v>6.03</v>
      </c>
      <c r="F179" s="627">
        <v>5.12</v>
      </c>
      <c r="G179" s="627"/>
      <c r="H179" s="631">
        <f t="shared" si="5"/>
        <v>0.24266666666666667</v>
      </c>
      <c r="I179" s="627"/>
      <c r="J179" s="627"/>
    </row>
    <row r="180" spans="1:10" ht="15.75">
      <c r="A180" s="627">
        <v>4</v>
      </c>
      <c r="B180" s="627" t="s">
        <v>928</v>
      </c>
      <c r="C180" s="632" t="s">
        <v>817</v>
      </c>
      <c r="D180" s="627">
        <v>2.23</v>
      </c>
      <c r="E180" s="627">
        <v>6.4</v>
      </c>
      <c r="F180" s="627">
        <v>5.62</v>
      </c>
      <c r="G180" s="627"/>
      <c r="H180" s="631">
        <f t="shared" si="5"/>
        <v>0.18705035971223027</v>
      </c>
      <c r="I180" s="627"/>
      <c r="J180" s="627"/>
    </row>
    <row r="181" spans="1:10" ht="15.75">
      <c r="A181" s="627">
        <v>5</v>
      </c>
      <c r="B181" s="627" t="s">
        <v>77</v>
      </c>
      <c r="C181" s="632" t="s">
        <v>112</v>
      </c>
      <c r="D181" s="627">
        <v>2.2599999999999998</v>
      </c>
      <c r="E181" s="627">
        <v>6.09</v>
      </c>
      <c r="F181" s="627">
        <v>5.44</v>
      </c>
      <c r="G181" s="627"/>
      <c r="H181" s="631">
        <f t="shared" si="5"/>
        <v>0.16971279373368131</v>
      </c>
      <c r="I181" s="627"/>
      <c r="J181" s="627"/>
    </row>
    <row r="182" spans="1:10" ht="15.75">
      <c r="A182" s="627">
        <v>6</v>
      </c>
      <c r="B182" s="627" t="s">
        <v>77</v>
      </c>
      <c r="C182" s="632" t="s">
        <v>114</v>
      </c>
      <c r="D182" s="627">
        <v>2.23</v>
      </c>
      <c r="E182" s="627">
        <v>5.84</v>
      </c>
      <c r="F182" s="627">
        <v>5.15</v>
      </c>
      <c r="G182" s="627"/>
      <c r="H182" s="631">
        <f t="shared" si="5"/>
        <v>0.19113573407202203</v>
      </c>
      <c r="I182" s="627"/>
      <c r="J182" s="627"/>
    </row>
    <row r="183" spans="1:10" ht="15.75">
      <c r="A183" s="627">
        <v>7</v>
      </c>
      <c r="B183" s="627" t="s">
        <v>77</v>
      </c>
      <c r="C183" s="632" t="s">
        <v>817</v>
      </c>
      <c r="D183" s="627">
        <v>2.2400000000000002</v>
      </c>
      <c r="E183" s="627">
        <v>6.15</v>
      </c>
      <c r="F183" s="627">
        <v>5.42</v>
      </c>
      <c r="G183" s="627"/>
      <c r="H183" s="631">
        <f t="shared" si="5"/>
        <v>0.18670076726342721</v>
      </c>
      <c r="I183" s="627"/>
      <c r="J183" s="627"/>
    </row>
    <row r="184" spans="1:10" ht="15.75">
      <c r="A184" s="627">
        <v>8</v>
      </c>
      <c r="B184" s="627" t="s">
        <v>743</v>
      </c>
      <c r="C184" s="632" t="s">
        <v>112</v>
      </c>
      <c r="D184" s="627">
        <v>2.27</v>
      </c>
      <c r="E184" s="627">
        <v>6.22</v>
      </c>
      <c r="F184" s="627">
        <v>5.72</v>
      </c>
      <c r="G184" s="627"/>
      <c r="H184" s="631">
        <f t="shared" si="5"/>
        <v>0.12658227848101267</v>
      </c>
      <c r="I184" s="627"/>
      <c r="J184" s="627"/>
    </row>
    <row r="185" spans="1:10" ht="15.75">
      <c r="A185" s="627">
        <v>9</v>
      </c>
      <c r="B185" s="627" t="s">
        <v>743</v>
      </c>
      <c r="C185" s="632" t="s">
        <v>114</v>
      </c>
      <c r="D185" s="627">
        <v>2.2200000000000002</v>
      </c>
      <c r="E185" s="627">
        <v>6.17</v>
      </c>
      <c r="F185" s="627">
        <v>5.63</v>
      </c>
      <c r="G185" s="627"/>
      <c r="H185" s="631">
        <f t="shared" si="5"/>
        <v>0.13670886075949368</v>
      </c>
      <c r="I185" s="627"/>
      <c r="J185" s="627"/>
    </row>
    <row r="186" spans="1:10" ht="15.75">
      <c r="A186" s="627">
        <v>10</v>
      </c>
      <c r="B186" s="627" t="s">
        <v>743</v>
      </c>
      <c r="C186" s="632" t="s">
        <v>817</v>
      </c>
      <c r="D186" s="627">
        <v>2.25</v>
      </c>
      <c r="E186" s="627">
        <v>5.76</v>
      </c>
      <c r="F186" s="627">
        <v>5.27</v>
      </c>
      <c r="G186" s="627"/>
      <c r="H186" s="631">
        <f t="shared" si="5"/>
        <v>0.13960113960113968</v>
      </c>
      <c r="I186" s="627"/>
      <c r="J186" s="627"/>
    </row>
    <row r="187" spans="1:10" ht="15.75">
      <c r="A187" s="627">
        <v>11</v>
      </c>
      <c r="B187" s="627" t="s">
        <v>78</v>
      </c>
      <c r="C187" s="632" t="s">
        <v>112</v>
      </c>
      <c r="D187" s="627">
        <v>2.2200000000000002</v>
      </c>
      <c r="E187" s="627">
        <v>6.75</v>
      </c>
      <c r="F187" s="627">
        <v>5.96</v>
      </c>
      <c r="G187" s="627"/>
      <c r="H187" s="631">
        <f t="shared" si="5"/>
        <v>0.17439293598233999</v>
      </c>
      <c r="I187" s="627"/>
      <c r="J187" s="627"/>
    </row>
    <row r="188" spans="1:10" ht="15.75">
      <c r="A188" s="627">
        <v>12</v>
      </c>
      <c r="B188" s="627" t="s">
        <v>78</v>
      </c>
      <c r="C188" s="632" t="s">
        <v>114</v>
      </c>
      <c r="D188" s="627">
        <v>2.2599999999999998</v>
      </c>
      <c r="E188" s="627">
        <v>5.76</v>
      </c>
      <c r="F188" s="633">
        <v>5.2</v>
      </c>
      <c r="G188" s="627"/>
      <c r="H188" s="631">
        <f t="shared" si="5"/>
        <v>0.15999999999999989</v>
      </c>
      <c r="I188" s="627"/>
      <c r="J188" s="627"/>
    </row>
    <row r="189" spans="1:10" ht="15.75">
      <c r="A189" s="627">
        <v>13</v>
      </c>
      <c r="B189" s="627" t="s">
        <v>78</v>
      </c>
      <c r="C189" s="632" t="s">
        <v>817</v>
      </c>
      <c r="D189" s="627">
        <v>2.27</v>
      </c>
      <c r="E189" s="633">
        <v>6.2</v>
      </c>
      <c r="F189" s="627">
        <v>5.56</v>
      </c>
      <c r="G189" s="627"/>
      <c r="H189" s="631">
        <f t="shared" si="5"/>
        <v>0.16284987277353705</v>
      </c>
      <c r="I189" s="627"/>
      <c r="J189" s="627"/>
    </row>
    <row r="190" spans="1:10" ht="15.75">
      <c r="A190" s="627">
        <v>14</v>
      </c>
      <c r="B190" s="627" t="s">
        <v>59</v>
      </c>
      <c r="C190" s="632" t="s">
        <v>112</v>
      </c>
      <c r="D190" s="627">
        <v>2.2400000000000002</v>
      </c>
      <c r="E190" s="627">
        <v>6.57</v>
      </c>
      <c r="F190" s="627">
        <v>5.83</v>
      </c>
      <c r="G190" s="627"/>
      <c r="H190" s="631">
        <f t="shared" si="5"/>
        <v>0.17090069284064668</v>
      </c>
      <c r="I190" s="627"/>
      <c r="J190" s="627"/>
    </row>
    <row r="191" spans="1:10" ht="15.75">
      <c r="A191" s="627">
        <v>15</v>
      </c>
      <c r="B191" s="627" t="s">
        <v>59</v>
      </c>
      <c r="C191" s="632" t="s">
        <v>114</v>
      </c>
      <c r="D191" s="627">
        <v>2.2999999999999998</v>
      </c>
      <c r="E191" s="633">
        <v>6.1</v>
      </c>
      <c r="F191" s="627">
        <v>5.44</v>
      </c>
      <c r="G191" s="627"/>
      <c r="H191" s="631">
        <f t="shared" si="5"/>
        <v>0.17368421052631561</v>
      </c>
      <c r="I191" s="627"/>
      <c r="J191" s="627"/>
    </row>
    <row r="192" spans="1:10" ht="15.75">
      <c r="A192" s="627">
        <v>16</v>
      </c>
      <c r="B192" s="627" t="s">
        <v>59</v>
      </c>
      <c r="C192" s="632" t="s">
        <v>817</v>
      </c>
      <c r="D192" s="627">
        <v>2.27</v>
      </c>
      <c r="E192" s="627">
        <v>5.81</v>
      </c>
      <c r="F192" s="627">
        <v>5.19</v>
      </c>
      <c r="G192" s="627"/>
      <c r="H192" s="631">
        <f t="shared" si="5"/>
        <v>0.17514124293785291</v>
      </c>
      <c r="I192" s="627"/>
      <c r="J192" s="627"/>
    </row>
    <row r="193" spans="1:10" ht="15.75">
      <c r="A193" s="627">
        <v>17</v>
      </c>
      <c r="B193" s="627" t="s">
        <v>914</v>
      </c>
      <c r="C193" s="632" t="s">
        <v>817</v>
      </c>
      <c r="D193" s="627">
        <v>2.29</v>
      </c>
      <c r="E193" s="627">
        <v>5.81</v>
      </c>
      <c r="F193" s="627">
        <v>5.23</v>
      </c>
      <c r="G193" s="627"/>
      <c r="H193" s="631">
        <f t="shared" si="5"/>
        <v>0.16477272727272707</v>
      </c>
      <c r="I193" s="627"/>
      <c r="J193" s="627"/>
    </row>
    <row r="194" spans="1:10" ht="15.75">
      <c r="A194" s="627">
        <v>18</v>
      </c>
      <c r="B194" s="627" t="s">
        <v>915</v>
      </c>
      <c r="C194" s="632" t="s">
        <v>112</v>
      </c>
      <c r="D194" s="627">
        <v>2.2799999999999998</v>
      </c>
      <c r="E194" s="633">
        <v>5.8</v>
      </c>
      <c r="F194" s="627">
        <v>4.8499999999999996</v>
      </c>
      <c r="G194" s="627"/>
      <c r="H194" s="631">
        <f t="shared" si="5"/>
        <v>0.2698863636363637</v>
      </c>
      <c r="I194" s="627"/>
      <c r="J194" s="627"/>
    </row>
    <row r="195" spans="1:10" ht="15.75">
      <c r="A195" s="627">
        <v>19</v>
      </c>
      <c r="B195" s="627" t="s">
        <v>916</v>
      </c>
      <c r="C195" s="632" t="s">
        <v>114</v>
      </c>
      <c r="D195" s="627">
        <v>2.2799999999999998</v>
      </c>
      <c r="E195" s="633">
        <v>5.2</v>
      </c>
      <c r="F195" s="627">
        <v>4.54</v>
      </c>
      <c r="G195" s="627"/>
      <c r="H195" s="631">
        <f t="shared" si="5"/>
        <v>0.22602739726027399</v>
      </c>
      <c r="I195" s="627"/>
      <c r="J195" s="627"/>
    </row>
    <row r="196" spans="1:10" ht="15.75">
      <c r="A196" s="627">
        <v>21</v>
      </c>
      <c r="B196" s="627" t="s">
        <v>1030</v>
      </c>
      <c r="C196" s="627"/>
      <c r="D196" s="627">
        <v>2.31</v>
      </c>
      <c r="E196" s="627">
        <v>4.37</v>
      </c>
      <c r="F196" s="633">
        <v>4.2</v>
      </c>
      <c r="G196" s="627"/>
      <c r="H196" s="631">
        <f t="shared" si="5"/>
        <v>8.2524271844660158E-2</v>
      </c>
      <c r="I196" s="627"/>
      <c r="J196" s="627"/>
    </row>
    <row r="197" spans="1:10" ht="15.75">
      <c r="A197" s="627"/>
      <c r="B197" s="627"/>
      <c r="C197" s="627"/>
      <c r="D197" s="627"/>
      <c r="E197" s="627"/>
      <c r="F197" s="627"/>
      <c r="G197" s="627"/>
      <c r="H197" s="631"/>
      <c r="I197" s="627"/>
      <c r="J197" s="627"/>
    </row>
    <row r="198" spans="1:10" ht="15.75">
      <c r="A198" s="627" t="s">
        <v>107</v>
      </c>
      <c r="B198" s="634">
        <v>44242</v>
      </c>
      <c r="C198" s="627" t="s">
        <v>153</v>
      </c>
      <c r="D198" s="627"/>
      <c r="E198" s="627" t="s">
        <v>933</v>
      </c>
      <c r="F198" s="627"/>
      <c r="G198" s="627"/>
      <c r="H198" s="631"/>
      <c r="I198" s="627"/>
      <c r="J198" s="627"/>
    </row>
    <row r="199" spans="1:10" ht="31.5">
      <c r="A199" s="627"/>
      <c r="B199" s="628" t="s">
        <v>119</v>
      </c>
      <c r="C199" s="628" t="s">
        <v>38</v>
      </c>
      <c r="D199" s="629" t="s">
        <v>930</v>
      </c>
      <c r="E199" s="629" t="s">
        <v>931</v>
      </c>
      <c r="F199" s="629" t="s">
        <v>932</v>
      </c>
      <c r="G199" s="628"/>
      <c r="H199" s="630" t="s">
        <v>934</v>
      </c>
      <c r="I199" s="627"/>
      <c r="J199" s="627"/>
    </row>
    <row r="200" spans="1:10" ht="15.75">
      <c r="A200" s="627" t="s">
        <v>1031</v>
      </c>
      <c r="B200" s="627"/>
      <c r="C200" s="627"/>
      <c r="D200" s="627"/>
      <c r="E200" s="627"/>
      <c r="F200" s="627"/>
      <c r="G200" s="627"/>
      <c r="H200" s="631"/>
      <c r="I200" s="627"/>
      <c r="J200" s="627"/>
    </row>
    <row r="201" spans="1:10" ht="15.75">
      <c r="A201" s="627">
        <v>1</v>
      </c>
      <c r="B201" s="627" t="s">
        <v>25</v>
      </c>
      <c r="C201" s="632" t="s">
        <v>112</v>
      </c>
      <c r="D201" s="627">
        <v>2.2400000000000002</v>
      </c>
      <c r="E201" s="627">
        <v>3.5</v>
      </c>
      <c r="F201" s="627">
        <v>4.84</v>
      </c>
      <c r="G201" s="627"/>
      <c r="H201" s="631">
        <f>(E201+D201-F201)/E201*100%</f>
        <v>0.25714285714285723</v>
      </c>
      <c r="I201" s="627"/>
      <c r="J201" s="627"/>
    </row>
    <row r="202" spans="1:10" ht="15.75">
      <c r="A202" s="627">
        <v>2</v>
      </c>
      <c r="B202" s="627" t="s">
        <v>25</v>
      </c>
      <c r="C202" s="632" t="s">
        <v>114</v>
      </c>
      <c r="D202" s="627">
        <v>2.2599999999999998</v>
      </c>
      <c r="E202" s="627">
        <v>4.1100000000000003</v>
      </c>
      <c r="F202" s="627">
        <v>5.35</v>
      </c>
      <c r="G202" s="627"/>
      <c r="H202" s="631">
        <f t="shared" ref="H202:H236" si="6">(E202+D202-F202)/E202*100%</f>
        <v>0.24817518248175191</v>
      </c>
      <c r="I202" s="627"/>
      <c r="J202" s="627"/>
    </row>
    <row r="203" spans="1:10" ht="15.75">
      <c r="A203" s="627">
        <v>3</v>
      </c>
      <c r="B203" s="627" t="s">
        <v>25</v>
      </c>
      <c r="C203" s="632" t="s">
        <v>817</v>
      </c>
      <c r="D203" s="627">
        <v>2.2799999999999998</v>
      </c>
      <c r="E203" s="627">
        <v>3.66</v>
      </c>
      <c r="F203" s="627">
        <v>4.92</v>
      </c>
      <c r="G203" s="627"/>
      <c r="H203" s="631">
        <f t="shared" si="6"/>
        <v>0.2786885245901638</v>
      </c>
      <c r="I203" s="627"/>
      <c r="J203" s="627"/>
    </row>
    <row r="204" spans="1:10" ht="15.75">
      <c r="A204" s="627">
        <v>4</v>
      </c>
      <c r="B204" s="627" t="s">
        <v>19</v>
      </c>
      <c r="C204" s="632" t="s">
        <v>112</v>
      </c>
      <c r="D204" s="627">
        <v>2.23</v>
      </c>
      <c r="E204" s="627">
        <v>4.84</v>
      </c>
      <c r="F204" s="627">
        <v>5.92</v>
      </c>
      <c r="G204" s="627"/>
      <c r="H204" s="631">
        <f t="shared" si="6"/>
        <v>0.23760330578512404</v>
      </c>
      <c r="I204" s="627"/>
      <c r="J204" s="627"/>
    </row>
    <row r="205" spans="1:10" ht="15.75">
      <c r="A205" s="627">
        <v>5</v>
      </c>
      <c r="B205" s="627" t="s">
        <v>19</v>
      </c>
      <c r="C205" s="632" t="s">
        <v>114</v>
      </c>
      <c r="D205" s="627">
        <v>2.27</v>
      </c>
      <c r="E205" s="627">
        <v>5.0199999999999996</v>
      </c>
      <c r="F205" s="627">
        <v>5.95</v>
      </c>
      <c r="G205" s="627"/>
      <c r="H205" s="631">
        <f t="shared" si="6"/>
        <v>0.26693227091633448</v>
      </c>
      <c r="I205" s="627"/>
      <c r="J205" s="627"/>
    </row>
    <row r="206" spans="1:10" ht="15.75">
      <c r="A206" s="627">
        <v>6</v>
      </c>
      <c r="B206" s="627" t="s">
        <v>19</v>
      </c>
      <c r="C206" s="632" t="s">
        <v>817</v>
      </c>
      <c r="D206" s="627">
        <v>2.2400000000000002</v>
      </c>
      <c r="E206" s="627">
        <v>4.33</v>
      </c>
      <c r="F206" s="627">
        <v>5.52</v>
      </c>
      <c r="G206" s="627"/>
      <c r="H206" s="631">
        <f t="shared" si="6"/>
        <v>0.24249422632794473</v>
      </c>
      <c r="I206" s="627"/>
      <c r="J206" s="627"/>
    </row>
    <row r="207" spans="1:10" ht="15.75">
      <c r="A207" s="627">
        <v>7</v>
      </c>
      <c r="B207" s="627" t="s">
        <v>18</v>
      </c>
      <c r="C207" s="632" t="s">
        <v>112</v>
      </c>
      <c r="D207" s="627">
        <v>2.23</v>
      </c>
      <c r="E207" s="627">
        <v>3.69</v>
      </c>
      <c r="F207" s="627">
        <v>5.1100000000000003</v>
      </c>
      <c r="G207" s="627"/>
      <c r="H207" s="631">
        <f t="shared" si="6"/>
        <v>0.21951219512195111</v>
      </c>
      <c r="I207" s="627"/>
      <c r="J207" s="627"/>
    </row>
    <row r="208" spans="1:10" ht="15.75">
      <c r="A208" s="627">
        <v>8</v>
      </c>
      <c r="B208" s="627" t="s">
        <v>18</v>
      </c>
      <c r="C208" s="632" t="s">
        <v>114</v>
      </c>
      <c r="D208" s="627">
        <v>2.29</v>
      </c>
      <c r="E208" s="627">
        <v>3.25</v>
      </c>
      <c r="F208" s="627">
        <v>4.82</v>
      </c>
      <c r="G208" s="627"/>
      <c r="H208" s="631">
        <f t="shared" si="6"/>
        <v>0.22153846153846146</v>
      </c>
      <c r="I208" s="627"/>
      <c r="J208" s="627"/>
    </row>
    <row r="209" spans="1:10" ht="15.75">
      <c r="A209" s="627">
        <v>9</v>
      </c>
      <c r="B209" s="627" t="s">
        <v>18</v>
      </c>
      <c r="C209" s="632" t="s">
        <v>817</v>
      </c>
      <c r="D209" s="627">
        <v>2.23</v>
      </c>
      <c r="E209" s="627">
        <v>3.94</v>
      </c>
      <c r="F209" s="633">
        <v>5.4</v>
      </c>
      <c r="G209" s="627"/>
      <c r="H209" s="631">
        <f t="shared" si="6"/>
        <v>0.19543147208121817</v>
      </c>
      <c r="I209" s="627"/>
      <c r="J209" s="627"/>
    </row>
    <row r="210" spans="1:10" ht="15.75">
      <c r="A210" s="627">
        <v>10</v>
      </c>
      <c r="B210" s="627" t="s">
        <v>21</v>
      </c>
      <c r="C210" s="632" t="s">
        <v>112</v>
      </c>
      <c r="D210" s="627">
        <v>2.2400000000000002</v>
      </c>
      <c r="E210" s="627" t="s">
        <v>1029</v>
      </c>
      <c r="F210" s="627"/>
      <c r="G210" s="627"/>
      <c r="H210" s="631" t="e">
        <f t="shared" si="6"/>
        <v>#VALUE!</v>
      </c>
      <c r="I210" s="627"/>
      <c r="J210" s="627"/>
    </row>
    <row r="211" spans="1:10" ht="15.75">
      <c r="A211" s="627">
        <v>11</v>
      </c>
      <c r="B211" s="627" t="s">
        <v>21</v>
      </c>
      <c r="C211" s="632" t="s">
        <v>114</v>
      </c>
      <c r="D211" s="627">
        <v>2.2200000000000002</v>
      </c>
      <c r="E211" s="627">
        <v>4.45</v>
      </c>
      <c r="F211" s="627">
        <v>5.87</v>
      </c>
      <c r="G211" s="627" t="s">
        <v>929</v>
      </c>
      <c r="H211" s="631">
        <f t="shared" si="6"/>
        <v>0.17977528089887634</v>
      </c>
      <c r="I211" s="627"/>
      <c r="J211" s="627"/>
    </row>
    <row r="212" spans="1:10" ht="15.75">
      <c r="A212" s="627">
        <v>12</v>
      </c>
      <c r="B212" s="627" t="s">
        <v>21</v>
      </c>
      <c r="C212" s="632" t="s">
        <v>817</v>
      </c>
      <c r="D212" s="627">
        <v>2.2599999999999998</v>
      </c>
      <c r="E212" s="627">
        <v>4.07</v>
      </c>
      <c r="F212" s="627">
        <v>5.52</v>
      </c>
      <c r="G212" s="627"/>
      <c r="H212" s="631">
        <f t="shared" si="6"/>
        <v>0.19901719901719914</v>
      </c>
      <c r="I212" s="627"/>
      <c r="J212" s="627"/>
    </row>
    <row r="213" spans="1:10" ht="15.75">
      <c r="A213" s="627">
        <v>13</v>
      </c>
      <c r="B213" s="627" t="s">
        <v>22</v>
      </c>
      <c r="C213" s="632" t="s">
        <v>112</v>
      </c>
      <c r="D213" s="627">
        <v>2.27</v>
      </c>
      <c r="E213" s="627">
        <v>3.33</v>
      </c>
      <c r="F213" s="627">
        <v>4.68</v>
      </c>
      <c r="G213" s="627"/>
      <c r="H213" s="631">
        <f t="shared" si="6"/>
        <v>0.27627627627627627</v>
      </c>
      <c r="I213" s="627"/>
      <c r="J213" s="627"/>
    </row>
    <row r="214" spans="1:10" ht="15.75">
      <c r="A214" s="627">
        <v>14</v>
      </c>
      <c r="B214" s="627" t="s">
        <v>22</v>
      </c>
      <c r="C214" s="632" t="s">
        <v>114</v>
      </c>
      <c r="D214" s="627">
        <v>2.2400000000000002</v>
      </c>
      <c r="E214" s="627">
        <v>3.58</v>
      </c>
      <c r="F214" s="627">
        <v>4.9400000000000004</v>
      </c>
      <c r="G214" s="627"/>
      <c r="H214" s="631">
        <f t="shared" si="6"/>
        <v>0.24581005586592175</v>
      </c>
      <c r="I214" s="627"/>
      <c r="J214" s="627"/>
    </row>
    <row r="215" spans="1:10" ht="15.75">
      <c r="A215" s="627">
        <v>15</v>
      </c>
      <c r="B215" s="627" t="s">
        <v>22</v>
      </c>
      <c r="C215" s="632" t="s">
        <v>817</v>
      </c>
      <c r="D215" s="627">
        <v>2.27</v>
      </c>
      <c r="E215" s="627" t="s">
        <v>1029</v>
      </c>
      <c r="F215" s="627"/>
      <c r="G215" s="627"/>
      <c r="H215" s="631" t="e">
        <f t="shared" si="6"/>
        <v>#VALUE!</v>
      </c>
      <c r="I215" s="627"/>
      <c r="J215" s="627"/>
    </row>
    <row r="216" spans="1:10" ht="15.75">
      <c r="A216" s="627">
        <v>16</v>
      </c>
      <c r="B216" s="627" t="s">
        <v>20</v>
      </c>
      <c r="C216" s="632" t="s">
        <v>112</v>
      </c>
      <c r="D216" s="633">
        <v>2.2999999999999998</v>
      </c>
      <c r="E216" s="627">
        <v>4.57</v>
      </c>
      <c r="F216" s="627">
        <v>5.29</v>
      </c>
      <c r="G216" s="627"/>
      <c r="H216" s="631">
        <f t="shared" si="6"/>
        <v>0.34573304157549234</v>
      </c>
      <c r="I216" s="627"/>
      <c r="J216" s="627"/>
    </row>
    <row r="217" spans="1:10" ht="15.75">
      <c r="A217" s="627">
        <v>17</v>
      </c>
      <c r="B217" s="627" t="s">
        <v>20</v>
      </c>
      <c r="C217" s="632" t="s">
        <v>114</v>
      </c>
      <c r="D217" s="627">
        <v>2.29</v>
      </c>
      <c r="E217" s="627">
        <v>3.16</v>
      </c>
      <c r="F217" s="627">
        <v>4.5199999999999996</v>
      </c>
      <c r="G217" s="627"/>
      <c r="H217" s="631">
        <f t="shared" si="6"/>
        <v>0.29430379746835461</v>
      </c>
      <c r="I217" s="627"/>
      <c r="J217" s="627"/>
    </row>
    <row r="218" spans="1:10" ht="15.75">
      <c r="A218" s="627">
        <v>18</v>
      </c>
      <c r="B218" s="627" t="s">
        <v>20</v>
      </c>
      <c r="C218" s="632" t="s">
        <v>817</v>
      </c>
      <c r="D218" s="627">
        <v>2.2799999999999998</v>
      </c>
      <c r="E218" s="627">
        <v>3.83</v>
      </c>
      <c r="F218" s="627">
        <v>5</v>
      </c>
      <c r="G218" s="627"/>
      <c r="H218" s="631">
        <f t="shared" si="6"/>
        <v>0.28981723237597895</v>
      </c>
      <c r="I218" s="627"/>
      <c r="J218" s="627"/>
    </row>
    <row r="219" spans="1:10" ht="15.75">
      <c r="A219" s="627">
        <v>19</v>
      </c>
      <c r="B219" s="627" t="s">
        <v>35</v>
      </c>
      <c r="C219" s="632" t="s">
        <v>112</v>
      </c>
      <c r="D219" s="627">
        <v>2.29</v>
      </c>
      <c r="E219" s="627">
        <v>3.61</v>
      </c>
      <c r="F219" s="627">
        <v>4.3499999999999996</v>
      </c>
      <c r="G219" s="627"/>
      <c r="H219" s="631">
        <f t="shared" si="6"/>
        <v>0.42936288088642682</v>
      </c>
      <c r="I219" s="627"/>
      <c r="J219" s="627"/>
    </row>
    <row r="220" spans="1:10" ht="15.75">
      <c r="A220" s="627">
        <v>20</v>
      </c>
      <c r="B220" s="627" t="s">
        <v>35</v>
      </c>
      <c r="C220" s="632" t="s">
        <v>114</v>
      </c>
      <c r="D220" s="627">
        <v>2.31</v>
      </c>
      <c r="E220" s="627">
        <v>3.59</v>
      </c>
      <c r="F220" s="627">
        <v>4.68</v>
      </c>
      <c r="G220" s="627"/>
      <c r="H220" s="631">
        <f t="shared" si="6"/>
        <v>0.33983286908078014</v>
      </c>
      <c r="I220" s="627"/>
      <c r="J220" s="627"/>
    </row>
    <row r="221" spans="1:10" ht="15.75">
      <c r="A221" s="627">
        <v>21</v>
      </c>
      <c r="B221" s="627" t="s">
        <v>35</v>
      </c>
      <c r="C221" s="632" t="s">
        <v>817</v>
      </c>
      <c r="D221" s="627">
        <v>2.2200000000000002</v>
      </c>
      <c r="E221" s="627">
        <v>4.7</v>
      </c>
      <c r="F221" s="627">
        <v>5.69</v>
      </c>
      <c r="G221" s="627"/>
      <c r="H221" s="631">
        <f t="shared" si="6"/>
        <v>0.26170212765957435</v>
      </c>
      <c r="I221" s="627"/>
      <c r="J221" s="627"/>
    </row>
    <row r="222" spans="1:10" ht="15.75">
      <c r="A222" s="627">
        <v>22</v>
      </c>
      <c r="B222" s="627" t="s">
        <v>32</v>
      </c>
      <c r="C222" s="632" t="s">
        <v>112</v>
      </c>
      <c r="D222" s="627">
        <v>2.2799999999999998</v>
      </c>
      <c r="E222" s="627">
        <v>3.44</v>
      </c>
      <c r="F222" s="627">
        <v>4.84</v>
      </c>
      <c r="G222" s="627"/>
      <c r="H222" s="631">
        <f t="shared" si="6"/>
        <v>0.25581395348837205</v>
      </c>
      <c r="I222" s="627"/>
      <c r="J222" s="627"/>
    </row>
    <row r="223" spans="1:10" ht="15.75">
      <c r="A223" s="627">
        <v>23</v>
      </c>
      <c r="B223" s="627" t="s">
        <v>32</v>
      </c>
      <c r="C223" s="632" t="s">
        <v>114</v>
      </c>
      <c r="D223" s="627">
        <v>2.2799999999999998</v>
      </c>
      <c r="E223" s="627">
        <v>3.26</v>
      </c>
      <c r="F223" s="627">
        <v>4.83</v>
      </c>
      <c r="G223" s="627"/>
      <c r="H223" s="631">
        <f t="shared" si="6"/>
        <v>0.21779141104294453</v>
      </c>
      <c r="I223" s="627"/>
      <c r="J223" s="627"/>
    </row>
    <row r="224" spans="1:10" ht="15.75">
      <c r="A224" s="627">
        <v>24</v>
      </c>
      <c r="B224" s="627" t="s">
        <v>32</v>
      </c>
      <c r="C224" s="632" t="s">
        <v>817</v>
      </c>
      <c r="D224" s="627">
        <v>2.2799999999999998</v>
      </c>
      <c r="E224" s="627">
        <v>4.12</v>
      </c>
      <c r="F224" s="627">
        <v>5.47</v>
      </c>
      <c r="G224" s="627"/>
      <c r="H224" s="631">
        <f t="shared" si="6"/>
        <v>0.22572815533980597</v>
      </c>
      <c r="I224" s="627"/>
      <c r="J224" s="627"/>
    </row>
    <row r="225" spans="1:10" ht="15.75">
      <c r="A225" s="627">
        <v>25</v>
      </c>
      <c r="B225" s="627" t="s">
        <v>34</v>
      </c>
      <c r="C225" s="632" t="s">
        <v>112</v>
      </c>
      <c r="D225" s="627">
        <v>2.31</v>
      </c>
      <c r="E225" s="627">
        <v>3.52</v>
      </c>
      <c r="F225" s="627">
        <v>5.05</v>
      </c>
      <c r="G225" s="627"/>
      <c r="H225" s="631">
        <f t="shared" si="6"/>
        <v>0.22159090909090917</v>
      </c>
      <c r="I225" s="627"/>
      <c r="J225" s="627"/>
    </row>
    <row r="226" spans="1:10" ht="15.75">
      <c r="A226" s="627">
        <v>26</v>
      </c>
      <c r="B226" s="627" t="s">
        <v>34</v>
      </c>
      <c r="C226" s="632" t="s">
        <v>114</v>
      </c>
      <c r="D226" s="627">
        <v>2.31</v>
      </c>
      <c r="E226" s="627">
        <v>4.72</v>
      </c>
      <c r="F226" s="627">
        <v>5.96</v>
      </c>
      <c r="G226" s="627"/>
      <c r="H226" s="631">
        <f t="shared" si="6"/>
        <v>0.22669491525423718</v>
      </c>
      <c r="I226" s="627"/>
      <c r="J226" s="627"/>
    </row>
    <row r="227" spans="1:10" ht="15.75">
      <c r="A227" s="627">
        <v>27</v>
      </c>
      <c r="B227" s="627" t="s">
        <v>34</v>
      </c>
      <c r="C227" s="632" t="s">
        <v>817</v>
      </c>
      <c r="D227" s="627">
        <v>2.31</v>
      </c>
      <c r="E227" s="627">
        <v>3.38</v>
      </c>
      <c r="F227" s="627">
        <v>4.8899999999999997</v>
      </c>
      <c r="G227" s="627"/>
      <c r="H227" s="631">
        <f t="shared" si="6"/>
        <v>0.23668639053254434</v>
      </c>
      <c r="I227" s="627"/>
      <c r="J227" s="627"/>
    </row>
    <row r="228" spans="1:10" ht="15.75">
      <c r="A228" s="627">
        <v>28</v>
      </c>
      <c r="B228" s="627" t="s">
        <v>30</v>
      </c>
      <c r="C228" s="632" t="s">
        <v>112</v>
      </c>
      <c r="D228" s="627">
        <v>2.25</v>
      </c>
      <c r="E228" s="627">
        <v>3.47</v>
      </c>
      <c r="F228" s="627">
        <v>4.82</v>
      </c>
      <c r="G228" s="627"/>
      <c r="H228" s="631">
        <f t="shared" si="6"/>
        <v>0.25936599423631135</v>
      </c>
      <c r="I228" s="627"/>
      <c r="J228" s="627"/>
    </row>
    <row r="229" spans="1:10" ht="15.75">
      <c r="A229" s="627">
        <v>29</v>
      </c>
      <c r="B229" s="627" t="s">
        <v>30</v>
      </c>
      <c r="C229" s="632" t="s">
        <v>114</v>
      </c>
      <c r="D229" s="627">
        <v>2.36</v>
      </c>
      <c r="E229" s="627">
        <v>3.84</v>
      </c>
      <c r="F229" s="627">
        <v>5.23</v>
      </c>
      <c r="G229" s="627"/>
      <c r="H229" s="631">
        <f t="shared" si="6"/>
        <v>0.25260416666666641</v>
      </c>
      <c r="I229" s="627"/>
      <c r="J229" s="627"/>
    </row>
    <row r="230" spans="1:10" ht="15.75">
      <c r="A230" s="627">
        <v>30</v>
      </c>
      <c r="B230" s="627" t="s">
        <v>30</v>
      </c>
      <c r="C230" s="632" t="s">
        <v>817</v>
      </c>
      <c r="D230" s="627">
        <v>2.31</v>
      </c>
      <c r="E230" s="627">
        <v>3.37</v>
      </c>
      <c r="F230" s="627">
        <v>4.87</v>
      </c>
      <c r="G230" s="627"/>
      <c r="H230" s="631">
        <f t="shared" si="6"/>
        <v>0.2403560830860533</v>
      </c>
      <c r="I230" s="627"/>
      <c r="J230" s="627"/>
    </row>
    <row r="231" spans="1:10" ht="15.75">
      <c r="A231" s="627">
        <v>31</v>
      </c>
      <c r="B231" s="627" t="s">
        <v>36</v>
      </c>
      <c r="C231" s="632" t="s">
        <v>112</v>
      </c>
      <c r="D231" s="627">
        <v>2.2400000000000002</v>
      </c>
      <c r="E231" s="627">
        <v>3.25</v>
      </c>
      <c r="F231" s="627">
        <v>4.6399999999999997</v>
      </c>
      <c r="G231" s="627"/>
      <c r="H231" s="631">
        <f t="shared" si="6"/>
        <v>0.26153846153846172</v>
      </c>
      <c r="I231" s="627"/>
      <c r="J231" s="627"/>
    </row>
    <row r="232" spans="1:10" ht="15.75">
      <c r="A232" s="627">
        <v>32</v>
      </c>
      <c r="B232" s="627" t="s">
        <v>36</v>
      </c>
      <c r="C232" s="632" t="s">
        <v>114</v>
      </c>
      <c r="D232" s="627">
        <v>2.2599999999999998</v>
      </c>
      <c r="E232" s="627">
        <v>3.72</v>
      </c>
      <c r="F232" s="627">
        <v>5.04</v>
      </c>
      <c r="G232" s="627"/>
      <c r="H232" s="631">
        <f t="shared" si="6"/>
        <v>0.25268817204301086</v>
      </c>
      <c r="I232" s="627"/>
      <c r="J232" s="627"/>
    </row>
    <row r="233" spans="1:10" ht="15.75">
      <c r="A233" s="627">
        <v>33</v>
      </c>
      <c r="B233" s="627" t="s">
        <v>36</v>
      </c>
      <c r="C233" s="632" t="s">
        <v>817</v>
      </c>
      <c r="D233" s="627">
        <v>42.41</v>
      </c>
      <c r="E233" s="627">
        <v>3.47</v>
      </c>
      <c r="F233" s="627">
        <v>44.99</v>
      </c>
      <c r="G233" s="627"/>
      <c r="H233" s="631">
        <f t="shared" si="6"/>
        <v>0.2564841498559059</v>
      </c>
      <c r="I233" s="627"/>
      <c r="J233" s="627"/>
    </row>
    <row r="234" spans="1:10" ht="15.75">
      <c r="A234" s="627">
        <v>34</v>
      </c>
      <c r="B234" s="627" t="s">
        <v>29</v>
      </c>
      <c r="C234" s="632" t="s">
        <v>112</v>
      </c>
      <c r="D234" s="627">
        <v>31.82</v>
      </c>
      <c r="E234" s="627">
        <v>5.28</v>
      </c>
      <c r="F234" s="627">
        <v>35.46</v>
      </c>
      <c r="G234" s="627"/>
      <c r="H234" s="631">
        <f t="shared" si="6"/>
        <v>0.31060606060606072</v>
      </c>
      <c r="I234" s="627"/>
      <c r="J234" s="627"/>
    </row>
    <row r="235" spans="1:10" ht="15.75">
      <c r="A235" s="627">
        <v>35</v>
      </c>
      <c r="B235" s="627" t="s">
        <v>29</v>
      </c>
      <c r="C235" s="632" t="s">
        <v>114</v>
      </c>
      <c r="D235" s="627">
        <v>34.32</v>
      </c>
      <c r="E235" s="627">
        <v>6.05</v>
      </c>
      <c r="F235" s="627">
        <v>39</v>
      </c>
      <c r="G235" s="627"/>
      <c r="H235" s="631">
        <f t="shared" si="6"/>
        <v>0.22644628099173511</v>
      </c>
      <c r="I235" s="627"/>
      <c r="J235" s="627"/>
    </row>
    <row r="236" spans="1:10" ht="15.75">
      <c r="A236" s="627">
        <v>36</v>
      </c>
      <c r="B236" s="627" t="s">
        <v>29</v>
      </c>
      <c r="C236" s="632" t="s">
        <v>817</v>
      </c>
      <c r="D236" s="627">
        <v>35.130000000000003</v>
      </c>
      <c r="E236" s="627">
        <v>4.6500000000000004</v>
      </c>
      <c r="F236" s="627">
        <v>38.6</v>
      </c>
      <c r="G236" s="627"/>
      <c r="H236" s="631">
        <f t="shared" si="6"/>
        <v>0.25376344086021496</v>
      </c>
      <c r="I236" s="627"/>
      <c r="J236" s="627"/>
    </row>
  </sheetData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8611-BFCE-4080-9638-9639A72C7E7B}">
  <dimension ref="A1:K28"/>
  <sheetViews>
    <sheetView workbookViewId="0">
      <selection activeCell="H19" sqref="H19"/>
    </sheetView>
  </sheetViews>
  <sheetFormatPr defaultColWidth="8.85546875" defaultRowHeight="15"/>
  <cols>
    <col min="2" max="2" width="12.140625" bestFit="1" customWidth="1"/>
    <col min="3" max="3" width="10.28515625" bestFit="1" customWidth="1"/>
    <col min="5" max="5" width="10.28515625" bestFit="1" customWidth="1"/>
    <col min="6" max="6" width="10.28515625" customWidth="1"/>
    <col min="7" max="7" width="13.28515625" bestFit="1" customWidth="1"/>
    <col min="8" max="8" width="18.42578125" bestFit="1" customWidth="1"/>
    <col min="9" max="10" width="16" customWidth="1"/>
    <col min="11" max="11" width="18.42578125" bestFit="1" customWidth="1"/>
  </cols>
  <sheetData>
    <row r="1" spans="1:11">
      <c r="A1" s="270" t="s">
        <v>807</v>
      </c>
    </row>
    <row r="2" spans="1:11">
      <c r="A2" s="12" t="s">
        <v>809</v>
      </c>
      <c r="B2" s="84"/>
      <c r="C2" s="84"/>
      <c r="D2" s="13"/>
      <c r="F2" s="835" t="s">
        <v>822</v>
      </c>
      <c r="G2" s="836"/>
      <c r="H2" s="836"/>
      <c r="I2" s="836"/>
      <c r="J2" s="836"/>
      <c r="K2" s="837"/>
    </row>
    <row r="3" spans="1:11">
      <c r="A3" s="271" t="s">
        <v>811</v>
      </c>
      <c r="B3" s="106"/>
      <c r="C3" s="106" t="s">
        <v>810</v>
      </c>
      <c r="D3" s="66"/>
      <c r="F3" s="832" t="s">
        <v>812</v>
      </c>
      <c r="G3" s="833"/>
      <c r="H3" s="834"/>
      <c r="I3" s="832" t="s">
        <v>813</v>
      </c>
      <c r="J3" s="833"/>
      <c r="K3" s="834"/>
    </row>
    <row r="4" spans="1:11" ht="15.75" thickBot="1">
      <c r="A4" s="272" t="s">
        <v>808</v>
      </c>
      <c r="B4" s="273" t="s">
        <v>819</v>
      </c>
      <c r="C4" s="274" t="s">
        <v>119</v>
      </c>
      <c r="D4" s="274" t="s">
        <v>38</v>
      </c>
      <c r="E4" s="272" t="s">
        <v>731</v>
      </c>
      <c r="F4" s="275" t="s">
        <v>563</v>
      </c>
      <c r="G4" s="273" t="s">
        <v>820</v>
      </c>
      <c r="H4" s="276" t="s">
        <v>821</v>
      </c>
      <c r="I4" s="275" t="s">
        <v>563</v>
      </c>
      <c r="J4" s="273" t="s">
        <v>820</v>
      </c>
      <c r="K4" s="276" t="s">
        <v>821</v>
      </c>
    </row>
    <row r="5" spans="1:11">
      <c r="A5" t="s">
        <v>100</v>
      </c>
      <c r="B5" s="218">
        <v>44167</v>
      </c>
      <c r="C5" t="s">
        <v>710</v>
      </c>
      <c r="D5" s="269" t="s">
        <v>112</v>
      </c>
      <c r="E5">
        <v>44.3</v>
      </c>
      <c r="F5" s="14"/>
      <c r="G5" s="62"/>
      <c r="H5" s="56"/>
      <c r="I5" s="14"/>
      <c r="J5" s="62"/>
      <c r="K5" s="56"/>
    </row>
    <row r="6" spans="1:11">
      <c r="A6" t="s">
        <v>100</v>
      </c>
      <c r="B6" s="218">
        <v>44167</v>
      </c>
      <c r="C6" t="s">
        <v>710</v>
      </c>
      <c r="D6" s="269" t="s">
        <v>114</v>
      </c>
      <c r="E6">
        <v>58.4</v>
      </c>
      <c r="F6" s="14"/>
      <c r="G6" s="62"/>
      <c r="H6" s="56"/>
      <c r="I6" s="14"/>
      <c r="J6" s="62"/>
      <c r="K6" s="56"/>
    </row>
    <row r="7" spans="1:11">
      <c r="A7" t="s">
        <v>100</v>
      </c>
      <c r="B7" s="218">
        <v>44167</v>
      </c>
      <c r="C7" t="s">
        <v>710</v>
      </c>
      <c r="D7" s="269" t="s">
        <v>816</v>
      </c>
      <c r="E7" s="277">
        <v>69</v>
      </c>
      <c r="F7" s="14"/>
      <c r="G7" s="62"/>
      <c r="H7" s="56"/>
      <c r="I7" s="14"/>
      <c r="J7" s="62"/>
      <c r="K7" s="56"/>
    </row>
    <row r="8" spans="1:11">
      <c r="A8" t="s">
        <v>100</v>
      </c>
      <c r="B8" s="218">
        <v>44167</v>
      </c>
      <c r="C8" t="s">
        <v>163</v>
      </c>
      <c r="D8" s="269" t="s">
        <v>112</v>
      </c>
      <c r="E8" s="277">
        <v>48</v>
      </c>
      <c r="F8" s="14"/>
      <c r="G8" s="62"/>
      <c r="H8" s="56"/>
      <c r="I8" s="14"/>
      <c r="J8" s="62"/>
      <c r="K8" s="56"/>
    </row>
    <row r="9" spans="1:11">
      <c r="A9" t="s">
        <v>100</v>
      </c>
      <c r="B9" s="218">
        <v>44167</v>
      </c>
      <c r="C9" t="s">
        <v>163</v>
      </c>
      <c r="D9" s="269" t="s">
        <v>114</v>
      </c>
      <c r="E9">
        <v>61.5</v>
      </c>
      <c r="F9" s="14"/>
      <c r="G9" s="62"/>
      <c r="H9" s="56"/>
      <c r="I9" s="14"/>
      <c r="J9" s="62"/>
      <c r="K9" s="56"/>
    </row>
    <row r="10" spans="1:11">
      <c r="A10" t="s">
        <v>100</v>
      </c>
      <c r="B10" s="218">
        <v>44167</v>
      </c>
      <c r="C10" t="s">
        <v>163</v>
      </c>
      <c r="D10" s="269" t="s">
        <v>817</v>
      </c>
      <c r="E10">
        <v>87.8</v>
      </c>
      <c r="F10" s="14"/>
      <c r="G10" s="62"/>
      <c r="H10" s="56"/>
      <c r="I10" s="14"/>
      <c r="J10" s="62"/>
      <c r="K10" s="56"/>
    </row>
    <row r="11" spans="1:11">
      <c r="A11" t="s">
        <v>100</v>
      </c>
      <c r="B11" s="218">
        <v>44167</v>
      </c>
      <c r="C11" t="s">
        <v>814</v>
      </c>
      <c r="D11" s="269" t="s">
        <v>112</v>
      </c>
      <c r="E11">
        <v>42.2</v>
      </c>
      <c r="F11" s="14"/>
      <c r="G11" s="62"/>
      <c r="H11" s="56"/>
      <c r="I11" s="14"/>
      <c r="J11" s="62"/>
      <c r="K11" s="56"/>
    </row>
    <row r="12" spans="1:11">
      <c r="A12" t="s">
        <v>100</v>
      </c>
      <c r="B12" s="218">
        <v>44167</v>
      </c>
      <c r="C12" t="s">
        <v>814</v>
      </c>
      <c r="D12" s="269" t="s">
        <v>114</v>
      </c>
      <c r="E12">
        <v>55.5</v>
      </c>
      <c r="F12" s="14"/>
      <c r="G12" s="62"/>
      <c r="H12" s="56"/>
      <c r="I12" s="14"/>
      <c r="J12" s="62"/>
      <c r="K12" s="56"/>
    </row>
    <row r="13" spans="1:11">
      <c r="A13" t="s">
        <v>100</v>
      </c>
      <c r="B13" s="218">
        <v>44167</v>
      </c>
      <c r="C13" t="s">
        <v>814</v>
      </c>
      <c r="D13" s="269" t="s">
        <v>817</v>
      </c>
      <c r="E13">
        <v>76.400000000000006</v>
      </c>
      <c r="F13" s="14"/>
      <c r="G13" s="62"/>
      <c r="H13" s="56"/>
      <c r="I13" s="14"/>
      <c r="J13" s="62"/>
      <c r="K13" s="56"/>
    </row>
    <row r="14" spans="1:11">
      <c r="A14" t="s">
        <v>100</v>
      </c>
      <c r="B14" s="218">
        <v>44167</v>
      </c>
      <c r="C14" t="s">
        <v>164</v>
      </c>
      <c r="D14" s="269" t="s">
        <v>112</v>
      </c>
      <c r="E14">
        <v>41.6</v>
      </c>
      <c r="F14" s="14"/>
      <c r="G14" s="62"/>
      <c r="H14" s="56"/>
      <c r="I14" s="14"/>
      <c r="J14" s="62"/>
      <c r="K14" s="56"/>
    </row>
    <row r="15" spans="1:11">
      <c r="A15" t="s">
        <v>100</v>
      </c>
      <c r="B15" s="218">
        <v>44167</v>
      </c>
      <c r="C15" t="s">
        <v>164</v>
      </c>
      <c r="D15" s="269" t="s">
        <v>114</v>
      </c>
      <c r="E15">
        <v>65.400000000000006</v>
      </c>
      <c r="F15" s="14"/>
      <c r="G15" s="62"/>
      <c r="H15" s="56"/>
      <c r="I15" s="14"/>
      <c r="J15" s="62"/>
      <c r="K15" s="56"/>
    </row>
    <row r="16" spans="1:11">
      <c r="A16" t="s">
        <v>100</v>
      </c>
      <c r="B16" s="218">
        <v>44167</v>
      </c>
      <c r="C16" t="s">
        <v>164</v>
      </c>
      <c r="D16" s="269" t="s">
        <v>817</v>
      </c>
      <c r="E16">
        <v>77.599999999999994</v>
      </c>
      <c r="F16" s="14"/>
      <c r="G16" s="62"/>
      <c r="H16" s="56"/>
      <c r="I16" s="14"/>
      <c r="J16" s="62"/>
      <c r="K16" s="56"/>
    </row>
    <row r="17" spans="1:11">
      <c r="A17" t="s">
        <v>100</v>
      </c>
      <c r="B17" s="218">
        <v>44167</v>
      </c>
      <c r="C17" t="s">
        <v>718</v>
      </c>
      <c r="D17" s="269" t="s">
        <v>112</v>
      </c>
      <c r="E17">
        <v>97.3</v>
      </c>
      <c r="F17" s="14"/>
      <c r="G17" s="62"/>
      <c r="H17" s="56"/>
      <c r="I17" s="14"/>
      <c r="J17" s="62"/>
      <c r="K17" s="56"/>
    </row>
    <row r="18" spans="1:11">
      <c r="A18" t="s">
        <v>100</v>
      </c>
      <c r="B18" s="218">
        <v>44167</v>
      </c>
      <c r="C18" t="s">
        <v>718</v>
      </c>
      <c r="D18" s="269" t="s">
        <v>114</v>
      </c>
      <c r="E18" s="277">
        <v>75</v>
      </c>
      <c r="F18" s="14"/>
      <c r="G18" s="62"/>
      <c r="H18" s="56"/>
      <c r="I18" s="14"/>
      <c r="J18" s="62"/>
      <c r="K18" s="56"/>
    </row>
    <row r="19" spans="1:11">
      <c r="A19" t="s">
        <v>100</v>
      </c>
      <c r="B19" s="218">
        <v>44167</v>
      </c>
      <c r="C19" t="s">
        <v>718</v>
      </c>
      <c r="D19" s="269" t="s">
        <v>817</v>
      </c>
      <c r="E19" s="277">
        <v>81</v>
      </c>
      <c r="F19" s="14"/>
      <c r="G19" s="62"/>
      <c r="H19" s="56"/>
      <c r="I19" s="14"/>
      <c r="J19" s="62"/>
      <c r="K19" s="56"/>
    </row>
    <row r="20" spans="1:11">
      <c r="A20" t="s">
        <v>104</v>
      </c>
      <c r="B20" s="218">
        <v>44168</v>
      </c>
      <c r="C20" t="s">
        <v>784</v>
      </c>
      <c r="D20" s="269" t="s">
        <v>112</v>
      </c>
      <c r="E20">
        <v>55.3</v>
      </c>
      <c r="F20" s="14"/>
      <c r="G20" s="62"/>
      <c r="H20" s="56"/>
      <c r="I20" s="14"/>
      <c r="J20" s="62"/>
      <c r="K20" s="56"/>
    </row>
    <row r="21" spans="1:11">
      <c r="A21" t="s">
        <v>104</v>
      </c>
      <c r="B21" s="218">
        <v>44168</v>
      </c>
      <c r="C21" t="s">
        <v>784</v>
      </c>
      <c r="D21" s="269" t="s">
        <v>114</v>
      </c>
      <c r="E21">
        <v>68.8</v>
      </c>
      <c r="F21" s="14"/>
      <c r="G21" s="62"/>
      <c r="H21" s="56"/>
      <c r="I21" s="14"/>
      <c r="J21" s="62"/>
      <c r="K21" s="56"/>
    </row>
    <row r="22" spans="1:11">
      <c r="A22" t="s">
        <v>104</v>
      </c>
      <c r="B22" s="218">
        <v>44168</v>
      </c>
      <c r="C22" t="s">
        <v>784</v>
      </c>
      <c r="D22" s="269" t="s">
        <v>817</v>
      </c>
      <c r="E22">
        <v>86.2</v>
      </c>
      <c r="F22" s="14"/>
      <c r="G22" s="62"/>
      <c r="H22" s="56"/>
      <c r="I22" s="14"/>
      <c r="J22" s="62"/>
      <c r="K22" s="56"/>
    </row>
    <row r="23" spans="1:11">
      <c r="A23" t="s">
        <v>100</v>
      </c>
      <c r="B23" s="218">
        <v>44167</v>
      </c>
      <c r="C23" t="s">
        <v>815</v>
      </c>
      <c r="D23" s="269" t="s">
        <v>817</v>
      </c>
      <c r="E23">
        <v>72.3</v>
      </c>
      <c r="F23" s="14"/>
      <c r="G23" s="62"/>
      <c r="H23" s="56"/>
      <c r="I23" s="14"/>
      <c r="J23" s="62"/>
      <c r="K23" s="56"/>
    </row>
    <row r="24" spans="1:11">
      <c r="A24" t="s">
        <v>100</v>
      </c>
      <c r="B24" s="218">
        <v>44167</v>
      </c>
      <c r="C24" t="s">
        <v>788</v>
      </c>
      <c r="D24" s="269" t="s">
        <v>112</v>
      </c>
      <c r="E24">
        <v>99.7</v>
      </c>
      <c r="F24" s="14"/>
      <c r="G24" s="62"/>
      <c r="H24" s="56"/>
      <c r="I24" s="14"/>
      <c r="J24" s="62"/>
      <c r="K24" s="56"/>
    </row>
    <row r="25" spans="1:11">
      <c r="A25" t="s">
        <v>100</v>
      </c>
      <c r="B25" s="218">
        <v>44167</v>
      </c>
      <c r="C25" t="s">
        <v>788</v>
      </c>
      <c r="D25" s="269" t="s">
        <v>818</v>
      </c>
      <c r="E25">
        <v>128.19999999999999</v>
      </c>
      <c r="F25" s="14"/>
      <c r="G25" s="62"/>
      <c r="H25" s="56"/>
      <c r="I25" s="14"/>
      <c r="J25" s="62"/>
      <c r="K25" s="56"/>
    </row>
    <row r="26" spans="1:11">
      <c r="A26" t="s">
        <v>100</v>
      </c>
      <c r="B26" s="218">
        <v>44167</v>
      </c>
      <c r="C26" t="s">
        <v>775</v>
      </c>
      <c r="D26" s="269" t="s">
        <v>818</v>
      </c>
      <c r="E26">
        <v>116.9</v>
      </c>
      <c r="F26" s="14"/>
      <c r="G26" s="62"/>
      <c r="H26" s="56"/>
      <c r="I26" s="14"/>
      <c r="J26" s="62"/>
      <c r="K26" s="56"/>
    </row>
    <row r="27" spans="1:11">
      <c r="A27" t="s">
        <v>104</v>
      </c>
      <c r="B27" s="218">
        <v>44168</v>
      </c>
      <c r="C27" t="s">
        <v>801</v>
      </c>
      <c r="D27" s="269" t="s">
        <v>114</v>
      </c>
      <c r="E27">
        <v>107.4</v>
      </c>
      <c r="F27" s="14"/>
      <c r="G27" s="62"/>
      <c r="H27" s="56"/>
      <c r="I27" s="14"/>
      <c r="J27" s="62"/>
      <c r="K27" s="56"/>
    </row>
    <row r="28" spans="1:11">
      <c r="A28" t="s">
        <v>104</v>
      </c>
      <c r="B28" s="218">
        <v>44168</v>
      </c>
      <c r="C28" t="s">
        <v>801</v>
      </c>
      <c r="D28" s="269" t="s">
        <v>817</v>
      </c>
      <c r="E28">
        <v>107.4</v>
      </c>
      <c r="F28" s="14"/>
      <c r="G28" s="62"/>
      <c r="H28" s="56"/>
      <c r="I28" s="14"/>
      <c r="J28" s="62"/>
      <c r="K28" s="56"/>
    </row>
  </sheetData>
  <mergeCells count="3">
    <mergeCell ref="I3:K3"/>
    <mergeCell ref="F3:H3"/>
    <mergeCell ref="F2:K2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FF3F968A8E59439A425B5DB9DB1117" ma:contentTypeVersion="4" ma:contentTypeDescription="Create a new document." ma:contentTypeScope="" ma:versionID="aae3b57f9fe2b3635ba295662678715d">
  <xsd:schema xmlns:xsd="http://www.w3.org/2001/XMLSchema" xmlns:xs="http://www.w3.org/2001/XMLSchema" xmlns:p="http://schemas.microsoft.com/office/2006/metadata/properties" xmlns:ns2="2f500cd4-e12b-40d2-8934-784d72387fc4" targetNamespace="http://schemas.microsoft.com/office/2006/metadata/properties" ma:root="true" ma:fieldsID="274b28677859729c4b03c9e7052f44ca" ns2:_="">
    <xsd:import namespace="2f500cd4-e12b-40d2-8934-784d72387f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00cd4-e12b-40d2-8934-784d72387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D0FEB1-E3A3-4C86-BF65-D86F470963E1}"/>
</file>

<file path=customXml/itemProps2.xml><?xml version="1.0" encoding="utf-8"?>
<ds:datastoreItem xmlns:ds="http://schemas.openxmlformats.org/officeDocument/2006/customXml" ds:itemID="{6FE0BD1D-5398-4F50-89B9-B5DE60C60A16}"/>
</file>

<file path=customXml/itemProps3.xml><?xml version="1.0" encoding="utf-8"?>
<ds:datastoreItem xmlns:ds="http://schemas.openxmlformats.org/officeDocument/2006/customXml" ds:itemID="{C921FD6F-5CF0-4FDF-BA3C-2E95859206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chemical_SAM-20210719</vt:lpstr>
      <vt:lpstr>Chemical properties 20210719</vt:lpstr>
      <vt:lpstr>Centrifuge-20211005</vt:lpstr>
      <vt:lpstr>Chamber-20210920</vt:lpstr>
      <vt:lpstr>pH and EC 20210719</vt:lpstr>
      <vt:lpstr>Ksat ChoctawTucker 20210719</vt:lpstr>
      <vt:lpstr>Aggregates 20210719</vt:lpstr>
      <vt:lpstr>Soil moisture 202012</vt:lpstr>
      <vt:lpstr>Soil Sample Remaining</vt:lpstr>
      <vt:lpstr>Ksat for Sam</vt:lpstr>
      <vt:lpstr>Fresh soil water content in Sam</vt:lpstr>
      <vt:lpstr>Chemi properties for Sam 2020</vt:lpstr>
      <vt:lpstr>Ammonia and nitratre for Sam</vt:lpstr>
      <vt:lpstr> water reten-parameters for Sam</vt:lpstr>
      <vt:lpstr>Ksat tested before 2021.1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刘晨</dc:creator>
  <cp:lastModifiedBy>tc</cp:lastModifiedBy>
  <dcterms:created xsi:type="dcterms:W3CDTF">2020-03-23T02:14:00Z</dcterms:created>
  <dcterms:modified xsi:type="dcterms:W3CDTF">2023-06-11T14:29:02Z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B039EC7B3CA64B9EA2E6E14CB7A0F53A</vt:lpwstr>
  </property>
  <property fmtid="{D5CDD505-2E9C-101B-9397-08002B2CF9AE}" pid="4" name="ContentTypeId">
    <vt:lpwstr>0x01010026FF3F968A8E59439A425B5DB9DB1117</vt:lpwstr>
  </property>
</Properties>
</file>