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0490" windowHeight="7155"/>
  </bookViews>
  <sheets>
    <sheet sheetId="8" name="Busbar" state="visible" r:id="rId4"/>
    <sheet sheetId="6" name="Detating Factor" state="visible" r:id="rId5"/>
  </sheets>
  <definedNames>
    <definedName name="_xlnm.Print_Area" localSheetId="0">'Busbar'!$A1:$L56</definedName>
  </definedNames>
  <calcPr calcId="171027"/>
</workbook>
</file>

<file path=xl/comments8.xml><?xml version="1.0" encoding="utf-8"?>
<comments xmlns="http://schemas.openxmlformats.org/spreadsheetml/2006/main">
  <authors>
    <author>Author</author>
  </authors>
  <commentList>
    <comment ref="D29" authorId="0">
      <text>
        <r>
          <rPr>
            <color indexed="81"/>
            <family val="2"/>
            <sz val="9"/>
            <rFont val="Tahoma"/>
          </rPr>
          <t>Aluminum=0.8 Amp/Sq.mm</t>
        </r>
        <r>
          <rPr>
            <color indexed="81"/>
            <family val="2"/>
            <sz val="9"/>
            <rFont val="Tahoma"/>
          </rPr>
          <t xml:space="preserve">
Copper =1.6 Amp/Sq.mm</t>
        </r>
      </text>
    </comment>
    <comment ref="D30" authorId="0">
      <text>
        <r>
          <rPr>
            <color indexed="81"/>
            <family val="2"/>
            <sz val="9"/>
            <rFont val="Tahoma"/>
          </rPr>
          <t xml:space="preserve">Aluminium=0.00403
Copper=0.00393
</t>
        </r>
      </text>
    </comment>
    <comment ref="D31" authorId="0">
      <text>
        <r>
          <rPr>
            <color indexed="81"/>
            <family val="2"/>
            <sz val="9"/>
            <rFont val="Tahoma"/>
          </rPr>
          <t xml:space="preserve">Aluminum=1.166
Copper=0.52
</t>
        </r>
      </text>
    </comment>
    <comment ref="D43" authorId="0">
      <text>
        <r>
          <rPr>
            <color indexed="81"/>
            <family val="2"/>
            <sz val="9"/>
            <rFont val="Tahoma"/>
          </rPr>
          <t xml:space="preserve">Normally Distance between each bar is equal to bus bar width
</t>
        </r>
      </text>
    </comment>
  </commentList>
</comments>
</file>

<file path=xl/sharedStrings.xml><?xml version="1.0" encoding="utf-8"?>
<sst xmlns="http://schemas.openxmlformats.org/spreadsheetml/2006/main" count="198" uniqueCount="138">
  <si>
    <t>Bus bar Size for Panel</t>
  </si>
  <si>
    <t xml:space="preserve">Sri Hanuman Bio Fuels Pvt ltd, 360, 361 &amp; 362 of Arugolanu village, Bapulpadu Mandal, Krishna district, Andhra </t>
  </si>
  <si>
    <t xml:space="preserve">Project Name : 300 KLPD AA Grain based Distillery on Broken Rice </t>
  </si>
  <si>
    <t>Project Code : N-24022</t>
  </si>
  <si>
    <t>Bus bar Details</t>
  </si>
  <si>
    <t>Bus bar Size Calculation</t>
  </si>
  <si>
    <t>Bus bar Current Details:</t>
  </si>
  <si>
    <t>De rating Factors</t>
  </si>
  <si>
    <t>Rated Voltage (L-L):</t>
  </si>
  <si>
    <t>Volt</t>
  </si>
  <si>
    <t>Per Phase Bus Strip De rating Factor (K1)</t>
  </si>
  <si>
    <t>Rated Frequency:</t>
  </si>
  <si>
    <t>Hz</t>
  </si>
  <si>
    <t>Busbar Insulating Material De rating Factor (K2)</t>
  </si>
  <si>
    <t>Desire Maximum Current Rating :</t>
  </si>
  <si>
    <t>Amp</t>
  </si>
  <si>
    <t>Busbar Position De rating Factor (K3)</t>
  </si>
  <si>
    <t>Fault Current (Isc):</t>
  </si>
  <si>
    <t>KA</t>
  </si>
  <si>
    <t>Busbar Installation Media De rating Factor (K4)</t>
  </si>
  <si>
    <t>Fault Duration (t):</t>
  </si>
  <si>
    <t>Sec</t>
  </si>
  <si>
    <t>Busbar Artificial Ventilation De rating Factor (K5)</t>
  </si>
  <si>
    <t>Bus bar Temperature Details:</t>
  </si>
  <si>
    <t>Enclosure &amp; Ventilation De rating Factor (K6)</t>
  </si>
  <si>
    <t>Operating Temperature of Bus bar (θ)</t>
  </si>
  <si>
    <t>°c</t>
  </si>
  <si>
    <t>Proxy Effect De rating Factor (K7)</t>
  </si>
  <si>
    <t>Final Temperature of Bus bar during Fault(θ1)</t>
  </si>
  <si>
    <t>Altitude of Bus Bar installation De rating Factor (K8)</t>
  </si>
  <si>
    <t>Temperature rise of Bus Bar Bar during Fault (θt=θ1-θ)</t>
  </si>
  <si>
    <t>Total Derating Factor:</t>
  </si>
  <si>
    <t>Ambient Temperature(θn):</t>
  </si>
  <si>
    <t>Busbar Size Calculation</t>
  </si>
  <si>
    <t>Maximum Bus Bar Temperature Rise:</t>
  </si>
  <si>
    <t>Desire Current Rating of Busbar (I2)</t>
  </si>
  <si>
    <t>Enclosure Detail:</t>
  </si>
  <si>
    <t>Current Rating of Busbar after Derating Factor (I1)</t>
  </si>
  <si>
    <t>Type of Panel</t>
  </si>
  <si>
    <t>Cubical Type</t>
  </si>
  <si>
    <t>Busbar Cross Section Area as per Current</t>
  </si>
  <si>
    <t>Sq.mm</t>
  </si>
  <si>
    <t>Installation of Panel</t>
  </si>
  <si>
    <t>Indoors (well Ventilated)</t>
  </si>
  <si>
    <t>Busbar Cross Section Area as per Short Circuit</t>
  </si>
  <si>
    <t>Altitude of Panel Installation on Site</t>
  </si>
  <si>
    <t>Meter</t>
  </si>
  <si>
    <t>Final Calculated Bus Bar Cross Section Area</t>
  </si>
  <si>
    <t>Panel Length</t>
  </si>
  <si>
    <t>mm</t>
  </si>
  <si>
    <t>Actual Cross Section Area of Busbar</t>
  </si>
  <si>
    <t>Panel Width</t>
  </si>
  <si>
    <t>Panel Height</t>
  </si>
  <si>
    <t>Forces generated on Bus Bar due to Short Circuit Current</t>
  </si>
  <si>
    <t>Panel Area:</t>
  </si>
  <si>
    <t>Peak electro-magnetic forces between phase conductors (F1)</t>
  </si>
  <si>
    <t>Kg/cm2</t>
  </si>
  <si>
    <t>Bus bar Detail:</t>
  </si>
  <si>
    <t>Kg/mm2</t>
  </si>
  <si>
    <t>Bus bar Material</t>
  </si>
  <si>
    <t>Aluminium</t>
  </si>
  <si>
    <t>Forces at the head of the Supports or Bus Bar (F)</t>
  </si>
  <si>
    <t>Bus bar Shape</t>
  </si>
  <si>
    <t>Flat Bars</t>
  </si>
  <si>
    <t>Permissible Strength of Insulator (F') is</t>
  </si>
  <si>
    <t>Bus bar Strip Arrangements</t>
  </si>
  <si>
    <t>Horizontal</t>
  </si>
  <si>
    <t>Current Density of Bus Bar Material</t>
  </si>
  <si>
    <t>A/Sq.mm</t>
  </si>
  <si>
    <t>Mechanical strength of the busbars</t>
  </si>
  <si>
    <t>Temperature Co efficient of Material Resistance at 20°c(α20):</t>
  </si>
  <si>
    <t>Material Constant(K):</t>
  </si>
  <si>
    <t>Bus bar Material Permissible Strength:</t>
  </si>
  <si>
    <t>Permissible Busbar Strength is</t>
  </si>
  <si>
    <t>Bus bar Insulating Material:</t>
  </si>
  <si>
    <t>Bare</t>
  </si>
  <si>
    <t>Bus bar Position:</t>
  </si>
  <si>
    <t>Edge-mounted bars</t>
  </si>
  <si>
    <t>Temperature Rise Calculation</t>
  </si>
  <si>
    <t>Bus bar Installation Media:</t>
  </si>
  <si>
    <t>Non-ventilated ducting</t>
  </si>
  <si>
    <t>Specified Maximum Temperature Rise (T1)</t>
  </si>
  <si>
    <t>Bus bar Artificial Ventilation Scheme:</t>
  </si>
  <si>
    <t>without artificial ventilation</t>
  </si>
  <si>
    <t>Calculated Maximum Temperature Rise (T2)</t>
  </si>
  <si>
    <t>Bus bar Size Detail:</t>
  </si>
  <si>
    <t>Busbar Width(e):</t>
  </si>
  <si>
    <t>Busbar Thickness(s):</t>
  </si>
  <si>
    <t>Results:</t>
  </si>
  <si>
    <t>Number of Bus Bar  per Phase(n):</t>
  </si>
  <si>
    <t>No's</t>
  </si>
  <si>
    <t>Total Busbar Area per Phase:</t>
  </si>
  <si>
    <t>Busbar Length per Phase(a):</t>
  </si>
  <si>
    <t>Distance between Two Bus Strip per Phase(e):</t>
  </si>
  <si>
    <t>Busbar Phase Spacing (p):</t>
  </si>
  <si>
    <t>Total width of Bus bar per Phase(w):</t>
  </si>
  <si>
    <t>Busbar Phase to Phase Distance (d):</t>
  </si>
  <si>
    <t>Modulus of inertia of a busbar or of a set of busbars</t>
  </si>
  <si>
    <t>cm3</t>
  </si>
  <si>
    <t>Total No of Circuit</t>
  </si>
  <si>
    <t>Total Busbar Area for Enclosure</t>
  </si>
  <si>
    <t>Busbar Support Insulator Detail:</t>
  </si>
  <si>
    <t>Distance between insulators on Same Phase(l):</t>
  </si>
  <si>
    <t>Insulator Height (H)</t>
  </si>
  <si>
    <t>Distance from the head of the insulator to the busbar centre of gravity (h):</t>
  </si>
  <si>
    <t>Permissible Strength of Insulator (F'):</t>
  </si>
  <si>
    <t>Ref: Merlin Gerin design guide (IEC 60 694)</t>
  </si>
  <si>
    <t>Indoors (Poorly Ventilated)</t>
  </si>
  <si>
    <t>Outdoor</t>
  </si>
  <si>
    <t>Round Bars</t>
  </si>
  <si>
    <t>Hollow Round Bars</t>
  </si>
  <si>
    <t>PVC Sleeving</t>
  </si>
  <si>
    <t>Painted</t>
  </si>
  <si>
    <t>1 bar base-mounted</t>
  </si>
  <si>
    <t>several base-mounted bars</t>
  </si>
  <si>
    <t>Calm indoor atmosphere</t>
  </si>
  <si>
    <t>Calm outdoor atmosphere</t>
  </si>
  <si>
    <t>with artificial ventilation</t>
  </si>
  <si>
    <t>Vertical</t>
  </si>
  <si>
    <t>Various Derating Factor</t>
  </si>
  <si>
    <t>Number of Bus bar Strip per Phase (K1)</t>
  </si>
  <si>
    <t>Bus bar Insulating Material (K2):</t>
  </si>
  <si>
    <t>De rating Factor</t>
  </si>
  <si>
    <t>e/a</t>
  </si>
  <si>
    <t>No of Bus bar per Phase</t>
  </si>
  <si>
    <t>Bus bar Position(K3):</t>
  </si>
  <si>
    <t>Bus bar Installation Media(K4):</t>
  </si>
  <si>
    <t>Volume of Enclosure &amp; Ventilation De rating Factor (K6)</t>
  </si>
  <si>
    <t>Bus bar Artificial Ventilation Scheme (K5):</t>
  </si>
  <si>
    <t>cross Section area of Busbar/Total Bus bar Area</t>
  </si>
  <si>
    <t>Indoors ( Panel is well Ventilated)</t>
  </si>
  <si>
    <t>Indoors ( Panel is Poorly Ventilated)</t>
  </si>
  <si>
    <t>Altitude of installation site (Meter) (K8)</t>
  </si>
  <si>
    <t>Value of Modulus of inertia of a bus bar or of a set of bus bars (i/v)</t>
  </si>
  <si>
    <t>No of Bus Strip per Phase</t>
  </si>
  <si>
    <t>Vertical Bus Bar (cm3)</t>
  </si>
  <si>
    <t>Horizontal Bus Bar (cm3)</t>
  </si>
  <si>
    <t>Proxiy Effect (K7):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</si>
</sst>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color theme="1"/>
      <family val="2"/>
      <scheme val="minor"/>
      <sz val="11"/>
      <name val="Calibri"/>
    </font>
    <font>
      <color theme="1"/>
      <family val="2"/>
      <sz val="10"/>
      <name val="Arial"/>
    </font>
    <font>
      <b/>
      <u/>
      <color rgb="FF0000FF"/>
      <family val="2"/>
      <sz val="20"/>
      <name val="Arial Narrow"/>
    </font>
    <font>
      <b/>
      <color theme="1"/>
      <family val="2"/>
      <sz val="14"/>
      <name val="Arial Narrow"/>
    </font>
    <font>
      <b/>
      <color rgb="FFC00000"/>
      <family val="2"/>
      <sz val="14"/>
      <name val="Arial Narrow"/>
    </font>
    <font>
      <b/>
      <color rgb="FF0000FF"/>
      <family val="2"/>
      <sz val="12"/>
      <name val="Arial Narrow"/>
    </font>
    <font>
      <b/>
      <color theme="1"/>
      <family val="2"/>
      <sz val="10"/>
      <name val="Arial"/>
    </font>
    <font>
      <color rgb="FFFFFAF3"/>
      <family val="2"/>
      <sz val="10"/>
      <name val="Arial"/>
    </font>
    <font>
      <b/>
      <color rgb="FF0000FF"/>
      <family val="2"/>
      <sz val="12"/>
      <name val="Arial"/>
    </font>
    <font>
      <b/>
      <color theme="1"/>
      <family val="2"/>
      <sz val="12"/>
      <name val="Arial"/>
    </font>
    <font>
      <b/>
      <color theme="1"/>
      <family val="2"/>
      <sz val="14"/>
      <name val="Arial"/>
    </font>
    <font>
      <b/>
      <color rgb="FF002060"/>
      <family val="2"/>
      <sz val="12"/>
      <name val="Arial Narrow"/>
    </font>
    <font>
      <color rgb="FF002060"/>
      <family val="2"/>
      <sz val="10"/>
      <name val="Arial"/>
    </font>
    <font>
      <b/>
      <u/>
      <color rgb="FF0000FF"/>
      <family val="2"/>
      <sz val="14"/>
      <name val="Arial Narrow"/>
    </font>
    <font>
      <color theme="1"/>
      <family val="2"/>
      <sz val="11"/>
      <name val="Arial Narrow"/>
    </font>
    <font>
      <b/>
      <color theme="1"/>
      <family val="2"/>
      <sz val="11"/>
      <name val="Arial Narrow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1" fillId="2" borderId="2" xfId="0" applyFont="1" applyFill="1" applyBorder="1"/>
    <xf numFmtId="0" fontId="1" fillId="2" borderId="4" xfId="0" applyFont="1" applyFill="1" applyBorder="1"/>
    <xf numFmtId="0" fontId="1" fillId="2" borderId="5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/>
    <xf numFmtId="0" fontId="1" fillId="0" borderId="7" xfId="0" applyFont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center" vertical="center"/>
    </xf>
    <xf numFmtId="10" fontId="1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2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6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0" fontId="7" fillId="2" borderId="6" xfId="0" applyFont="1" applyFill="1" applyBorder="1" applyAlignment="1" applyProtection="1">
      <alignment horizontal="left" vertical="center"/>
      <protection hidden="1"/>
    </xf>
    <xf numFmtId="0" fontId="8" fillId="2" borderId="0" xfId="0" applyFont="1" applyFill="1" applyAlignment="1">
      <alignment horizontal="left" vertical="center"/>
    </xf>
    <xf numFmtId="1" fontId="9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164" fontId="1" fillId="2" borderId="0" xfId="0" applyNumberFormat="1" applyFont="1" applyFill="1" applyAlignment="1">
      <alignment horizontal="center" vertical="center"/>
    </xf>
    <xf numFmtId="1" fontId="6" fillId="2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0" fontId="1" fillId="2" borderId="0" xfId="0" applyNumberFormat="1" applyFont="1" applyFill="1"/>
    <xf numFmtId="0" fontId="4" fillId="2" borderId="0" xfId="0" applyFont="1" applyFill="1" applyAlignment="1">
      <alignment horizontal="left" vertical="center"/>
    </xf>
    <xf numFmtId="1" fontId="1" fillId="2" borderId="5" xfId="0" applyNumberFormat="1" applyFont="1" applyFill="1" applyBorder="1" applyAlignment="1">
      <alignment vertical="center"/>
    </xf>
    <xf numFmtId="0" fontId="1" fillId="2" borderId="0" xfId="0" applyFont="1" applyFill="1" applyAlignment="1">
      <alignment vertical="center" wrapText="1"/>
    </xf>
    <xf numFmtId="0" fontId="1" fillId="2" borderId="8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8" xfId="0" applyFont="1" applyFill="1" applyBorder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/>
    <xf numFmtId="0" fontId="12" fillId="0" borderId="0" xfId="0" applyFont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4" fillId="0" borderId="0" xfId="0" applyFont="1"/>
    <xf numFmtId="0" fontId="14" fillId="2" borderId="0" xfId="0" applyFont="1" applyFill="1"/>
    <xf numFmtId="0" fontId="15" fillId="3" borderId="7" xfId="0" applyFont="1" applyFill="1" applyBorder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5" fillId="3" borderId="10" xfId="0" applyFont="1" applyFill="1" applyBorder="1" applyAlignment="1">
      <alignment horizontal="center" vertical="center"/>
    </xf>
    <xf numFmtId="0" fontId="6" fillId="3" borderId="7" xfId="0" applyFont="1" applyFill="1" applyBorder="1" applyAlignment="1" applyProtection="1">
      <alignment horizontal="center" vertical="center"/>
      <protection locked="0"/>
    </xf>
    <xf numFmtId="0" fontId="6" fillId="3" borderId="10" xfId="0" applyFont="1" applyFill="1" applyBorder="1" applyAlignment="1" applyProtection="1">
      <alignment horizontal="center" vertical="center"/>
      <protection locked="0"/>
    </xf>
    <xf numFmtId="0" fontId="6" fillId="3" borderId="11" xfId="0" applyFont="1" applyFill="1" applyBorder="1" applyAlignment="1" applyProtection="1">
      <alignment horizontal="center" vertical="center"/>
      <protection locked="0"/>
    </xf>
    <xf numFmtId="0" fontId="6" fillId="3" borderId="12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10" xfId="0" applyFont="1" applyBorder="1"/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1" fillId="0" borderId="10" xfId="0" applyFont="1" applyBorder="1" applyAlignment="1" applyProtection="1">
      <alignment vertical="center"/>
      <protection locked="0"/>
    </xf>
    <xf numFmtId="9" fontId="1" fillId="0" borderId="7" xfId="0" applyNumberFormat="1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6" fillId="0" borderId="7" xfId="0" applyFont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5" fillId="3" borderId="7" xfId="0" applyFont="1" applyFill="1" applyBorder="1" applyAlignment="1">
      <alignment vertical="center"/>
    </xf>
  </cellXfs>
  <cellStyles count="1">
    <cellStyle name="Normal" xfId="0" builtinId="0"/>
  </cellStyles>
  <dxfs count="14">
    <dxf>
      <font>
        <color rgb="FF006600"/>
      </font>
    </dxf>
    <dxf>
      <font>
        <color rgb="FFFF0000"/>
      </font>
    </dxf>
    <dxf>
      <font>
        <color rgb="FFFF0000"/>
      </font>
    </dxf>
    <dxf>
      <font>
        <color rgb="FF006600"/>
      </font>
    </dxf>
    <dxf>
      <font>
        <color rgb="FFFF0000"/>
      </font>
    </dxf>
    <dxf>
      <font>
        <color rgb="FF006600"/>
      </font>
    </dxf>
    <dxf>
      <font>
        <color rgb="FFFF0000"/>
      </font>
    </dxf>
    <dxf>
      <font>
        <color rgb="FF006600"/>
      </font>
    </dxf>
    <dxf>
      <font>
        <color rgb="FFFF0000"/>
      </font>
    </dxf>
    <dxf>
      <font>
        <color rgb="FF006600"/>
      </font>
    </dxf>
    <dxf>
      <font>
        <color rgb="FFFF0000"/>
      </font>
    </dxf>
    <dxf>
      <font>
        <color rgb="FF006600"/>
      </font>
    </dxf>
    <dxf>
      <font>
        <color rgb="FFFF0000"/>
      </font>
    </dxf>
    <dxf>
      <font>
        <color rgb="FF006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8.xml"/><Relationship Id="rId5" Type="http://schemas.openxmlformats.org/officeDocument/2006/relationships/worksheet" Target="worksheets/sheet6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44</xdr:row>
      <xdr:rowOff>66675</xdr:rowOff>
    </xdr:from>
    <xdr:to>
      <xdr:col>6</xdr:col>
      <xdr:colOff>3905250</xdr:colOff>
      <xdr:row>53</xdr:row>
      <xdr:rowOff>152400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2</xdr:row>
      <xdr:rowOff>76200</xdr:rowOff>
    </xdr:from>
    <xdr:to>
      <xdr:col>11</xdr:col>
      <xdr:colOff>676275</xdr:colOff>
      <xdr:row>6</xdr:row>
      <xdr:rowOff>135466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3" Type="http://schemas.openxmlformats.org/officeDocument/2006/relationships/drawing" Target="../drawings/drawing1.xml"/></Relationships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65"/>
  <sheetViews>
    <sheetView workbookViewId="0" showGridLines="0" zoomScale="90" zoomScaleNormal="90">
      <selection activeCell="B5" sqref="B5"/>
    </sheetView>
  </sheetViews>
  <sheetFormatPr defaultRowHeight="12.75" outlineLevelRow="0" outlineLevelCol="0" x14ac:dyDescent="0.2" customHeight="1"/>
  <cols>
    <col min="1" max="1" width="2.7109375" style="2" customWidth="1"/>
    <col min="2" max="2" width="25.28515625" style="2" customWidth="1"/>
    <col min="3" max="3" width="20.5703125" style="2" customWidth="1"/>
    <col min="4" max="4" width="24.140625" style="2" customWidth="1"/>
    <col min="5" max="5" width="11.5703125" style="2" customWidth="1"/>
    <col min="6" max="6" width="2.140625" style="2" customWidth="1"/>
    <col min="7" max="7" width="38.140625" style="2" customWidth="1"/>
    <col min="8" max="8" width="16.5703125" style="2" customWidth="1"/>
    <col min="9" max="16384" width="9.140625" style="2" customWidth="1"/>
  </cols>
  <sheetData>
    <row r="1" ht="7.5" customHeight="1" spans="1:2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ht="18" customHeight="1" spans="1:21" x14ac:dyDescent="0.25">
      <c r="A2" s="8"/>
      <c r="B2" s="54" t="s">
        <v>119</v>
      </c>
      <c r="C2" s="54"/>
      <c r="D2" s="54"/>
      <c r="E2" s="54"/>
      <c r="F2" s="54"/>
      <c r="G2" s="54"/>
      <c r="H2" s="5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x14ac:dyDescent="0.25">
      <c r="A3" s="8"/>
      <c r="B3" s="27"/>
      <c r="C3" s="27"/>
      <c r="D3" s="27"/>
      <c r="E3" s="27"/>
      <c r="F3" s="27"/>
      <c r="G3" s="27"/>
      <c r="H3" s="2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ht="14.25" customHeight="1" spans="1:21" s="55" customFormat="1" x14ac:dyDescent="0.25">
      <c r="A4" s="56"/>
      <c r="B4" s="57" t="s">
        <v>120</v>
      </c>
      <c r="C4" s="57"/>
      <c r="D4" s="57"/>
      <c r="E4" s="57"/>
      <c r="F4" s="58"/>
      <c r="G4" s="59" t="s">
        <v>121</v>
      </c>
      <c r="H4" s="57" t="s">
        <v>122</v>
      </c>
      <c r="I4" s="8"/>
      <c r="J4" s="8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</row>
    <row r="5" ht="15" customHeight="1" spans="1:21" x14ac:dyDescent="0.25">
      <c r="A5" s="8"/>
      <c r="B5" s="60" t="s">
        <v>123</v>
      </c>
      <c r="C5" s="61" t="s">
        <v>124</v>
      </c>
      <c r="D5" s="62"/>
      <c r="E5" s="63"/>
      <c r="F5" s="8"/>
      <c r="G5" s="64" t="s">
        <v>75</v>
      </c>
      <c r="H5" s="65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s="1" customFormat="1" x14ac:dyDescent="0.25">
      <c r="A6" s="5"/>
      <c r="B6" s="60"/>
      <c r="C6" s="60">
        <v>1</v>
      </c>
      <c r="D6" s="60">
        <v>2</v>
      </c>
      <c r="E6" s="60">
        <v>3</v>
      </c>
      <c r="F6" s="5"/>
      <c r="G6" s="64" t="s">
        <v>111</v>
      </c>
      <c r="H6" s="65">
        <v>1.2</v>
      </c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5">
      <c r="A7" s="8"/>
      <c r="B7" s="22">
        <v>0.05</v>
      </c>
      <c r="C7" s="22">
        <v>1</v>
      </c>
      <c r="D7" s="22">
        <v>1.63</v>
      </c>
      <c r="E7" s="22">
        <v>2.4</v>
      </c>
      <c r="F7" s="8"/>
      <c r="G7" s="64" t="s">
        <v>112</v>
      </c>
      <c r="H7" s="65">
        <v>1.5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ht="16.5" customHeight="1" spans="1:21" x14ac:dyDescent="0.25">
      <c r="A8" s="8"/>
      <c r="B8" s="22">
        <v>0.06</v>
      </c>
      <c r="C8" s="22">
        <v>1</v>
      </c>
      <c r="D8" s="22">
        <v>1.73</v>
      </c>
      <c r="E8" s="22">
        <v>2.45</v>
      </c>
      <c r="F8" s="8"/>
      <c r="G8" s="59" t="s">
        <v>125</v>
      </c>
      <c r="H8" s="57" t="s">
        <v>122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x14ac:dyDescent="0.25">
      <c r="A9" s="8"/>
      <c r="B9" s="22">
        <v>0.08</v>
      </c>
      <c r="C9" s="22">
        <v>1</v>
      </c>
      <c r="D9" s="22">
        <v>1.76</v>
      </c>
      <c r="E9" s="22">
        <v>2.5</v>
      </c>
      <c r="F9" s="8"/>
      <c r="G9" s="64" t="s">
        <v>77</v>
      </c>
      <c r="H9" s="65">
        <v>1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8"/>
      <c r="B10" s="22">
        <v>0.1</v>
      </c>
      <c r="C10" s="22">
        <v>1</v>
      </c>
      <c r="D10" s="22">
        <v>1.8</v>
      </c>
      <c r="E10" s="22">
        <v>2.55</v>
      </c>
      <c r="F10" s="8"/>
      <c r="G10" s="64" t="s">
        <v>113</v>
      </c>
      <c r="H10" s="65">
        <v>0.95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x14ac:dyDescent="0.25">
      <c r="A11" s="8"/>
      <c r="B11" s="22">
        <v>0.12</v>
      </c>
      <c r="C11" s="22">
        <v>1</v>
      </c>
      <c r="D11" s="22">
        <v>1.83</v>
      </c>
      <c r="E11" s="22">
        <v>2.6</v>
      </c>
      <c r="F11" s="8"/>
      <c r="G11" s="64" t="s">
        <v>114</v>
      </c>
      <c r="H11" s="65">
        <v>0.75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ht="16.5" customHeight="1" spans="1:21" x14ac:dyDescent="0.25">
      <c r="A12" s="8"/>
      <c r="B12" s="22">
        <v>0.14</v>
      </c>
      <c r="C12" s="22">
        <v>1</v>
      </c>
      <c r="D12" s="22">
        <v>1.85</v>
      </c>
      <c r="E12" s="22">
        <v>2.63</v>
      </c>
      <c r="F12" s="8"/>
      <c r="G12" s="59" t="s">
        <v>126</v>
      </c>
      <c r="H12" s="57" t="s">
        <v>122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8"/>
      <c r="B13" s="22">
        <v>0.16</v>
      </c>
      <c r="C13" s="22">
        <v>1</v>
      </c>
      <c r="D13" s="22">
        <v>1.87</v>
      </c>
      <c r="E13" s="22">
        <v>2.65</v>
      </c>
      <c r="F13" s="8"/>
      <c r="G13" s="66" t="s">
        <v>115</v>
      </c>
      <c r="H13" s="67">
        <v>1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x14ac:dyDescent="0.25">
      <c r="A14" s="8"/>
      <c r="B14" s="22">
        <v>0.18</v>
      </c>
      <c r="C14" s="22">
        <v>1</v>
      </c>
      <c r="D14" s="22">
        <v>1.89</v>
      </c>
      <c r="E14" s="22">
        <v>2.68</v>
      </c>
      <c r="F14" s="8"/>
      <c r="G14" s="66" t="s">
        <v>116</v>
      </c>
      <c r="H14" s="67">
        <v>1.2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x14ac:dyDescent="0.25">
      <c r="A15" s="8"/>
      <c r="B15" s="22">
        <v>0.2</v>
      </c>
      <c r="C15" s="22">
        <v>1</v>
      </c>
      <c r="D15" s="22">
        <v>1.91</v>
      </c>
      <c r="E15" s="22">
        <v>2.7</v>
      </c>
      <c r="F15" s="8"/>
      <c r="G15" s="66" t="s">
        <v>80</v>
      </c>
      <c r="H15" s="67">
        <v>0.8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ht="16.5" customHeight="1" spans="1:21" x14ac:dyDescent="0.25">
      <c r="A16" s="8"/>
      <c r="B16" s="57" t="s">
        <v>127</v>
      </c>
      <c r="C16" s="57"/>
      <c r="D16" s="57"/>
      <c r="E16" s="57"/>
      <c r="F16" s="8"/>
      <c r="G16" s="59" t="s">
        <v>128</v>
      </c>
      <c r="H16" s="57" t="s">
        <v>122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ht="25.5" customHeight="1" spans="1:21" x14ac:dyDescent="0.25">
      <c r="A17" s="8"/>
      <c r="B17" s="68" t="s">
        <v>129</v>
      </c>
      <c r="C17" s="68" t="s">
        <v>130</v>
      </c>
      <c r="D17" s="68" t="s">
        <v>131</v>
      </c>
      <c r="E17" s="68" t="s">
        <v>108</v>
      </c>
      <c r="F17" s="8"/>
      <c r="G17" s="69" t="s">
        <v>83</v>
      </c>
      <c r="H17" s="22">
        <v>0.9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x14ac:dyDescent="0.25">
      <c r="A18" s="8"/>
      <c r="B18" s="70">
        <v>0</v>
      </c>
      <c r="C18" s="22">
        <v>0.95</v>
      </c>
      <c r="D18" s="22">
        <v>0.85</v>
      </c>
      <c r="E18" s="22">
        <v>0.65</v>
      </c>
      <c r="F18" s="8"/>
      <c r="G18" s="64" t="s">
        <v>117</v>
      </c>
      <c r="H18" s="65">
        <v>1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ht="16.5" customHeight="1" spans="1:21" x14ac:dyDescent="0.25">
      <c r="A19" s="8"/>
      <c r="B19" s="70">
        <v>0.01</v>
      </c>
      <c r="C19" s="22">
        <v>0.95</v>
      </c>
      <c r="D19" s="22">
        <v>0.85</v>
      </c>
      <c r="E19" s="22">
        <v>0.65</v>
      </c>
      <c r="F19" s="8"/>
      <c r="G19" s="59" t="s">
        <v>132</v>
      </c>
      <c r="H19" s="57" t="s">
        <v>122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8"/>
      <c r="B20" s="70">
        <v>0.05</v>
      </c>
      <c r="C20" s="22">
        <v>0.9</v>
      </c>
      <c r="D20" s="22">
        <v>0.7</v>
      </c>
      <c r="E20" s="22">
        <v>0.6</v>
      </c>
      <c r="F20" s="8"/>
      <c r="G20" s="71">
        <v>2200</v>
      </c>
      <c r="H20" s="22">
        <v>0.88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8"/>
      <c r="B21" s="70">
        <v>0.1</v>
      </c>
      <c r="C21" s="22">
        <v>0.85</v>
      </c>
      <c r="D21" s="22">
        <v>0.65</v>
      </c>
      <c r="E21" s="22">
        <v>0.5</v>
      </c>
      <c r="F21" s="8"/>
      <c r="G21" s="71">
        <v>2400</v>
      </c>
      <c r="H21" s="22">
        <v>0.87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x14ac:dyDescent="0.25">
      <c r="A22" s="8"/>
      <c r="B22" s="8"/>
      <c r="C22" s="8"/>
      <c r="D22" s="8"/>
      <c r="E22" s="8"/>
      <c r="F22" s="8"/>
      <c r="G22" s="71">
        <v>2500</v>
      </c>
      <c r="H22" s="22">
        <v>0.86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8"/>
      <c r="B23" s="8"/>
      <c r="C23" s="8"/>
      <c r="D23" s="8"/>
      <c r="E23" s="8"/>
      <c r="F23" s="8"/>
      <c r="G23" s="71">
        <v>2700</v>
      </c>
      <c r="H23" s="22">
        <v>0.85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ht="16.5" customHeight="1" spans="1:21" x14ac:dyDescent="0.25">
      <c r="A24" s="8"/>
      <c r="B24" s="57" t="s">
        <v>133</v>
      </c>
      <c r="C24" s="57"/>
      <c r="D24" s="57"/>
      <c r="E24" s="20">
        <f>IF(Busbar!D40,Busbar!D40,3)</f>
        <v>1</v>
      </c>
      <c r="F24" s="8"/>
      <c r="G24" s="71">
        <v>2900</v>
      </c>
      <c r="H24" s="22">
        <v>0.84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8"/>
      <c r="B25" s="72" t="s">
        <v>134</v>
      </c>
      <c r="C25" s="72" t="s">
        <v>135</v>
      </c>
      <c r="D25" s="72" t="s">
        <v>136</v>
      </c>
      <c r="E25" s="73">
        <f>IF(Busbar!D28=Busbar!C94,3,2)</f>
        <v>3</v>
      </c>
      <c r="F25" s="8"/>
      <c r="G25" s="71">
        <v>3000</v>
      </c>
      <c r="H25" s="22">
        <v>0.83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25">
      <c r="A26" s="8"/>
      <c r="B26" s="22">
        <v>1</v>
      </c>
      <c r="C26" s="22">
        <v>1.66</v>
      </c>
      <c r="D26" s="22">
        <v>16.66</v>
      </c>
      <c r="E26" s="73">
        <f>VLOOKUP(E24,B26:D28,E25,0)</f>
        <v>16.66</v>
      </c>
      <c r="F26" s="8"/>
      <c r="G26" s="71">
        <v>3300</v>
      </c>
      <c r="H26" s="22">
        <v>0.82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8"/>
      <c r="B27" s="22">
        <v>2</v>
      </c>
      <c r="C27" s="22">
        <v>14.45</v>
      </c>
      <c r="D27" s="22">
        <v>33.33</v>
      </c>
      <c r="E27" s="8"/>
      <c r="F27" s="8"/>
      <c r="G27" s="71">
        <v>3500</v>
      </c>
      <c r="H27" s="22">
        <v>0.81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25">
      <c r="A28" s="8"/>
      <c r="B28" s="22">
        <v>3</v>
      </c>
      <c r="C28" s="22">
        <v>33</v>
      </c>
      <c r="D28" s="22">
        <v>50</v>
      </c>
      <c r="E28" s="8"/>
      <c r="F28" s="8"/>
      <c r="G28" s="71">
        <v>4000</v>
      </c>
      <c r="H28" s="22">
        <v>0.78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25">
      <c r="A29" s="8"/>
      <c r="B29" s="8"/>
      <c r="C29" s="8"/>
      <c r="D29" s="8"/>
      <c r="E29" s="8"/>
      <c r="F29" s="8"/>
      <c r="G29" s="71">
        <v>4500</v>
      </c>
      <c r="H29" s="22">
        <v>0.76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8"/>
      <c r="B30" s="8"/>
      <c r="C30" s="8"/>
      <c r="D30" s="8"/>
      <c r="E30" s="8"/>
      <c r="F30" s="8"/>
      <c r="G30" s="71">
        <v>5000</v>
      </c>
      <c r="H30" s="22">
        <v>0.74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ht="16.5" customHeight="1" spans="1:21" x14ac:dyDescent="0.25">
      <c r="A31" s="8"/>
      <c r="B31" s="8"/>
      <c r="C31" s="74"/>
      <c r="D31" s="8"/>
      <c r="E31" s="8"/>
      <c r="F31" s="8"/>
      <c r="G31" s="59" t="s">
        <v>137</v>
      </c>
      <c r="H31" s="75" t="s">
        <v>122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x14ac:dyDescent="0.25">
      <c r="A32" s="8"/>
      <c r="B32" s="74">
        <v>30</v>
      </c>
      <c r="C32" s="74">
        <v>5</v>
      </c>
      <c r="D32" s="74">
        <f>B32*C32*1</f>
        <v>150</v>
      </c>
      <c r="E32" s="73">
        <f>B32*C32*2</f>
        <v>300</v>
      </c>
      <c r="F32" s="8"/>
      <c r="G32" s="22">
        <v>1</v>
      </c>
      <c r="H32" s="22">
        <v>0.82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x14ac:dyDescent="0.25">
      <c r="A33" s="8"/>
      <c r="B33" s="74">
        <v>30</v>
      </c>
      <c r="C33" s="74">
        <v>10</v>
      </c>
      <c r="D33" s="74">
        <f t="shared" ref="D33:D40" si="0">B33*C33*1</f>
        <v>300</v>
      </c>
      <c r="E33" s="73">
        <f t="shared" ref="E33:E40" si="1">B33*C33*2</f>
        <v>600</v>
      </c>
      <c r="F33" s="8"/>
      <c r="G33" s="22">
        <v>2</v>
      </c>
      <c r="H33" s="22">
        <v>0.82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x14ac:dyDescent="0.25">
      <c r="A34" s="8"/>
      <c r="B34" s="74">
        <v>40</v>
      </c>
      <c r="C34" s="74">
        <v>5</v>
      </c>
      <c r="D34" s="74">
        <f t="shared" si="0"/>
        <v>200</v>
      </c>
      <c r="E34" s="73">
        <f t="shared" si="1"/>
        <v>400</v>
      </c>
      <c r="F34" s="8"/>
      <c r="G34" s="22">
        <v>3</v>
      </c>
      <c r="H34" s="22">
        <v>0.82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A35" s="8"/>
      <c r="B35" s="74">
        <v>40</v>
      </c>
      <c r="C35" s="74">
        <v>10</v>
      </c>
      <c r="D35" s="74">
        <f t="shared" si="0"/>
        <v>400</v>
      </c>
      <c r="E35" s="73">
        <f t="shared" si="1"/>
        <v>800</v>
      </c>
      <c r="F35" s="8"/>
      <c r="G35" s="22">
        <v>4</v>
      </c>
      <c r="H35" s="22">
        <v>0.89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A36" s="8"/>
      <c r="B36" s="74">
        <v>50</v>
      </c>
      <c r="C36" s="74">
        <v>10</v>
      </c>
      <c r="D36" s="74">
        <f t="shared" si="0"/>
        <v>500</v>
      </c>
      <c r="E36" s="73">
        <f t="shared" si="1"/>
        <v>1000</v>
      </c>
      <c r="F36" s="8"/>
      <c r="G36" s="22">
        <v>5</v>
      </c>
      <c r="H36" s="22">
        <v>0.95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A37" s="8"/>
      <c r="B37" s="74">
        <v>60</v>
      </c>
      <c r="C37" s="74">
        <v>10</v>
      </c>
      <c r="D37" s="74">
        <f t="shared" si="0"/>
        <v>600</v>
      </c>
      <c r="E37" s="73">
        <f t="shared" si="1"/>
        <v>1200</v>
      </c>
      <c r="F37" s="8"/>
      <c r="G37" s="22">
        <v>6</v>
      </c>
      <c r="H37" s="22">
        <v>0.99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25">
      <c r="A38" s="8"/>
      <c r="B38" s="74">
        <v>75</v>
      </c>
      <c r="C38" s="74">
        <v>10</v>
      </c>
      <c r="D38" s="74">
        <f t="shared" si="0"/>
        <v>750</v>
      </c>
      <c r="E38" s="73">
        <f t="shared" si="1"/>
        <v>1500</v>
      </c>
      <c r="F38" s="8"/>
      <c r="G38" s="22">
        <v>7</v>
      </c>
      <c r="H38" s="22">
        <v>1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x14ac:dyDescent="0.25">
      <c r="A39" s="8"/>
      <c r="B39" s="74">
        <v>80</v>
      </c>
      <c r="C39" s="74">
        <v>10</v>
      </c>
      <c r="D39" s="74">
        <f t="shared" si="0"/>
        <v>800</v>
      </c>
      <c r="E39" s="73">
        <f t="shared" si="1"/>
        <v>1600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x14ac:dyDescent="0.25">
      <c r="A40" s="8"/>
      <c r="B40" s="74">
        <v>100</v>
      </c>
      <c r="C40" s="74">
        <v>10</v>
      </c>
      <c r="D40" s="74">
        <f t="shared" si="0"/>
        <v>1000</v>
      </c>
      <c r="E40" s="73">
        <f t="shared" si="1"/>
        <v>2000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x14ac:dyDescent="0.25">
      <c r="A41" s="8"/>
      <c r="B41" s="74"/>
      <c r="C41" s="74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8"/>
      <c r="B42" s="74"/>
      <c r="C42" s="74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8"/>
      <c r="B43" s="74"/>
      <c r="C43" s="74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8"/>
      <c r="B44" s="74"/>
      <c r="C44" s="74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</sheetData>
  <sheetProtection formatCells="0" formatColumns="0" formatRows="0"/>
  <mergeCells count="6">
    <mergeCell ref="B2:H2"/>
    <mergeCell ref="B4:E4"/>
    <mergeCell ref="C5:E5"/>
    <mergeCell ref="B5:B6"/>
    <mergeCell ref="B16:E16"/>
    <mergeCell ref="B24:D24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95"/>
  <sheetViews>
    <sheetView workbookViewId="0" showGridLines="0" zoomScale="90" zoomScaleNormal="90">
      <selection activeCell="C1" sqref="C1"/>
    </sheetView>
  </sheetViews>
  <sheetFormatPr defaultRowHeight="12.75" outlineLevelRow="0" outlineLevelCol="0" x14ac:dyDescent="0.2" customHeight="1"/>
  <cols>
    <col min="1" max="2" width="1.7109375" style="1" customWidth="1"/>
    <col min="3" max="3" width="54" style="1" customWidth="1"/>
    <col min="4" max="4" width="24.28515625" style="1" customWidth="1"/>
    <col min="5" max="5" width="9.28515625" style="1" customWidth="1"/>
    <col min="6" max="6" width="2.28515625" style="2" customWidth="1"/>
    <col min="7" max="7" width="66.42578125" style="3" customWidth="1"/>
    <col min="8" max="8" width="10.28515625" style="4" customWidth="1"/>
    <col min="9" max="9" width="9" style="1" customWidth="1"/>
    <col min="10" max="10" width="1" style="2" customWidth="1"/>
    <col min="11" max="11" width="9.140625" style="2" customWidth="1"/>
    <col min="12" max="12" width="13.42578125" style="2" customWidth="1"/>
    <col min="13" max="16384" width="9.140625" style="2" customWidth="1"/>
  </cols>
  <sheetData>
    <row r="1" ht="17.1" customHeight="1" spans="1:27" x14ac:dyDescent="0.25">
      <c r="A1" s="5"/>
      <c r="B1" s="5"/>
      <c r="C1" s="6" t="s">
        <v>0</v>
      </c>
      <c r="D1" s="6"/>
      <c r="E1" s="6"/>
      <c r="F1" s="5"/>
      <c r="G1" s="7" t="s">
        <v>1</v>
      </c>
      <c r="H1" s="7"/>
      <c r="I1" s="7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17.1" customHeight="1" spans="1:27" x14ac:dyDescent="0.25">
      <c r="A2" s="5"/>
      <c r="B2" s="5"/>
      <c r="C2" s="6"/>
      <c r="D2" s="6"/>
      <c r="E2" s="6"/>
      <c r="F2" s="8"/>
      <c r="G2" s="7" t="s">
        <v>2</v>
      </c>
      <c r="H2" s="7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ht="17.1" customHeight="1" spans="1:27" x14ac:dyDescent="0.25">
      <c r="A3" s="5"/>
      <c r="B3" s="5"/>
      <c r="C3" s="9"/>
      <c r="D3" s="9"/>
      <c r="E3" s="9"/>
      <c r="F3" s="8"/>
      <c r="G3" s="10" t="s">
        <v>3</v>
      </c>
      <c r="H3" s="10"/>
      <c r="I3" s="10"/>
      <c r="J3" s="10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ht="15.75" customHeight="1" spans="1:27" x14ac:dyDescent="0.25">
      <c r="A4" s="5"/>
      <c r="B4" s="11"/>
      <c r="C4" s="12" t="s">
        <v>4</v>
      </c>
      <c r="D4" s="12"/>
      <c r="E4" s="13"/>
      <c r="F4" s="14"/>
      <c r="G4" s="12" t="s">
        <v>5</v>
      </c>
      <c r="H4" s="12"/>
      <c r="I4" s="12"/>
      <c r="J4" s="15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16.5" customHeight="1" spans="1:27" x14ac:dyDescent="0.25">
      <c r="A5" s="5"/>
      <c r="B5" s="16"/>
      <c r="C5" s="17" t="s">
        <v>6</v>
      </c>
      <c r="D5" s="5"/>
      <c r="E5" s="18"/>
      <c r="F5" s="19"/>
      <c r="G5" s="17" t="s">
        <v>7</v>
      </c>
      <c r="H5" s="20"/>
      <c r="I5" s="20"/>
      <c r="J5" s="21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5">
      <c r="A6" s="5"/>
      <c r="B6" s="16"/>
      <c r="C6" s="5" t="s">
        <v>8</v>
      </c>
      <c r="D6" s="22">
        <v>11</v>
      </c>
      <c r="E6" s="23" t="s">
        <v>9</v>
      </c>
      <c r="F6" s="19"/>
      <c r="G6" s="24" t="s">
        <v>10</v>
      </c>
      <c r="H6" s="25">
        <f>VLOOKUP(I6,'Detating Factor'!B3:E11,(D40+1),TRUE)</f>
        <v>1</v>
      </c>
      <c r="I6" s="20">
        <f>D38/D42</f>
        <v>0.06</v>
      </c>
      <c r="J6" s="2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5">
      <c r="A7" s="5"/>
      <c r="B7" s="16"/>
      <c r="C7" s="5" t="s">
        <v>11</v>
      </c>
      <c r="D7" s="22">
        <v>50</v>
      </c>
      <c r="E7" s="23" t="s">
        <v>12</v>
      </c>
      <c r="F7" s="19"/>
      <c r="G7" s="24" t="s">
        <v>13</v>
      </c>
      <c r="H7" s="20">
        <f>VLOOKUP(D33,'Detating Factor'!G5:H7,2,0)</f>
        <v>1</v>
      </c>
      <c r="I7" s="20"/>
      <c r="J7" s="2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5">
      <c r="A8" s="5"/>
      <c r="B8" s="16"/>
      <c r="C8" s="5" t="s">
        <v>14</v>
      </c>
      <c r="D8" s="22">
        <v>1236.15</v>
      </c>
      <c r="E8" s="23" t="s">
        <v>15</v>
      </c>
      <c r="F8" s="19"/>
      <c r="G8" s="24" t="s">
        <v>16</v>
      </c>
      <c r="H8" s="20">
        <f>VLOOKUP(D34,'Detating Factor'!G9:H11,2,0)</f>
        <v>1</v>
      </c>
      <c r="I8" s="20"/>
      <c r="J8" s="2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5">
      <c r="A9" s="5"/>
      <c r="B9" s="16"/>
      <c r="C9" s="5" t="s">
        <v>17</v>
      </c>
      <c r="D9" s="22">
        <v>50</v>
      </c>
      <c r="E9" s="23" t="s">
        <v>18</v>
      </c>
      <c r="F9" s="19"/>
      <c r="G9" s="24" t="s">
        <v>19</v>
      </c>
      <c r="H9" s="20">
        <f>VLOOKUP(D35,'Detating Factor'!G13:H15,2,0)</f>
        <v>0.8</v>
      </c>
      <c r="I9" s="20"/>
      <c r="J9" s="2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5">
      <c r="A10" s="5"/>
      <c r="B10" s="16"/>
      <c r="C10" s="5" t="s">
        <v>20</v>
      </c>
      <c r="D10" s="22">
        <v>1</v>
      </c>
      <c r="E10" s="23" t="s">
        <v>21</v>
      </c>
      <c r="F10" s="19"/>
      <c r="G10" s="24" t="s">
        <v>22</v>
      </c>
      <c r="H10" s="20">
        <f>VLOOKUP(D36,'Detating Factor'!G17:H18,2,0)</f>
        <v>0.9</v>
      </c>
      <c r="I10" s="20"/>
      <c r="J10" s="2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16.5" customHeight="1" spans="1:27" x14ac:dyDescent="0.25">
      <c r="A11" s="5"/>
      <c r="B11" s="16"/>
      <c r="C11" s="17" t="s">
        <v>23</v>
      </c>
      <c r="D11" s="20"/>
      <c r="E11" s="23"/>
      <c r="F11" s="19"/>
      <c r="G11" s="24" t="s">
        <v>24</v>
      </c>
      <c r="H11" s="20">
        <f>VLOOKUP(I11,'Detating Factor'!B18:E20,E77,TRUE)</f>
        <v>0.95</v>
      </c>
      <c r="I11" s="26">
        <f>D49/D24</f>
        <v>0.000048828125</v>
      </c>
      <c r="J11" s="2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5">
      <c r="A12" s="5"/>
      <c r="B12" s="16"/>
      <c r="C12" s="5" t="s">
        <v>25</v>
      </c>
      <c r="D12" s="22">
        <v>45</v>
      </c>
      <c r="E12" s="23" t="s">
        <v>26</v>
      </c>
      <c r="F12" s="19"/>
      <c r="G12" s="24" t="s">
        <v>27</v>
      </c>
      <c r="H12" s="20">
        <f>VLOOKUP(I12,'Detating Factor'!G28:H34,2,TRUE)</f>
        <v>0.82</v>
      </c>
      <c r="I12" s="20">
        <f>ROUND((D44/D45),0)</f>
        <v>13</v>
      </c>
      <c r="J12" s="2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5">
      <c r="A13" s="5"/>
      <c r="B13" s="16"/>
      <c r="C13" s="5" t="s">
        <v>28</v>
      </c>
      <c r="D13" s="22">
        <v>40</v>
      </c>
      <c r="E13" s="23" t="s">
        <v>26</v>
      </c>
      <c r="F13" s="19"/>
      <c r="G13" s="24" t="s">
        <v>29</v>
      </c>
      <c r="H13" s="20">
        <f>VLOOKUP(D20,'Detating Factor'!G20:H30,2,TRUE)</f>
        <v>0.84</v>
      </c>
      <c r="I13" s="20"/>
      <c r="J13" s="2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5">
      <c r="A14" s="5"/>
      <c r="B14" s="16"/>
      <c r="C14" s="5" t="s">
        <v>30</v>
      </c>
      <c r="D14" s="27">
        <f>D13-D12</f>
        <v>-5</v>
      </c>
      <c r="E14" s="23" t="s">
        <v>26</v>
      </c>
      <c r="F14" s="19"/>
      <c r="G14" s="28" t="s">
        <v>31</v>
      </c>
      <c r="H14" s="29">
        <f>H6*H7*H8*H9*H10*H11*H12*H13</f>
        <v>0.47113920000000004</v>
      </c>
      <c r="I14" s="20"/>
      <c r="J14" s="2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ht="16.5" customHeight="1" spans="1:27" x14ac:dyDescent="0.25">
      <c r="A15" s="5"/>
      <c r="B15" s="16"/>
      <c r="C15" s="30" t="s">
        <v>32</v>
      </c>
      <c r="D15" s="27">
        <v>50</v>
      </c>
      <c r="E15" s="31" t="s">
        <v>26</v>
      </c>
      <c r="F15" s="19"/>
      <c r="G15" s="17" t="s">
        <v>33</v>
      </c>
      <c r="H15" s="20"/>
      <c r="I15" s="5"/>
      <c r="J15" s="2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5">
      <c r="A16" s="5"/>
      <c r="B16" s="16"/>
      <c r="C16" s="5" t="s">
        <v>34</v>
      </c>
      <c r="D16" s="27">
        <f>D12-D15</f>
        <v>-5</v>
      </c>
      <c r="E16" s="23" t="s">
        <v>26</v>
      </c>
      <c r="F16" s="19"/>
      <c r="G16" s="24" t="s">
        <v>35</v>
      </c>
      <c r="H16" s="20">
        <f>D8</f>
        <v>1236.15</v>
      </c>
      <c r="I16" s="20" t="s">
        <v>15</v>
      </c>
      <c r="J16" s="2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ht="16.5" customHeight="1" spans="1:27" x14ac:dyDescent="0.25">
      <c r="A17" s="5"/>
      <c r="B17" s="16"/>
      <c r="C17" s="17" t="s">
        <v>36</v>
      </c>
      <c r="D17" s="20"/>
      <c r="E17" s="23"/>
      <c r="F17" s="19"/>
      <c r="G17" s="24" t="s">
        <v>37</v>
      </c>
      <c r="H17" s="32">
        <f>IF(H14&lt;1,H16/H14,H16*H14)</f>
        <v>2623.74686716792</v>
      </c>
      <c r="I17" s="20" t="s">
        <v>15</v>
      </c>
      <c r="J17" s="2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5">
      <c r="A18" s="5"/>
      <c r="B18" s="16"/>
      <c r="C18" s="5" t="s">
        <v>38</v>
      </c>
      <c r="D18" s="22" t="s">
        <v>39</v>
      </c>
      <c r="E18" s="23"/>
      <c r="F18" s="19"/>
      <c r="G18" s="24" t="s">
        <v>40</v>
      </c>
      <c r="H18" s="32">
        <f>H17/D29</f>
        <v>3279.6835839599</v>
      </c>
      <c r="I18" s="20" t="s">
        <v>41</v>
      </c>
      <c r="J18" s="2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5">
      <c r="A19" s="5"/>
      <c r="B19" s="16"/>
      <c r="C19" s="5" t="s">
        <v>42</v>
      </c>
      <c r="D19" s="22" t="s">
        <v>43</v>
      </c>
      <c r="E19" s="33"/>
      <c r="F19" s="19"/>
      <c r="G19" s="24" t="s">
        <v>44</v>
      </c>
      <c r="H19" s="32" t="e">
        <f>((D9*1000)*SQRT(D31/(D14*100)*(1+D30*D12)*D10))</f>
        <v>#NUM!</v>
      </c>
      <c r="I19" s="20" t="s">
        <v>41</v>
      </c>
      <c r="J19" s="2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15.75" customHeight="1" spans="1:27" x14ac:dyDescent="0.25">
      <c r="A20" s="5"/>
      <c r="B20" s="16"/>
      <c r="C20" s="5" t="s">
        <v>45</v>
      </c>
      <c r="D20" s="22">
        <v>2900</v>
      </c>
      <c r="E20" s="23" t="s">
        <v>46</v>
      </c>
      <c r="F20" s="19"/>
      <c r="G20" s="34" t="s">
        <v>47</v>
      </c>
      <c r="H20" s="35" t="e">
        <f>MAX(H18:H19)</f>
        <v>#NUM!</v>
      </c>
      <c r="I20" s="36" t="s">
        <v>41</v>
      </c>
      <c r="J20" s="2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5">
      <c r="A21" s="5"/>
      <c r="B21" s="16"/>
      <c r="C21" s="5" t="s">
        <v>48</v>
      </c>
      <c r="D21" s="22">
        <v>800</v>
      </c>
      <c r="E21" s="23" t="s">
        <v>49</v>
      </c>
      <c r="F21" s="19"/>
      <c r="G21" s="24" t="s">
        <v>50</v>
      </c>
      <c r="H21" s="20">
        <f>D41</f>
        <v>150</v>
      </c>
      <c r="I21" s="20" t="s">
        <v>41</v>
      </c>
      <c r="J21" s="2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ht="18" customHeight="1" spans="1:27" x14ac:dyDescent="0.25">
      <c r="A22" s="5"/>
      <c r="B22" s="16"/>
      <c r="C22" s="5" t="s">
        <v>51</v>
      </c>
      <c r="D22" s="22">
        <v>9600</v>
      </c>
      <c r="E22" s="23" t="s">
        <v>49</v>
      </c>
      <c r="F22" s="19"/>
      <c r="G22" s="37" t="e">
        <f>IF(H20&lt;H21,"Bus Bar Size is OK","Increase Either Size or No of Busbar")</f>
        <v>#NUM!</v>
      </c>
      <c r="H22" s="20"/>
      <c r="I22" s="5"/>
      <c r="J22" s="21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ht="16.5" customHeight="1" spans="1:27" x14ac:dyDescent="0.25">
      <c r="A23" s="5"/>
      <c r="B23" s="16"/>
      <c r="C23" s="5" t="s">
        <v>52</v>
      </c>
      <c r="D23" s="22">
        <v>2400</v>
      </c>
      <c r="E23" s="23" t="s">
        <v>49</v>
      </c>
      <c r="F23" s="19"/>
      <c r="G23" s="38" t="s">
        <v>53</v>
      </c>
      <c r="H23" s="20"/>
      <c r="I23" s="20"/>
      <c r="J23" s="21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5">
      <c r="A24" s="5"/>
      <c r="B24" s="16"/>
      <c r="C24" s="5" t="s">
        <v>54</v>
      </c>
      <c r="D24" s="20">
        <f>D21*D22*D23</f>
        <v>18432000000</v>
      </c>
      <c r="E24" s="23" t="s">
        <v>41</v>
      </c>
      <c r="F24" s="19"/>
      <c r="G24" s="24" t="s">
        <v>55</v>
      </c>
      <c r="H24" s="32">
        <f>(2*(B51/B46)*((2.5*D9*1000)^2))/100000000</f>
        <v>363.37209302325584</v>
      </c>
      <c r="I24" s="20" t="s">
        <v>56</v>
      </c>
      <c r="J24" s="21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ht="16.5" customHeight="1" spans="1:27" x14ac:dyDescent="0.25">
      <c r="A25" s="5"/>
      <c r="B25" s="16"/>
      <c r="C25" s="17" t="s">
        <v>57</v>
      </c>
      <c r="D25" s="20"/>
      <c r="E25" s="23"/>
      <c r="F25" s="19"/>
      <c r="G25" s="24" t="s">
        <v>55</v>
      </c>
      <c r="H25" s="39">
        <f>H24*0.01</f>
        <v>3.6337209302325584</v>
      </c>
      <c r="I25" s="20" t="s">
        <v>58</v>
      </c>
      <c r="J25" s="21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5">
      <c r="A26" s="5"/>
      <c r="B26" s="16"/>
      <c r="C26" s="5" t="s">
        <v>59</v>
      </c>
      <c r="D26" s="22" t="s">
        <v>60</v>
      </c>
      <c r="E26" s="23"/>
      <c r="F26" s="19"/>
      <c r="G26" s="24" t="s">
        <v>61</v>
      </c>
      <c r="H26" s="40">
        <f>(H25*((D52+D53)/D52))</f>
        <v>3.8154069767441863</v>
      </c>
      <c r="I26" s="20" t="s">
        <v>58</v>
      </c>
      <c r="J26" s="2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5">
      <c r="A27" s="5"/>
      <c r="B27" s="16"/>
      <c r="C27" s="5" t="s">
        <v>62</v>
      </c>
      <c r="D27" s="22" t="s">
        <v>63</v>
      </c>
      <c r="E27" s="23"/>
      <c r="F27" s="19"/>
      <c r="G27" s="24" t="s">
        <v>64</v>
      </c>
      <c r="H27" s="20">
        <f>B54</f>
        <v>10</v>
      </c>
      <c r="I27" s="20" t="s">
        <v>58</v>
      </c>
      <c r="J27" s="21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ht="18" customHeight="1" spans="1:27" x14ac:dyDescent="0.25">
      <c r="A28" s="5"/>
      <c r="B28" s="16"/>
      <c r="C28" s="5" t="s">
        <v>65</v>
      </c>
      <c r="D28" s="22" t="s">
        <v>66</v>
      </c>
      <c r="E28" s="23"/>
      <c r="F28" s="19"/>
      <c r="G28" s="37" t="str">
        <f>IF(H26&lt;=H27,"Forces on Insulation is in within Limits","Forces on Insulatior is more than Perissible Value")</f>
        <v>Forces on Insulation is in within Limits</v>
      </c>
      <c r="H28" s="20"/>
      <c r="I28" s="5"/>
      <c r="J28" s="21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ht="16.5" customHeight="1" spans="1:27" x14ac:dyDescent="0.25">
      <c r="A29" s="5"/>
      <c r="B29" s="16"/>
      <c r="C29" s="5" t="s">
        <v>67</v>
      </c>
      <c r="D29" s="22">
        <v>0.8</v>
      </c>
      <c r="E29" s="23" t="s">
        <v>68</v>
      </c>
      <c r="F29" s="19"/>
      <c r="G29" s="17" t="s">
        <v>69</v>
      </c>
      <c r="H29" s="20"/>
      <c r="I29" s="20"/>
      <c r="J29" s="21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5">
      <c r="A30" s="5"/>
      <c r="B30" s="16"/>
      <c r="C30" s="5" t="s">
        <v>70</v>
      </c>
      <c r="D30" s="22">
        <v>0.00403</v>
      </c>
      <c r="E30" s="23"/>
      <c r="F30" s="19"/>
      <c r="G30" s="24" t="s">
        <v>69</v>
      </c>
      <c r="H30" s="32">
        <f>(((H24*B51)/12)*(1/D47))</f>
        <v>90.8793750058163</v>
      </c>
      <c r="I30" s="20" t="s">
        <v>56</v>
      </c>
      <c r="J30" s="21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5">
      <c r="A31" s="5"/>
      <c r="B31" s="16"/>
      <c r="C31" s="5" t="s">
        <v>71</v>
      </c>
      <c r="D31" s="22">
        <v>1.166</v>
      </c>
      <c r="E31" s="23"/>
      <c r="F31" s="19"/>
      <c r="G31" s="24" t="s">
        <v>69</v>
      </c>
      <c r="H31" s="41">
        <f>H30*0.01</f>
        <v>0.908793750058163</v>
      </c>
      <c r="I31" s="20" t="s">
        <v>58</v>
      </c>
      <c r="J31" s="21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5">
      <c r="A32" s="5"/>
      <c r="B32" s="16">
        <f>D32*0.01</f>
        <v>12</v>
      </c>
      <c r="C32" s="5" t="s">
        <v>72</v>
      </c>
      <c r="D32" s="22">
        <v>1200</v>
      </c>
      <c r="E32" s="23" t="s">
        <v>56</v>
      </c>
      <c r="F32" s="19"/>
      <c r="G32" s="24" t="s">
        <v>73</v>
      </c>
      <c r="H32" s="20">
        <f>B32</f>
        <v>12</v>
      </c>
      <c r="I32" s="20" t="s">
        <v>58</v>
      </c>
      <c r="J32" s="21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ht="18" customHeight="1" spans="1:27" x14ac:dyDescent="0.25">
      <c r="A33" s="5"/>
      <c r="B33" s="16"/>
      <c r="C33" s="5" t="s">
        <v>74</v>
      </c>
      <c r="D33" s="22" t="s">
        <v>75</v>
      </c>
      <c r="E33" s="23"/>
      <c r="F33" s="19"/>
      <c r="G33" s="37" t="str">
        <f>IF(H31&lt;=H32,"Mechanical strength of Busbar is in within Limit","Mechanical strength of Busbar is in not Proper")</f>
        <v>Mechanical strength of Busbar is in within Limit</v>
      </c>
      <c r="H33" s="20"/>
      <c r="I33" s="5"/>
      <c r="J33" s="21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ht="16.5" customHeight="1" spans="1:27" x14ac:dyDescent="0.25">
      <c r="A34" s="5"/>
      <c r="B34" s="16"/>
      <c r="C34" s="5" t="s">
        <v>76</v>
      </c>
      <c r="D34" s="22" t="s">
        <v>77</v>
      </c>
      <c r="E34" s="23"/>
      <c r="F34" s="19"/>
      <c r="G34" s="17" t="s">
        <v>78</v>
      </c>
      <c r="H34" s="20"/>
      <c r="I34" s="20"/>
      <c r="J34" s="21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5">
      <c r="A35" s="5"/>
      <c r="B35" s="16"/>
      <c r="C35" s="5" t="s">
        <v>79</v>
      </c>
      <c r="D35" s="22" t="s">
        <v>80</v>
      </c>
      <c r="E35" s="23"/>
      <c r="F35" s="19"/>
      <c r="G35" s="24" t="s">
        <v>81</v>
      </c>
      <c r="H35" s="20">
        <f>D16</f>
        <v>-5</v>
      </c>
      <c r="I35" s="5" t="s">
        <v>26</v>
      </c>
      <c r="J35" s="21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5">
      <c r="A36" s="5"/>
      <c r="B36" s="16"/>
      <c r="C36" s="5" t="s">
        <v>82</v>
      </c>
      <c r="D36" s="22" t="s">
        <v>83</v>
      </c>
      <c r="E36" s="23"/>
      <c r="F36" s="19"/>
      <c r="G36" s="24" t="s">
        <v>84</v>
      </c>
      <c r="H36" s="40">
        <f>H35/IMPOWER((H17/H16),1.64)</f>
        <v>-1.4552404509866357</v>
      </c>
      <c r="I36" s="5" t="s">
        <v>26</v>
      </c>
      <c r="J36" s="21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ht="18.75" customHeight="1" spans="1:27" x14ac:dyDescent="0.25">
      <c r="A37" s="5"/>
      <c r="B37" s="16"/>
      <c r="C37" s="17" t="s">
        <v>85</v>
      </c>
      <c r="D37" s="20"/>
      <c r="E37" s="23"/>
      <c r="F37" s="19"/>
      <c r="G37" s="37" t="str">
        <f>IF(H36&lt;H35,"Temperature Rise is in within Limit","Temperature Rise is high than define Limit")</f>
        <v>Temperature Rise is high than define Limit</v>
      </c>
      <c r="H37" s="20"/>
      <c r="I37" s="20"/>
      <c r="J37" s="21"/>
      <c r="K37" s="8"/>
      <c r="L37" s="42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x14ac:dyDescent="0.25">
      <c r="A38" s="5"/>
      <c r="B38" s="16"/>
      <c r="C38" s="5" t="s">
        <v>86</v>
      </c>
      <c r="D38" s="22">
        <v>10</v>
      </c>
      <c r="E38" s="23" t="s">
        <v>49</v>
      </c>
      <c r="F38" s="19"/>
      <c r="G38" s="24"/>
      <c r="H38" s="20"/>
      <c r="I38" s="5"/>
      <c r="J38" s="21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ht="18" customHeight="1" spans="1:27" x14ac:dyDescent="0.25">
      <c r="A39" s="5"/>
      <c r="B39" s="16"/>
      <c r="C39" s="5" t="s">
        <v>87</v>
      </c>
      <c r="D39" s="22">
        <v>20</v>
      </c>
      <c r="E39" s="23" t="s">
        <v>49</v>
      </c>
      <c r="F39" s="19"/>
      <c r="G39" s="43" t="s">
        <v>88</v>
      </c>
      <c r="H39" s="20"/>
      <c r="I39" s="5"/>
      <c r="J39" s="21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x14ac:dyDescent="0.25">
      <c r="A40" s="5"/>
      <c r="B40" s="16"/>
      <c r="C40" s="5" t="s">
        <v>89</v>
      </c>
      <c r="D40" s="22">
        <v>30</v>
      </c>
      <c r="E40" s="23" t="s">
        <v>90</v>
      </c>
      <c r="F40" s="19"/>
      <c r="G40" s="24" t="str">
        <f>"Size of Busbar:  "&amp;D40&amp;" Nos X "&amp;D38&amp;" X "&amp;D39&amp;" Per Phase"</f>
        <v>Size of Busbar:  1 Nos X 30 X 5 Per Phase</v>
      </c>
      <c r="H40" s="20"/>
      <c r="I40" s="5"/>
      <c r="J40" s="21"/>
      <c r="K40" s="8"/>
      <c r="L40" s="42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x14ac:dyDescent="0.25">
      <c r="A41" s="5"/>
      <c r="B41" s="16"/>
      <c r="C41" s="30" t="s">
        <v>91</v>
      </c>
      <c r="D41" s="27">
        <f>D38*D39*D40</f>
        <v>150</v>
      </c>
      <c r="E41" s="31" t="s">
        <v>41</v>
      </c>
      <c r="F41" s="19"/>
      <c r="G41" s="24" t="str">
        <f>"Total No's of Busbar: " &amp;D40*3&amp;" Nos X "&amp;D38&amp;" X "&amp;D39&amp;" for Phase and "&amp;I41&amp;" Nos X "&amp;D38&amp;" X "&amp;D39&amp;" Per Neutral"</f>
        <v>Total No's of Busbar: 3 Nos X 30 X 5 for Phase and 1 Nos X 30 X 5 Per Neutral</v>
      </c>
      <c r="H41" s="20"/>
      <c r="I41" s="20">
        <f>ROUND((IF(D40=1,1,D40/2)),0)</f>
        <v>1</v>
      </c>
      <c r="J41" s="21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x14ac:dyDescent="0.25">
      <c r="A42" s="5"/>
      <c r="B42" s="16"/>
      <c r="C42" s="5" t="s">
        <v>92</v>
      </c>
      <c r="D42" s="22">
        <v>500</v>
      </c>
      <c r="E42" s="23" t="s">
        <v>49</v>
      </c>
      <c r="F42" s="19"/>
      <c r="G42" s="24" t="str">
        <f>G26&amp;" :"&amp;H26&amp;I26</f>
        <v>Forces at the head of the Supports or Bus Bar (F) :3.81540697674419Kg/mm2</v>
      </c>
      <c r="H42" s="20"/>
      <c r="I42" s="5"/>
      <c r="J42" s="21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x14ac:dyDescent="0.25">
      <c r="A43" s="5"/>
      <c r="B43" s="16"/>
      <c r="C43" s="5" t="s">
        <v>93</v>
      </c>
      <c r="D43" s="22">
        <v>30</v>
      </c>
      <c r="E43" s="23" t="s">
        <v>49</v>
      </c>
      <c r="F43" s="19"/>
      <c r="G43" s="24" t="str">
        <f>G31&amp;" :"&amp;ROUND(H31,1)&amp;I31</f>
        <v>Mechanical strength of the busbars :0.9Kg/mm2</v>
      </c>
      <c r="H43" s="20"/>
      <c r="I43" s="5"/>
      <c r="J43" s="21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x14ac:dyDescent="0.25">
      <c r="A44" s="5"/>
      <c r="B44" s="16"/>
      <c r="C44" s="5" t="s">
        <v>94</v>
      </c>
      <c r="D44" s="22">
        <v>400</v>
      </c>
      <c r="E44" s="23" t="s">
        <v>49</v>
      </c>
      <c r="F44" s="19"/>
      <c r="G44" s="24" t="str">
        <f>"Maximum Temperature Rise"&amp;" :"&amp;ROUND(H36,0)&amp;I36</f>
        <v>Maximum Temperature Rise :-1°c</v>
      </c>
      <c r="H44" s="20"/>
      <c r="I44" s="5"/>
      <c r="J44" s="21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x14ac:dyDescent="0.25">
      <c r="A45" s="5"/>
      <c r="B45" s="16"/>
      <c r="C45" s="5" t="s">
        <v>95</v>
      </c>
      <c r="D45" s="20">
        <f>((D40-1)*D43)+(D38*D40)</f>
        <v>30</v>
      </c>
      <c r="E45" s="23" t="s">
        <v>49</v>
      </c>
      <c r="F45" s="19"/>
      <c r="G45" s="24"/>
      <c r="H45" s="20"/>
      <c r="I45" s="5"/>
      <c r="J45" s="21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x14ac:dyDescent="0.25">
      <c r="A46" s="5"/>
      <c r="B46" s="44">
        <f>D46/10</f>
        <v>43</v>
      </c>
      <c r="C46" s="5" t="s">
        <v>96</v>
      </c>
      <c r="D46" s="20">
        <f>D45+D44</f>
        <v>430</v>
      </c>
      <c r="E46" s="23" t="s">
        <v>49</v>
      </c>
      <c r="F46" s="19"/>
      <c r="G46" s="24"/>
      <c r="H46" s="20"/>
      <c r="I46" s="5"/>
      <c r="J46" s="21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x14ac:dyDescent="0.25">
      <c r="A47" s="5"/>
      <c r="B47" s="16"/>
      <c r="C47" s="5" t="s">
        <v>97</v>
      </c>
      <c r="D47" s="20">
        <f>'Detating Factor'!E26</f>
        <v>16.66</v>
      </c>
      <c r="E47" s="23" t="s">
        <v>98</v>
      </c>
      <c r="F47" s="19"/>
      <c r="G47" s="24"/>
      <c r="H47" s="20"/>
      <c r="I47" s="5"/>
      <c r="J47" s="21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x14ac:dyDescent="0.25">
      <c r="A48" s="5"/>
      <c r="B48" s="16"/>
      <c r="C48" s="5" t="s">
        <v>99</v>
      </c>
      <c r="D48" s="22">
        <v>3</v>
      </c>
      <c r="E48" s="23"/>
      <c r="F48" s="19"/>
      <c r="G48" s="24"/>
      <c r="H48" s="20"/>
      <c r="I48" s="5"/>
      <c r="J48" s="21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x14ac:dyDescent="0.25">
      <c r="A49" s="5"/>
      <c r="B49" s="16"/>
      <c r="C49" s="30" t="s">
        <v>100</v>
      </c>
      <c r="D49" s="27">
        <f>D41*4*D48*D42</f>
        <v>900000</v>
      </c>
      <c r="E49" s="31" t="s">
        <v>41</v>
      </c>
      <c r="F49" s="19"/>
      <c r="G49" s="24"/>
      <c r="H49" s="20"/>
      <c r="I49" s="5"/>
      <c r="J49" s="21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6.5" customHeight="1" spans="1:27" x14ac:dyDescent="0.25">
      <c r="A50" s="5"/>
      <c r="B50" s="16"/>
      <c r="C50" s="17" t="s">
        <v>101</v>
      </c>
      <c r="D50" s="20"/>
      <c r="E50" s="23"/>
      <c r="F50" s="19"/>
      <c r="G50" s="24"/>
      <c r="H50" s="20"/>
      <c r="I50" s="5"/>
      <c r="J50" s="21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x14ac:dyDescent="0.25">
      <c r="A51" s="5"/>
      <c r="B51" s="16">
        <f>D51/10</f>
        <v>50</v>
      </c>
      <c r="C51" s="5" t="s">
        <v>102</v>
      </c>
      <c r="D51" s="22">
        <v>500</v>
      </c>
      <c r="E51" s="23" t="s">
        <v>49</v>
      </c>
      <c r="F51" s="19"/>
      <c r="G51" s="24"/>
      <c r="H51" s="20"/>
      <c r="I51" s="5"/>
      <c r="J51" s="21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x14ac:dyDescent="0.25">
      <c r="A52" s="5"/>
      <c r="B52" s="16">
        <f>D52/10</f>
        <v>10</v>
      </c>
      <c r="C52" s="5" t="s">
        <v>103</v>
      </c>
      <c r="D52" s="22">
        <v>100</v>
      </c>
      <c r="E52" s="23" t="s">
        <v>49</v>
      </c>
      <c r="F52" s="19"/>
      <c r="G52" s="24"/>
      <c r="H52" s="20"/>
      <c r="I52" s="5"/>
      <c r="J52" s="21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25.5" customHeight="1" spans="1:27" x14ac:dyDescent="0.25">
      <c r="A53" s="5"/>
      <c r="B53" s="16">
        <f>D53/10</f>
        <v>0.5</v>
      </c>
      <c r="C53" s="45" t="s">
        <v>104</v>
      </c>
      <c r="D53" s="22">
        <v>5</v>
      </c>
      <c r="E53" s="23" t="s">
        <v>49</v>
      </c>
      <c r="F53" s="19"/>
      <c r="G53" s="24"/>
      <c r="H53" s="20"/>
      <c r="I53" s="5"/>
      <c r="J53" s="21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x14ac:dyDescent="0.25">
      <c r="A54" s="5"/>
      <c r="B54" s="16">
        <f>D54*0.01</f>
        <v>10</v>
      </c>
      <c r="C54" s="5" t="s">
        <v>105</v>
      </c>
      <c r="D54" s="22">
        <v>1000</v>
      </c>
      <c r="E54" s="23" t="s">
        <v>56</v>
      </c>
      <c r="F54" s="19"/>
      <c r="G54" s="24"/>
      <c r="H54" s="20"/>
      <c r="I54" s="5"/>
      <c r="J54" s="21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3.5" customHeight="1" spans="1:27" x14ac:dyDescent="0.25">
      <c r="A55" s="5"/>
      <c r="B55" s="46"/>
      <c r="C55" s="47"/>
      <c r="D55" s="47"/>
      <c r="E55" s="48"/>
      <c r="F55" s="49"/>
      <c r="G55" s="50" t="s">
        <v>106</v>
      </c>
      <c r="H55" s="51"/>
      <c r="I55" s="47"/>
      <c r="J55" s="52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x14ac:dyDescent="0.25">
      <c r="A56" s="5"/>
      <c r="B56" s="5"/>
      <c r="C56" s="5"/>
      <c r="D56" s="5"/>
      <c r="E56" s="5"/>
      <c r="F56" s="8"/>
      <c r="G56" s="24"/>
      <c r="H56" s="20"/>
      <c r="I56" s="5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x14ac:dyDescent="0.25">
      <c r="A57" s="5"/>
      <c r="B57" s="5"/>
      <c r="C57" s="5"/>
      <c r="D57" s="5"/>
      <c r="E57" s="5"/>
      <c r="F57" s="8"/>
      <c r="G57" s="24"/>
      <c r="H57" s="20"/>
      <c r="I57" s="5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x14ac:dyDescent="0.25">
      <c r="A58" s="5"/>
      <c r="B58" s="5"/>
      <c r="C58" s="5"/>
      <c r="D58" s="5"/>
      <c r="E58" s="5"/>
      <c r="F58" s="8"/>
      <c r="G58" s="24"/>
      <c r="H58" s="20"/>
      <c r="I58" s="5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x14ac:dyDescent="0.25">
      <c r="A59" s="5"/>
      <c r="B59" s="5"/>
      <c r="C59" s="5"/>
      <c r="D59" s="5"/>
      <c r="E59" s="5"/>
      <c r="F59" s="8"/>
      <c r="G59" s="24"/>
      <c r="H59" s="20"/>
      <c r="I59" s="5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x14ac:dyDescent="0.25">
      <c r="A60" s="5"/>
      <c r="B60" s="5"/>
      <c r="C60" s="5"/>
      <c r="D60" s="5"/>
      <c r="E60" s="5"/>
      <c r="F60" s="8"/>
      <c r="G60" s="24"/>
      <c r="H60" s="20"/>
      <c r="I60" s="5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x14ac:dyDescent="0.25">
      <c r="A61" s="5"/>
      <c r="B61" s="5"/>
      <c r="C61" s="5"/>
      <c r="D61" s="5"/>
      <c r="E61" s="5"/>
      <c r="F61" s="8"/>
      <c r="G61" s="24"/>
      <c r="H61" s="20"/>
      <c r="I61" s="5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x14ac:dyDescent="0.25">
      <c r="A62" s="5"/>
      <c r="B62" s="5"/>
      <c r="C62" s="5"/>
      <c r="D62" s="5"/>
      <c r="E62" s="5"/>
      <c r="F62" s="8"/>
      <c r="G62" s="24"/>
      <c r="H62" s="20"/>
      <c r="I62" s="5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x14ac:dyDescent="0.25">
      <c r="A63" s="5"/>
      <c r="B63" s="5"/>
      <c r="C63" s="5"/>
      <c r="D63" s="5"/>
      <c r="E63" s="5"/>
      <c r="F63" s="8"/>
      <c r="G63" s="24"/>
      <c r="H63" s="20"/>
      <c r="I63" s="5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x14ac:dyDescent="0.25">
      <c r="A64" s="5"/>
      <c r="B64" s="5"/>
      <c r="C64" s="5"/>
      <c r="D64" s="5"/>
      <c r="E64" s="5"/>
      <c r="F64" s="8"/>
      <c r="G64" s="24"/>
      <c r="H64" s="20"/>
      <c r="I64" s="5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x14ac:dyDescent="0.25">
      <c r="A65" s="5"/>
      <c r="B65" s="5"/>
      <c r="C65" s="5"/>
      <c r="D65" s="5"/>
      <c r="E65" s="5"/>
      <c r="F65" s="8"/>
      <c r="G65" s="24"/>
      <c r="H65" s="20"/>
      <c r="I65" s="5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x14ac:dyDescent="0.25">
      <c r="A66" s="5"/>
      <c r="B66" s="5"/>
      <c r="C66" s="5"/>
      <c r="D66" s="5"/>
      <c r="E66" s="5"/>
      <c r="F66" s="8"/>
      <c r="G66" s="24"/>
      <c r="H66" s="20"/>
      <c r="I66" s="5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x14ac:dyDescent="0.25">
      <c r="A67" s="5"/>
      <c r="B67" s="5"/>
      <c r="C67" s="5"/>
      <c r="D67" s="5"/>
      <c r="E67" s="5"/>
      <c r="F67" s="8"/>
      <c r="G67" s="24"/>
      <c r="H67" s="20"/>
      <c r="I67" s="5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x14ac:dyDescent="0.25">
      <c r="A68" s="5"/>
      <c r="B68" s="5"/>
      <c r="C68" s="5"/>
      <c r="D68" s="5"/>
      <c r="E68" s="5"/>
      <c r="F68" s="8"/>
      <c r="G68" s="24"/>
      <c r="H68" s="20"/>
      <c r="I68" s="5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x14ac:dyDescent="0.25">
      <c r="A69" s="5"/>
      <c r="B69" s="5"/>
      <c r="C69" s="5"/>
      <c r="D69" s="5"/>
      <c r="E69" s="5"/>
      <c r="F69" s="8"/>
      <c r="G69" s="24"/>
      <c r="H69" s="20"/>
      <c r="I69" s="5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x14ac:dyDescent="0.25">
      <c r="A70" s="5"/>
      <c r="B70" s="5"/>
      <c r="C70" s="5"/>
      <c r="D70" s="5"/>
      <c r="E70" s="5"/>
      <c r="F70" s="8"/>
      <c r="G70" s="24"/>
      <c r="H70" s="20"/>
      <c r="I70" s="5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x14ac:dyDescent="0.25">
      <c r="A71" s="5"/>
      <c r="B71" s="5"/>
      <c r="C71" s="5"/>
      <c r="D71" s="5"/>
      <c r="E71" s="5"/>
      <c r="F71" s="8"/>
      <c r="G71" s="24"/>
      <c r="H71" s="20"/>
      <c r="I71" s="5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x14ac:dyDescent="0.25">
      <c r="A72" s="5"/>
      <c r="B72" s="5"/>
      <c r="C72" s="5"/>
      <c r="D72" s="5"/>
      <c r="E72" s="5"/>
      <c r="F72" s="8"/>
      <c r="G72" s="24"/>
      <c r="H72" s="20"/>
      <c r="I72" s="5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7" hidden="1" spans="3:5" x14ac:dyDescent="0.25">
      <c r="C77" s="1" t="s">
        <v>43</v>
      </c>
      <c r="E77" s="1">
        <f>IF(D19=C77,2,IF(D19=C78,3,4))</f>
        <v>2</v>
      </c>
    </row>
    <row r="78" hidden="1" spans="3:3" x14ac:dyDescent="0.25">
      <c r="C78" s="1" t="s">
        <v>107</v>
      </c>
    </row>
    <row r="79" hidden="1" spans="3:3" x14ac:dyDescent="0.25">
      <c r="C79" s="1" t="s">
        <v>108</v>
      </c>
    </row>
    <row r="80" hidden="1" spans="3:3" x14ac:dyDescent="0.25">
      <c r="C80" s="1" t="s">
        <v>63</v>
      </c>
    </row>
    <row r="81" hidden="1" spans="3:3" x14ac:dyDescent="0.25">
      <c r="C81" s="1" t="s">
        <v>109</v>
      </c>
    </row>
    <row r="82" hidden="1" spans="3:3" x14ac:dyDescent="0.25">
      <c r="C82" s="1" t="s">
        <v>110</v>
      </c>
    </row>
    <row r="83" hidden="1" spans="3:3" x14ac:dyDescent="0.25">
      <c r="C83" s="53" t="s">
        <v>75</v>
      </c>
    </row>
    <row r="84" hidden="1" spans="3:3" x14ac:dyDescent="0.25">
      <c r="C84" s="53" t="s">
        <v>111</v>
      </c>
    </row>
    <row r="85" hidden="1" spans="3:3" x14ac:dyDescent="0.25">
      <c r="C85" s="53" t="s">
        <v>112</v>
      </c>
    </row>
    <row r="86" hidden="1" spans="3:3" x14ac:dyDescent="0.25">
      <c r="C86" s="53" t="s">
        <v>77</v>
      </c>
    </row>
    <row r="87" hidden="1" spans="3:3" x14ac:dyDescent="0.25">
      <c r="C87" s="53" t="s">
        <v>113</v>
      </c>
    </row>
    <row r="88" hidden="1" spans="3:3" x14ac:dyDescent="0.25">
      <c r="C88" s="53" t="s">
        <v>114</v>
      </c>
    </row>
    <row r="89" hidden="1" spans="3:3" x14ac:dyDescent="0.25">
      <c r="C89" s="53" t="s">
        <v>115</v>
      </c>
    </row>
    <row r="90" hidden="1" spans="3:3" x14ac:dyDescent="0.25">
      <c r="C90" s="53" t="s">
        <v>116</v>
      </c>
    </row>
    <row r="91" hidden="1" spans="3:3" x14ac:dyDescent="0.25">
      <c r="C91" s="53" t="s">
        <v>80</v>
      </c>
    </row>
    <row r="92" hidden="1" spans="3:3" x14ac:dyDescent="0.25">
      <c r="C92" s="53" t="s">
        <v>83</v>
      </c>
    </row>
    <row r="93" hidden="1" spans="3:3" x14ac:dyDescent="0.25">
      <c r="C93" s="53" t="s">
        <v>117</v>
      </c>
    </row>
    <row r="94" hidden="1" spans="3:3" x14ac:dyDescent="0.25">
      <c r="C94" s="1" t="s">
        <v>66</v>
      </c>
    </row>
    <row r="95" hidden="1" spans="3:3" x14ac:dyDescent="0.25">
      <c r="C95" s="1" t="s">
        <v>118</v>
      </c>
    </row>
  </sheetData>
  <sheetProtection formatCells="0" formatColumns="0" formatRows="0"/>
  <mergeCells count="6">
    <mergeCell ref="C1:E3"/>
    <mergeCell ref="G1:J1"/>
    <mergeCell ref="G2:J2"/>
    <mergeCell ref="G3:J3"/>
    <mergeCell ref="C4:D4"/>
    <mergeCell ref="G4:I4"/>
  </mergeCells>
  <conditionalFormatting sqref="H20">
    <cfRule type="cellIs" dxfId="0" priority="25" operator="lessThan">
      <formula>$H$21</formula>
    </cfRule>
    <cfRule type="cellIs" dxfId="1" priority="26" operator="greaterThan">
      <formula>$H$21</formula>
    </cfRule>
  </conditionalFormatting>
  <conditionalFormatting sqref="G22">
    <cfRule type="containsText" dxfId="2" priority="23">
      <formula>NOT(ISERROR(SEARCH("Increase Either Size or No of Busbar",G22)))</formula>
    </cfRule>
    <cfRule type="containsText" dxfId="3" priority="24">
      <formula>NOT(ISERROR(SEARCH("Bus Bar Size is OK",G22)))</formula>
    </cfRule>
  </conditionalFormatting>
  <conditionalFormatting sqref="G28">
    <cfRule type="containsText" dxfId="4" priority="19">
      <formula>NOT(ISERROR(SEARCH("Forces on Insulatior is more than Perissible Value",G28)))</formula>
    </cfRule>
    <cfRule type="containsText" dxfId="5" priority="20">
      <formula>NOT(ISERROR(SEARCH("Forces on Insulation is in within Limits",G28)))</formula>
    </cfRule>
  </conditionalFormatting>
  <conditionalFormatting sqref="G33">
    <cfRule type="containsText" dxfId="6" priority="13">
      <formula>NOT(ISERROR(SEARCH("Mechanical strength of Busbar is in not Proper",G33)))</formula>
    </cfRule>
    <cfRule type="containsText" dxfId="7" priority="14">
      <formula>NOT(ISERROR(SEARCH("Mechanical strength of Busbar is in within Limit",G33)))</formula>
    </cfRule>
  </conditionalFormatting>
  <conditionalFormatting sqref="G37">
    <cfRule type="containsText" dxfId="8" priority="5">
      <formula>NOT(ISERROR(SEARCH("Temerature Rise is high than define Limit",G37)))</formula>
    </cfRule>
    <cfRule type="containsText" dxfId="9" priority="12">
      <formula>NOT(ISERROR(SEARCH("Temperature Rise is in within Limit",G37)))</formula>
    </cfRule>
  </conditionalFormatting>
  <conditionalFormatting sqref="H31">
    <cfRule type="cellIs" dxfId="10" priority="3" operator="greaterThan">
      <formula>$H$32</formula>
    </cfRule>
    <cfRule type="cellIs" dxfId="11" priority="4" operator="lessThan">
      <formula>$H$32</formula>
    </cfRule>
  </conditionalFormatting>
  <conditionalFormatting sqref="H36">
    <cfRule type="cellIs" dxfId="12" priority="1" operator="greaterThan">
      <formula>$H$35</formula>
    </cfRule>
    <cfRule type="cellIs" dxfId="13" priority="2" operator="lessThan">
      <formula>$H$35</formula>
    </cfRule>
  </conditionalFormatting>
  <dataValidations count="7">
    <dataValidation type="list" allowBlank="1" showInputMessage="1" showErrorMessage="1" sqref="D19">
      <formula1>$C$77:$C$79</formula1>
    </dataValidation>
    <dataValidation type="list" allowBlank="1" showInputMessage="1" showErrorMessage="1" sqref="D27">
      <formula1>$C$80:$C$82</formula1>
    </dataValidation>
    <dataValidation type="list" allowBlank="1" showInputMessage="1" showErrorMessage="1" sqref="D28">
      <formula1>$C$94:$C$95</formula1>
    </dataValidation>
    <dataValidation type="list" allowBlank="1" showInputMessage="1" showErrorMessage="1" sqref="D33">
      <formula1>$C$83:$C$85</formula1>
    </dataValidation>
    <dataValidation type="list" allowBlank="1" showInputMessage="1" showErrorMessage="1" sqref="D34">
      <formula1>$C$86:$C$88</formula1>
    </dataValidation>
    <dataValidation type="list" allowBlank="1" showInputMessage="1" showErrorMessage="1" sqref="D35">
      <formula1>$C$89:$C$91</formula1>
    </dataValidation>
    <dataValidation type="list" allowBlank="1" showInputMessage="1" showErrorMessage="1" sqref="D36">
      <formula1>$C$92:$C$93</formula1>
    </dataValidation>
  </dataValidations>
  <pageMargins left="0.7" right="0.7" top="0.75" bottom="0.75" header="0.3" footer="0.3"/>
  <pageSetup paperSize="9" orientation="landscape" horizontalDpi="4294967295" verticalDpi="4294967295" scale="61" fitToWidth="1" fitToHeight="1" firstPageNumber="1" useFirstPageNumber="1" copies="1"/>
  <drawing r:id="rId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Busbar</vt:lpstr>
      <vt:lpstr>Detating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EC2</cp:lastModifiedBy>
  <cp:lastPrinted>2020-10-08T09:22:27Z</cp:lastPrinted>
  <dcterms:created xsi:type="dcterms:W3CDTF">2006-09-16T00:00:00Z</dcterms:created>
  <dcterms:modified xsi:type="dcterms:W3CDTF">2024-11-27T08:33:19Z</dcterms:modified>
</cp:coreProperties>
</file>