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mc:AlternateContent xmlns:mc="http://schemas.openxmlformats.org/markup-compatibility/2006">
    <mc:Choice Requires="x15">
      <x15ac:absPath xmlns:x15ac="http://schemas.microsoft.com/office/spreadsheetml/2010/11/ac" url="C:\Users\abhis\Documents\Abhishek\Work\04_Master_Metrics\Models\"/>
    </mc:Choice>
  </mc:AlternateContent>
  <xr:revisionPtr revIDLastSave="0" documentId="13_ncr:1_{B70EA141-ED5F-4756-A9E1-82CF0AF69631}" xr6:coauthVersionLast="45" xr6:coauthVersionMax="45" xr10:uidLastSave="{00000000-0000-0000-0000-000000000000}"/>
  <bookViews>
    <workbookView xWindow="25490" yWindow="-110" windowWidth="38620" windowHeight="21220" tabRatio="840" firstSheet="1" activeTab="4" xr2:uid="{00000000-000D-0000-FFFF-FFFF00000000}"/>
  </bookViews>
  <sheets>
    <sheet name="Model_Flow_Rates_for_capacity" sheetId="21" state="hidden" r:id="rId1"/>
    <sheet name="Metrics" sheetId="32" r:id="rId2"/>
    <sheet name="Receive MFD" sheetId="36" r:id="rId3"/>
    <sheet name="Pack MFD" sheetId="33" r:id="rId4"/>
    <sheet name="Launch 1.0 MFD" sheetId="37" r:id="rId5"/>
    <sheet name="Equipment list_11_09_2019" sheetId="38" r:id="rId6"/>
    <sheet name="Configuration form" sheetId="39" r:id="rId7"/>
  </sheets>
  <functionGroups builtInGroupCount="19"/>
  <externalReferences>
    <externalReference r:id="rId8"/>
    <externalReference r:id="rId9"/>
    <externalReference r:id="rId10"/>
  </externalReferences>
  <definedNames>
    <definedName name="_____A2" localSheetId="6" hidden="1">{#N/A,#N/A,FALSE,"단축1";#N/A,#N/A,FALSE,"단축2";#N/A,#N/A,FALSE,"단축3";#N/A,#N/A,FALSE,"장축";#N/A,#N/A,FALSE,"4WD"}</definedName>
    <definedName name="_____A2" hidden="1">{#N/A,#N/A,FALSE,"단축1";#N/A,#N/A,FALSE,"단축2";#N/A,#N/A,FALSE,"단축3";#N/A,#N/A,FALSE,"장축";#N/A,#N/A,FALSE,"4WD"}</definedName>
    <definedName name="_____A3" localSheetId="6" hidden="1">{#N/A,#N/A,FALSE,"단축1";#N/A,#N/A,FALSE,"단축2";#N/A,#N/A,FALSE,"단축3";#N/A,#N/A,FALSE,"장축";#N/A,#N/A,FALSE,"4WD"}</definedName>
    <definedName name="_____A3" hidden="1">{#N/A,#N/A,FALSE,"단축1";#N/A,#N/A,FALSE,"단축2";#N/A,#N/A,FALSE,"단축3";#N/A,#N/A,FALSE,"장축";#N/A,#N/A,FALSE,"4WD"}</definedName>
    <definedName name="_____LPS2" localSheetId="6" hidden="1">{#N/A,#N/A,FALSE,"단축1";#N/A,#N/A,FALSE,"단축2";#N/A,#N/A,FALSE,"단축3";#N/A,#N/A,FALSE,"장축";#N/A,#N/A,FALSE,"4WD"}</definedName>
    <definedName name="_____LPS2" hidden="1">{#N/A,#N/A,FALSE,"단축1";#N/A,#N/A,FALSE,"단축2";#N/A,#N/A,FALSE,"단축3";#N/A,#N/A,FALSE,"장축";#N/A,#N/A,FALSE,"4WD"}</definedName>
    <definedName name="_____T2" localSheetId="6" hidden="1">{#N/A,#N/A,FALSE,"단축1";#N/A,#N/A,FALSE,"단축2";#N/A,#N/A,FALSE,"단축3";#N/A,#N/A,FALSE,"장축";#N/A,#N/A,FALSE,"4WD"}</definedName>
    <definedName name="_____T2" hidden="1">{#N/A,#N/A,FALSE,"단축1";#N/A,#N/A,FALSE,"단축2";#N/A,#N/A,FALSE,"단축3";#N/A,#N/A,FALSE,"장축";#N/A,#N/A,FALSE,"4WD"}</definedName>
    <definedName name="_____vvv1" localSheetId="6" hidden="1">{"bbtday",#N/A,FALSE,"ban0930";"banksday",#N/A,FALSE,"ban0930";"compday",#N/A,FALSE,"ban0930"}</definedName>
    <definedName name="_____vvv1" hidden="1">{"bbtday",#N/A,FALSE,"ban0930";"banksday",#N/A,FALSE,"ban0930";"compday",#N/A,FALSE,"ban0930"}</definedName>
    <definedName name="_____x1" localSheetId="6" hidden="1">{"compweek",#N/A,FALSE,"ban0930";"bankweek",#N/A,FALSE,"ban0930"}</definedName>
    <definedName name="_____x1" hidden="1">{"compweek",#N/A,FALSE,"ban0930";"bankweek",#N/A,FALSE,"ban0930"}</definedName>
    <definedName name="_____XG2" localSheetId="6" hidden="1">{#N/A,#N/A,FALSE,"단축1";#N/A,#N/A,FALSE,"단축2";#N/A,#N/A,FALSE,"단축3";#N/A,#N/A,FALSE,"장축";#N/A,#N/A,FALSE,"4WD"}</definedName>
    <definedName name="_____XG2" hidden="1">{#N/A,#N/A,FALSE,"단축1";#N/A,#N/A,FALSE,"단축2";#N/A,#N/A,FALSE,"단축3";#N/A,#N/A,FALSE,"장축";#N/A,#N/A,FALSE,"4WD"}</definedName>
    <definedName name="_____y1" localSheetId="6" hidden="1">{"bbtday",#N/A,FALSE,"ban0930";"banksday",#N/A,FALSE,"ban0930";"compday",#N/A,FALSE,"ban0930"}</definedName>
    <definedName name="_____y1" hidden="1">{"bbtday",#N/A,FALSE,"ban0930";"banksday",#N/A,FALSE,"ban0930";"compday",#N/A,FALSE,"ban0930"}</definedName>
    <definedName name="____A2" localSheetId="6" hidden="1">{#N/A,#N/A,FALSE,"단축1";#N/A,#N/A,FALSE,"단축2";#N/A,#N/A,FALSE,"단축3";#N/A,#N/A,FALSE,"장축";#N/A,#N/A,FALSE,"4WD"}</definedName>
    <definedName name="____A2" hidden="1">{#N/A,#N/A,FALSE,"단축1";#N/A,#N/A,FALSE,"단축2";#N/A,#N/A,FALSE,"단축3";#N/A,#N/A,FALSE,"장축";#N/A,#N/A,FALSE,"4WD"}</definedName>
    <definedName name="____A3" localSheetId="6" hidden="1">{#N/A,#N/A,FALSE,"단축1";#N/A,#N/A,FALSE,"단축2";#N/A,#N/A,FALSE,"단축3";#N/A,#N/A,FALSE,"장축";#N/A,#N/A,FALSE,"4WD"}</definedName>
    <definedName name="____A3" hidden="1">{#N/A,#N/A,FALSE,"단축1";#N/A,#N/A,FALSE,"단축2";#N/A,#N/A,FALSE,"단축3";#N/A,#N/A,FALSE,"장축";#N/A,#N/A,FALSE,"4WD"}</definedName>
    <definedName name="____LPS2" localSheetId="6" hidden="1">{#N/A,#N/A,FALSE,"단축1";#N/A,#N/A,FALSE,"단축2";#N/A,#N/A,FALSE,"단축3";#N/A,#N/A,FALSE,"장축";#N/A,#N/A,FALSE,"4WD"}</definedName>
    <definedName name="____LPS2" hidden="1">{#N/A,#N/A,FALSE,"단축1";#N/A,#N/A,FALSE,"단축2";#N/A,#N/A,FALSE,"단축3";#N/A,#N/A,FALSE,"장축";#N/A,#N/A,FALSE,"4WD"}</definedName>
    <definedName name="____T2" localSheetId="6" hidden="1">{#N/A,#N/A,FALSE,"단축1";#N/A,#N/A,FALSE,"단축2";#N/A,#N/A,FALSE,"단축3";#N/A,#N/A,FALSE,"장축";#N/A,#N/A,FALSE,"4WD"}</definedName>
    <definedName name="____T2" hidden="1">{#N/A,#N/A,FALSE,"단축1";#N/A,#N/A,FALSE,"단축2";#N/A,#N/A,FALSE,"단축3";#N/A,#N/A,FALSE,"장축";#N/A,#N/A,FALSE,"4WD"}</definedName>
    <definedName name="____vvv1" localSheetId="6" hidden="1">{"bbtday",#N/A,FALSE,"ban0930";"banksday",#N/A,FALSE,"ban0930";"compday",#N/A,FALSE,"ban0930"}</definedName>
    <definedName name="____vvv1" hidden="1">{"bbtday",#N/A,FALSE,"ban0930";"banksday",#N/A,FALSE,"ban0930";"compday",#N/A,FALSE,"ban0930"}</definedName>
    <definedName name="____x1" localSheetId="6" hidden="1">{"compweek",#N/A,FALSE,"ban0930";"bankweek",#N/A,FALSE,"ban0930"}</definedName>
    <definedName name="____x1" hidden="1">{"compweek",#N/A,FALSE,"ban0930";"bankweek",#N/A,FALSE,"ban0930"}</definedName>
    <definedName name="____XG2" localSheetId="6" hidden="1">{#N/A,#N/A,FALSE,"단축1";#N/A,#N/A,FALSE,"단축2";#N/A,#N/A,FALSE,"단축3";#N/A,#N/A,FALSE,"장축";#N/A,#N/A,FALSE,"4WD"}</definedName>
    <definedName name="____XG2" hidden="1">{#N/A,#N/A,FALSE,"단축1";#N/A,#N/A,FALSE,"단축2";#N/A,#N/A,FALSE,"단축3";#N/A,#N/A,FALSE,"장축";#N/A,#N/A,FALSE,"4WD"}</definedName>
    <definedName name="____y1" localSheetId="6" hidden="1">{"bbtday",#N/A,FALSE,"ban0930";"banksday",#N/A,FALSE,"ban0930";"compday",#N/A,FALSE,"ban0930"}</definedName>
    <definedName name="____y1" hidden="1">{"bbtday",#N/A,FALSE,"ban0930";"banksday",#N/A,FALSE,"ban0930";"compday",#N/A,FALSE,"ban0930"}</definedName>
    <definedName name="___A2" localSheetId="6" hidden="1">{#N/A,#N/A,FALSE,"단축1";#N/A,#N/A,FALSE,"단축2";#N/A,#N/A,FALSE,"단축3";#N/A,#N/A,FALSE,"장축";#N/A,#N/A,FALSE,"4WD"}</definedName>
    <definedName name="___A2" hidden="1">{#N/A,#N/A,FALSE,"단축1";#N/A,#N/A,FALSE,"단축2";#N/A,#N/A,FALSE,"단축3";#N/A,#N/A,FALSE,"장축";#N/A,#N/A,FALSE,"4WD"}</definedName>
    <definedName name="___A3" localSheetId="6" hidden="1">{#N/A,#N/A,FALSE,"단축1";#N/A,#N/A,FALSE,"단축2";#N/A,#N/A,FALSE,"단축3";#N/A,#N/A,FALSE,"장축";#N/A,#N/A,FALSE,"4WD"}</definedName>
    <definedName name="___A3" hidden="1">{#N/A,#N/A,FALSE,"단축1";#N/A,#N/A,FALSE,"단축2";#N/A,#N/A,FALSE,"단축3";#N/A,#N/A,FALSE,"장축";#N/A,#N/A,FALSE,"4WD"}</definedName>
    <definedName name="___LPS2" localSheetId="6" hidden="1">{#N/A,#N/A,FALSE,"단축1";#N/A,#N/A,FALSE,"단축2";#N/A,#N/A,FALSE,"단축3";#N/A,#N/A,FALSE,"장축";#N/A,#N/A,FALSE,"4WD"}</definedName>
    <definedName name="___LPS2" hidden="1">{#N/A,#N/A,FALSE,"단축1";#N/A,#N/A,FALSE,"단축2";#N/A,#N/A,FALSE,"단축3";#N/A,#N/A,FALSE,"장축";#N/A,#N/A,FALSE,"4WD"}</definedName>
    <definedName name="___P6" localSheetId="6" hidden="1">{"SUM ALL YR",#N/A,FALSE,"SUM ALL YR";"sum01",#N/A,FALSE,"SUM 01";"sumM2",#N/A,FALSE,"SUM M2";"sum02",#N/A,FALSE,"SUM 02";"sum03",#N/A,FALSE,"SUM 03";"sum04",#N/A,FALSE,"SUM 04";"sum05",#N/A,FALSE,"SUM 05"}</definedName>
    <definedName name="___P6" hidden="1">{"SUM ALL YR",#N/A,FALSE,"SUM ALL YR";"sum01",#N/A,FALSE,"SUM 01";"sumM2",#N/A,FALSE,"SUM M2";"sum02",#N/A,FALSE,"SUM 02";"sum03",#N/A,FALSE,"SUM 03";"sum04",#N/A,FALSE,"SUM 04";"sum05",#N/A,FALSE,"SUM 05"}</definedName>
    <definedName name="___T2" localSheetId="6" hidden="1">{#N/A,#N/A,FALSE,"단축1";#N/A,#N/A,FALSE,"단축2";#N/A,#N/A,FALSE,"단축3";#N/A,#N/A,FALSE,"장축";#N/A,#N/A,FALSE,"4WD"}</definedName>
    <definedName name="___T2" hidden="1">{#N/A,#N/A,FALSE,"단축1";#N/A,#N/A,FALSE,"단축2";#N/A,#N/A,FALSE,"단축3";#N/A,#N/A,FALSE,"장축";#N/A,#N/A,FALSE,"4WD"}</definedName>
    <definedName name="___vvv1" localSheetId="6" hidden="1">{"bbtday",#N/A,FALSE,"ban0930";"banksday",#N/A,FALSE,"ban0930";"compday",#N/A,FALSE,"ban0930"}</definedName>
    <definedName name="___vvv1" hidden="1">{"bbtday",#N/A,FALSE,"ban0930";"banksday",#N/A,FALSE,"ban0930";"compday",#N/A,FALSE,"ban0930"}</definedName>
    <definedName name="___x1" localSheetId="6" hidden="1">{"compweek",#N/A,FALSE,"ban0930";"bankweek",#N/A,FALSE,"ban0930"}</definedName>
    <definedName name="___x1" hidden="1">{"compweek",#N/A,FALSE,"ban0930";"bankweek",#N/A,FALSE,"ban0930"}</definedName>
    <definedName name="___XG2" localSheetId="6" hidden="1">{#N/A,#N/A,FALSE,"단축1";#N/A,#N/A,FALSE,"단축2";#N/A,#N/A,FALSE,"단축3";#N/A,#N/A,FALSE,"장축";#N/A,#N/A,FALSE,"4WD"}</definedName>
    <definedName name="___XG2" hidden="1">{#N/A,#N/A,FALSE,"단축1";#N/A,#N/A,FALSE,"단축2";#N/A,#N/A,FALSE,"단축3";#N/A,#N/A,FALSE,"장축";#N/A,#N/A,FALSE,"4WD"}</definedName>
    <definedName name="___y1" localSheetId="6" hidden="1">{"bbtday",#N/A,FALSE,"ban0930";"banksday",#N/A,FALSE,"ban0930";"compday",#N/A,FALSE,"ban0930"}</definedName>
    <definedName name="___y1" hidden="1">{"bbtday",#N/A,FALSE,"ban0930";"banksday",#N/A,FALSE,"ban0930";"compday",#N/A,FALSE,"ban0930"}</definedName>
    <definedName name="__123Graph_ARECV" localSheetId="4" hidden="1">#REF!</definedName>
    <definedName name="__123Graph_ARECV" localSheetId="0" hidden="1">#REF!</definedName>
    <definedName name="__123Graph_ARECV" localSheetId="2" hidden="1">#REF!</definedName>
    <definedName name="__123Graph_ARECV" hidden="1">#REF!</definedName>
    <definedName name="__123Graph_BRECV" localSheetId="4" hidden="1">#REF!</definedName>
    <definedName name="__123Graph_BRECV" localSheetId="0" hidden="1">#REF!</definedName>
    <definedName name="__123Graph_BRECV" localSheetId="2" hidden="1">#REF!</definedName>
    <definedName name="__123Graph_BRECV" hidden="1">#REF!</definedName>
    <definedName name="__123Graph_CRECV" localSheetId="4" hidden="1">#REF!</definedName>
    <definedName name="__123Graph_CRECV" localSheetId="0" hidden="1">#REF!</definedName>
    <definedName name="__123Graph_CRECV" localSheetId="2" hidden="1">#REF!</definedName>
    <definedName name="__123Graph_CRECV" hidden="1">#REF!</definedName>
    <definedName name="__123Graph_LBL_B" localSheetId="4" hidden="1">#REF!</definedName>
    <definedName name="__123Graph_LBL_B" localSheetId="0" hidden="1">#REF!</definedName>
    <definedName name="__123Graph_LBL_B" localSheetId="2" hidden="1">#REF!</definedName>
    <definedName name="__123Graph_LBL_B" hidden="1">#REF!</definedName>
    <definedName name="__123Graph_LBL_BRECV" localSheetId="4" hidden="1">#REF!</definedName>
    <definedName name="__123Graph_LBL_BRECV" localSheetId="0" hidden="1">#REF!</definedName>
    <definedName name="__123Graph_LBL_BRECV" localSheetId="2" hidden="1">#REF!</definedName>
    <definedName name="__123Graph_LBL_BRECV" hidden="1">#REF!</definedName>
    <definedName name="__123Graph_LBL_C" localSheetId="4" hidden="1">#REF!</definedName>
    <definedName name="__123Graph_LBL_C" localSheetId="0" hidden="1">#REF!</definedName>
    <definedName name="__123Graph_LBL_C" localSheetId="2" hidden="1">#REF!</definedName>
    <definedName name="__123Graph_LBL_C" hidden="1">#REF!</definedName>
    <definedName name="__123Graph_LBL_CRECV" localSheetId="4" hidden="1">#REF!</definedName>
    <definedName name="__123Graph_LBL_CRECV" localSheetId="0" hidden="1">#REF!</definedName>
    <definedName name="__123Graph_LBL_CRECV" localSheetId="2" hidden="1">#REF!</definedName>
    <definedName name="__123Graph_LBL_CRECV" hidden="1">#REF!</definedName>
    <definedName name="__123Graph_XRECV" localSheetId="4" hidden="1">#REF!</definedName>
    <definedName name="__123Graph_XRECV" localSheetId="0" hidden="1">#REF!</definedName>
    <definedName name="__123Graph_XRECV" localSheetId="2" hidden="1">#REF!</definedName>
    <definedName name="__123Graph_XRECV" hidden="1">#REF!</definedName>
    <definedName name="__IntlFixup" hidden="1">TRUE</definedName>
    <definedName name="__mi1" localSheetId="6" hidden="1">{"CORSA",#N/A,FALSE,"RESUMO FINAL";"KADETT",#N/A,FALSE,"RESUMO FINAL";"VECTRA",#N/A,FALSE,"RESUMO FINAL";"OMEGA",#N/A,FALSE,"RESUMO FINAL";"S_10",#N/A,FALSE,"RESUMO FINAL";"BLAZER",#N/A,FALSE,"RESUMO FINAL"}</definedName>
    <definedName name="__mi1" hidden="1">{"CORSA",#N/A,FALSE,"RESUMO FINAL";"KADETT",#N/A,FALSE,"RESUMO FINAL";"VECTRA",#N/A,FALSE,"RESUMO FINAL";"OMEGA",#N/A,FALSE,"RESUMO FINAL";"S_10",#N/A,FALSE,"RESUMO FINAL";"BLAZER",#N/A,FALSE,"RESUMO FINAL"}</definedName>
    <definedName name="__P6" localSheetId="6" hidden="1">{"SUM ALL YR",#N/A,FALSE,"SUM ALL YR";"sum01",#N/A,FALSE,"SUM 01";"sumM2",#N/A,FALSE,"SUM M2";"sum02",#N/A,FALSE,"SUM 02";"sum03",#N/A,FALSE,"SUM 03";"sum04",#N/A,FALSE,"SUM 04";"sum05",#N/A,FALSE,"SUM 05"}</definedName>
    <definedName name="__P6" hidden="1">{"SUM ALL YR",#N/A,FALSE,"SUM ALL YR";"sum01",#N/A,FALSE,"SUM 01";"sumM2",#N/A,FALSE,"SUM M2";"sum02",#N/A,FALSE,"SUM 02";"sum03",#N/A,FALSE,"SUM 03";"sum04",#N/A,FALSE,"SUM 04";"sum05",#N/A,FALSE,"SUM 05"}</definedName>
    <definedName name="__vvv1" localSheetId="6" hidden="1">{"bbtday",#N/A,FALSE,"ban0930";"banksday",#N/A,FALSE,"ban0930";"compday",#N/A,FALSE,"ban0930"}</definedName>
    <definedName name="__vvv1" hidden="1">{"bbtday",#N/A,FALSE,"ban0930";"banksday",#N/A,FALSE,"ban0930";"compday",#N/A,FALSE,"ban0930"}</definedName>
    <definedName name="__x1" localSheetId="6" hidden="1">{"compweek",#N/A,FALSE,"ban0930";"bankweek",#N/A,FALSE,"ban0930"}</definedName>
    <definedName name="__x1" hidden="1">{"compweek",#N/A,FALSE,"ban0930";"bankweek",#N/A,FALSE,"ban0930"}</definedName>
    <definedName name="__y1" localSheetId="6" hidden="1">{"bbtday",#N/A,FALSE,"ban0930";"banksday",#N/A,FALSE,"ban0930";"compday",#N/A,FALSE,"ban0930"}</definedName>
    <definedName name="__y1" hidden="1">{"bbtday",#N/A,FALSE,"ban0930";"banksday",#N/A,FALSE,"ban0930";"compday",#N/A,FALSE,"ban0930"}</definedName>
    <definedName name="_100__123Graph_Aｸﾞﾗﾌ_2" localSheetId="4" hidden="1">#REF!</definedName>
    <definedName name="_100__123Graph_Aｸﾞﾗﾌ_2" localSheetId="0" hidden="1">#REF!</definedName>
    <definedName name="_100__123Graph_Aｸﾞﾗﾌ_2" localSheetId="2" hidden="1">#REF!</definedName>
    <definedName name="_100__123Graph_Aｸﾞﾗﾌ_2" hidden="1">#REF!</definedName>
    <definedName name="_100__123Graph_ECHART_41" hidden="1">#N/A</definedName>
    <definedName name="_100__123Graph_LBL_CCHART_19" localSheetId="4" hidden="1">#REF!</definedName>
    <definedName name="_100__123Graph_LBL_CCHART_19" localSheetId="0" hidden="1">#REF!</definedName>
    <definedName name="_100__123Graph_LBL_CCHART_19" localSheetId="2" hidden="1">#REF!</definedName>
    <definedName name="_100__123Graph_LBL_CCHART_19" hidden="1">#REF!</definedName>
    <definedName name="_101__123Graph_Bｸﾞﾗﾌ_1" localSheetId="4" hidden="1">#REF!</definedName>
    <definedName name="_101__123Graph_Bｸﾞﾗﾌ_1" localSheetId="0" hidden="1">#REF!</definedName>
    <definedName name="_101__123Graph_Bｸﾞﾗﾌ_1" localSheetId="2" hidden="1">#REF!</definedName>
    <definedName name="_101__123Graph_Bｸﾞﾗﾌ_1" hidden="1">#REF!</definedName>
    <definedName name="_101__123Graph_LBL_CCHART_22" localSheetId="4" hidden="1">#REF!</definedName>
    <definedName name="_101__123Graph_LBL_CCHART_22" localSheetId="0" hidden="1">#REF!</definedName>
    <definedName name="_101__123Graph_LBL_CCHART_22" localSheetId="2" hidden="1">#REF!</definedName>
    <definedName name="_101__123Graph_LBL_CCHART_22" hidden="1">#REF!</definedName>
    <definedName name="_102__123Graph_LBL_CCHART_24" localSheetId="4" hidden="1">#REF!</definedName>
    <definedName name="_102__123Graph_LBL_CCHART_24" localSheetId="0" hidden="1">#REF!</definedName>
    <definedName name="_102__123Graph_LBL_CCHART_24" localSheetId="2" hidden="1">#REF!</definedName>
    <definedName name="_102__123Graph_LBL_CCHART_24" hidden="1">#REF!</definedName>
    <definedName name="_103__123Graph_LBL_CCHART_26" localSheetId="4" hidden="1">#REF!</definedName>
    <definedName name="_103__123Graph_LBL_CCHART_26" localSheetId="0" hidden="1">#REF!</definedName>
    <definedName name="_103__123Graph_LBL_CCHART_26" localSheetId="2" hidden="1">#REF!</definedName>
    <definedName name="_103__123Graph_LBL_CCHART_26" hidden="1">#REF!</definedName>
    <definedName name="_104__123Graph_FCHART_16" hidden="1">#N/A</definedName>
    <definedName name="_104__123Graph_LBL_CCHART_28" localSheetId="4" hidden="1">#REF!</definedName>
    <definedName name="_104__123Graph_LBL_CCHART_28" localSheetId="0" hidden="1">#REF!</definedName>
    <definedName name="_104__123Graph_LBL_CCHART_28" localSheetId="2" hidden="1">#REF!</definedName>
    <definedName name="_104__123Graph_LBL_CCHART_28" hidden="1">#REF!</definedName>
    <definedName name="_105__123Graph_LBL_CCHART_30" localSheetId="4" hidden="1">#REF!</definedName>
    <definedName name="_105__123Graph_LBL_CCHART_30" localSheetId="0" hidden="1">#REF!</definedName>
    <definedName name="_105__123Graph_LBL_CCHART_30" localSheetId="2" hidden="1">#REF!</definedName>
    <definedName name="_105__123Graph_LBL_CCHART_30" hidden="1">#REF!</definedName>
    <definedName name="_106__123Graph_FCHART_17" hidden="1">#N/A</definedName>
    <definedName name="_106__123Graph_LBL_CCHART_31" localSheetId="4" hidden="1">#REF!</definedName>
    <definedName name="_106__123Graph_LBL_CCHART_31" localSheetId="0" hidden="1">#REF!</definedName>
    <definedName name="_106__123Graph_LBL_CCHART_31" localSheetId="2" hidden="1">#REF!</definedName>
    <definedName name="_106__123Graph_LBL_CCHART_31" hidden="1">#REF!</definedName>
    <definedName name="_107__123Graph_LBL_CCHART_32" localSheetId="4" hidden="1">#REF!</definedName>
    <definedName name="_107__123Graph_LBL_CCHART_32" localSheetId="0" hidden="1">#REF!</definedName>
    <definedName name="_107__123Graph_LBL_CCHART_32" localSheetId="2" hidden="1">#REF!</definedName>
    <definedName name="_107__123Graph_LBL_CCHART_32" hidden="1">#REF!</definedName>
    <definedName name="_108__123Graph_FCHART_19" hidden="1">#N/A</definedName>
    <definedName name="_108__123Graph_LBL_CCHART_34" localSheetId="4" hidden="1">#REF!</definedName>
    <definedName name="_108__123Graph_LBL_CCHART_34" localSheetId="0" hidden="1">#REF!</definedName>
    <definedName name="_108__123Graph_LBL_CCHART_34" localSheetId="2" hidden="1">#REF!</definedName>
    <definedName name="_108__123Graph_LBL_CCHART_34" hidden="1">#REF!</definedName>
    <definedName name="_109__123Graph_LBL_CCHART_37" localSheetId="4" hidden="1">#REF!</definedName>
    <definedName name="_109__123Graph_LBL_CCHART_37" localSheetId="0" hidden="1">#REF!</definedName>
    <definedName name="_109__123Graph_LBL_CCHART_37" localSheetId="2" hidden="1">#REF!</definedName>
    <definedName name="_109__123Graph_LBL_CCHART_37" hidden="1">#REF!</definedName>
    <definedName name="_11__123Graph_Aｸﾞﾗﾌ_1" localSheetId="4" hidden="1">#REF!</definedName>
    <definedName name="_11__123Graph_Aｸﾞﾗﾌ_1" localSheetId="0" hidden="1">#REF!</definedName>
    <definedName name="_11__123Graph_Aｸﾞﾗﾌ_1" localSheetId="2" hidden="1">#REF!</definedName>
    <definedName name="_11__123Graph_Aｸﾞﾗﾌ_1" hidden="1">#REF!</definedName>
    <definedName name="_110__123Graph_Bｸﾞﾗﾌ_2" localSheetId="4" hidden="1">#REF!</definedName>
    <definedName name="_110__123Graph_Bｸﾞﾗﾌ_2" localSheetId="0" hidden="1">#REF!</definedName>
    <definedName name="_110__123Graph_Bｸﾞﾗﾌ_2" localSheetId="2" hidden="1">#REF!</definedName>
    <definedName name="_110__123Graph_Bｸﾞﾗﾌ_2" hidden="1">#REF!</definedName>
    <definedName name="_110__123Graph_FCHART_22" hidden="1">#N/A</definedName>
    <definedName name="_110__123Graph_LBL_CCHART_39" localSheetId="4" hidden="1">#REF!</definedName>
    <definedName name="_110__123Graph_LBL_CCHART_39" localSheetId="0" hidden="1">#REF!</definedName>
    <definedName name="_110__123Graph_LBL_CCHART_39" localSheetId="2" hidden="1">#REF!</definedName>
    <definedName name="_110__123Graph_LBL_CCHART_39" hidden="1">#REF!</definedName>
    <definedName name="_111__123Graph_LBL_CCHART_41" localSheetId="4" hidden="1">#REF!</definedName>
    <definedName name="_111__123Graph_LBL_CCHART_41" localSheetId="0" hidden="1">#REF!</definedName>
    <definedName name="_111__123Graph_LBL_CCHART_41" localSheetId="2" hidden="1">#REF!</definedName>
    <definedName name="_111__123Graph_LBL_CCHART_41" hidden="1">#REF!</definedName>
    <definedName name="_112__123Graph_FCHART_24" hidden="1">#N/A</definedName>
    <definedName name="_112__123Graph_LBL_DCHART_15" localSheetId="4" hidden="1">#REF!</definedName>
    <definedName name="_112__123Graph_LBL_DCHART_15" localSheetId="0" hidden="1">#REF!</definedName>
    <definedName name="_112__123Graph_LBL_DCHART_15" localSheetId="2" hidden="1">#REF!</definedName>
    <definedName name="_112__123Graph_LBL_DCHART_15" hidden="1">#REF!</definedName>
    <definedName name="_113__123Graph_LBL_DCHART_16" localSheetId="4" hidden="1">#REF!</definedName>
    <definedName name="_113__123Graph_LBL_DCHART_16" localSheetId="0" hidden="1">#REF!</definedName>
    <definedName name="_113__123Graph_LBL_DCHART_16" localSheetId="2" hidden="1">#REF!</definedName>
    <definedName name="_113__123Graph_LBL_DCHART_16" hidden="1">#REF!</definedName>
    <definedName name="_114__123Graph_LBL_DCHART_17" localSheetId="4" hidden="1">#REF!</definedName>
    <definedName name="_114__123Graph_LBL_DCHART_17" localSheetId="0" hidden="1">#REF!</definedName>
    <definedName name="_114__123Graph_LBL_DCHART_17" localSheetId="2" hidden="1">#REF!</definedName>
    <definedName name="_114__123Graph_LBL_DCHART_17" hidden="1">#REF!</definedName>
    <definedName name="_115__123Graph_LBL_DCHART_19" localSheetId="4" hidden="1">#REF!</definedName>
    <definedName name="_115__123Graph_LBL_DCHART_19" localSheetId="0" hidden="1">#REF!</definedName>
    <definedName name="_115__123Graph_LBL_DCHART_19" localSheetId="2" hidden="1">#REF!</definedName>
    <definedName name="_115__123Graph_LBL_DCHART_19" hidden="1">#REF!</definedName>
    <definedName name="_116__123Graph_LBL_DCHART_22" localSheetId="4" hidden="1">#REF!</definedName>
    <definedName name="_116__123Graph_LBL_DCHART_22" localSheetId="0" hidden="1">#REF!</definedName>
    <definedName name="_116__123Graph_LBL_DCHART_22" localSheetId="2" hidden="1">#REF!</definedName>
    <definedName name="_116__123Graph_LBL_DCHART_22" hidden="1">#REF!</definedName>
    <definedName name="_117__123Graph_LBL_DCHART_24" localSheetId="4" hidden="1">#REF!</definedName>
    <definedName name="_117__123Graph_LBL_DCHART_24" localSheetId="0" hidden="1">#REF!</definedName>
    <definedName name="_117__123Graph_LBL_DCHART_24" localSheetId="2" hidden="1">#REF!</definedName>
    <definedName name="_117__123Graph_LBL_DCHART_24" hidden="1">#REF!</definedName>
    <definedName name="_118__123Graph_FCHART_30" hidden="1">#N/A</definedName>
    <definedName name="_118__123Graph_LBL_DCHART_26" localSheetId="4" hidden="1">#REF!</definedName>
    <definedName name="_118__123Graph_LBL_DCHART_26" localSheetId="0" hidden="1">#REF!</definedName>
    <definedName name="_118__123Graph_LBL_DCHART_26" localSheetId="2" hidden="1">#REF!</definedName>
    <definedName name="_118__123Graph_LBL_DCHART_26" hidden="1">#REF!</definedName>
    <definedName name="_119__123Graph_LBL_DCHART_28" localSheetId="4" hidden="1">#REF!</definedName>
    <definedName name="_119__123Graph_LBL_DCHART_28" localSheetId="0" hidden="1">#REF!</definedName>
    <definedName name="_119__123Graph_LBL_DCHART_28" localSheetId="2" hidden="1">#REF!</definedName>
    <definedName name="_119__123Graph_LBL_DCHART_28" hidden="1">#REF!</definedName>
    <definedName name="_12__123Graph_Aｸﾞﾗﾌ_1" localSheetId="4" hidden="1">#REF!</definedName>
    <definedName name="_12__123Graph_Aｸﾞﾗﾌ_1" localSheetId="0" hidden="1">#REF!</definedName>
    <definedName name="_12__123Graph_Aｸﾞﾗﾌ_1" localSheetId="2" hidden="1">#REF!</definedName>
    <definedName name="_12__123Graph_Aｸﾞﾗﾌ_1" hidden="1">#REF!</definedName>
    <definedName name="_12__123Graph_Aｸﾞﾗﾌ_2" localSheetId="4" hidden="1">#REF!</definedName>
    <definedName name="_12__123Graph_Aｸﾞﾗﾌ_2" localSheetId="0" hidden="1">#REF!</definedName>
    <definedName name="_12__123Graph_Aｸﾞﾗﾌ_2" localSheetId="2" hidden="1">#REF!</definedName>
    <definedName name="_12__123Graph_Aｸﾞﾗﾌ_2" hidden="1">#REF!</definedName>
    <definedName name="_120__123Graph_FCHART_31" hidden="1">#N/A</definedName>
    <definedName name="_120__123Graph_LBL_DCHART_30" localSheetId="4" hidden="1">#REF!</definedName>
    <definedName name="_120__123Graph_LBL_DCHART_30" localSheetId="0" hidden="1">#REF!</definedName>
    <definedName name="_120__123Graph_LBL_DCHART_30" localSheetId="2" hidden="1">#REF!</definedName>
    <definedName name="_120__123Graph_LBL_DCHART_30" hidden="1">#REF!</definedName>
    <definedName name="_121__123Graph_LBL_DCHART_31" localSheetId="4" hidden="1">#REF!</definedName>
    <definedName name="_121__123Graph_LBL_DCHART_31" localSheetId="0" hidden="1">#REF!</definedName>
    <definedName name="_121__123Graph_LBL_DCHART_31" localSheetId="2" hidden="1">#REF!</definedName>
    <definedName name="_121__123Graph_LBL_DCHART_31" hidden="1">#REF!</definedName>
    <definedName name="_122__123Graph_LBL_DCHART_32" localSheetId="4" hidden="1">#REF!</definedName>
    <definedName name="_122__123Graph_LBL_DCHART_32" localSheetId="0" hidden="1">#REF!</definedName>
    <definedName name="_122__123Graph_LBL_DCHART_32" localSheetId="2" hidden="1">#REF!</definedName>
    <definedName name="_122__123Graph_LBL_DCHART_32" hidden="1">#REF!</definedName>
    <definedName name="_123__123Graph_LBL_DCHART_34" localSheetId="4" hidden="1">#REF!</definedName>
    <definedName name="_123__123Graph_LBL_DCHART_34" localSheetId="0" hidden="1">#REF!</definedName>
    <definedName name="_123__123Graph_LBL_DCHART_34" localSheetId="2" hidden="1">#REF!</definedName>
    <definedName name="_123__123Graph_LBL_DCHART_34" hidden="1">#REF!</definedName>
    <definedName name="_124__123Graph_FCHART_34" hidden="1">#N/A</definedName>
    <definedName name="_124__123Graph_LBL_DCHART_37" localSheetId="4" hidden="1">#REF!</definedName>
    <definedName name="_124__123Graph_LBL_DCHART_37" localSheetId="0" hidden="1">#REF!</definedName>
    <definedName name="_124__123Graph_LBL_DCHART_37" localSheetId="2" hidden="1">#REF!</definedName>
    <definedName name="_124__123Graph_LBL_DCHART_37" hidden="1">#REF!</definedName>
    <definedName name="_125__123Graph_LBL_DCHART_39" localSheetId="4" hidden="1">#REF!</definedName>
    <definedName name="_125__123Graph_LBL_DCHART_39" localSheetId="0" hidden="1">#REF!</definedName>
    <definedName name="_125__123Graph_LBL_DCHART_39" localSheetId="2" hidden="1">#REF!</definedName>
    <definedName name="_125__123Graph_LBL_DCHART_39" hidden="1">#REF!</definedName>
    <definedName name="_126__123Graph_FCHART_37" hidden="1">#N/A</definedName>
    <definedName name="_126__123Graph_LBL_DCHART_41" localSheetId="4" hidden="1">#REF!</definedName>
    <definedName name="_126__123Graph_LBL_DCHART_41" localSheetId="0" hidden="1">#REF!</definedName>
    <definedName name="_126__123Graph_LBL_DCHART_41" localSheetId="2" hidden="1">#REF!</definedName>
    <definedName name="_126__123Graph_LBL_DCHART_41" hidden="1">#REF!</definedName>
    <definedName name="_127__123Graph_LBL_ECHART_15" localSheetId="4" hidden="1">#REF!</definedName>
    <definedName name="_127__123Graph_LBL_ECHART_15" localSheetId="0" hidden="1">#REF!</definedName>
    <definedName name="_127__123Graph_LBL_ECHART_15" localSheetId="2" hidden="1">#REF!</definedName>
    <definedName name="_127__123Graph_LBL_ECHART_15" hidden="1">#REF!</definedName>
    <definedName name="_128__123Graph_FCHART_39" hidden="1">#N/A</definedName>
    <definedName name="_128__123Graph_LBL_ECHART_16" localSheetId="4" hidden="1">#REF!</definedName>
    <definedName name="_128__123Graph_LBL_ECHART_16" localSheetId="0" hidden="1">#REF!</definedName>
    <definedName name="_128__123Graph_LBL_ECHART_16" localSheetId="2" hidden="1">#REF!</definedName>
    <definedName name="_128__123Graph_LBL_ECHART_16" hidden="1">#REF!</definedName>
    <definedName name="_129__123Graph_LBL_ECHART_17" localSheetId="4" hidden="1">#REF!</definedName>
    <definedName name="_129__123Graph_LBL_ECHART_17" localSheetId="0" hidden="1">#REF!</definedName>
    <definedName name="_129__123Graph_LBL_ECHART_17" localSheetId="2" hidden="1">#REF!</definedName>
    <definedName name="_129__123Graph_LBL_ECHART_17" hidden="1">#REF!</definedName>
    <definedName name="_13__123Graph_Aｸﾞﾗﾌ_2" localSheetId="4" hidden="1">#REF!</definedName>
    <definedName name="_13__123Graph_Aｸﾞﾗﾌ_2" localSheetId="0" hidden="1">#REF!</definedName>
    <definedName name="_13__123Graph_Aｸﾞﾗﾌ_2" localSheetId="2" hidden="1">#REF!</definedName>
    <definedName name="_13__123Graph_Aｸﾞﾗﾌ_2" hidden="1">#REF!</definedName>
    <definedName name="_13__123Graph_Bｸﾞﾗﾌ_1" localSheetId="4" hidden="1">#REF!</definedName>
    <definedName name="_13__123Graph_Bｸﾞﾗﾌ_1" localSheetId="0" hidden="1">#REF!</definedName>
    <definedName name="_13__123Graph_Bｸﾞﾗﾌ_1" localSheetId="2" hidden="1">#REF!</definedName>
    <definedName name="_13__123Graph_Bｸﾞﾗﾌ_1" hidden="1">#REF!</definedName>
    <definedName name="_130__123Graph_FCHART_41" hidden="1">#N/A</definedName>
    <definedName name="_130__123Graph_LBL_ECHART_19" localSheetId="4" hidden="1">#REF!</definedName>
    <definedName name="_130__123Graph_LBL_ECHART_19" localSheetId="0" hidden="1">#REF!</definedName>
    <definedName name="_130__123Graph_LBL_ECHART_19" localSheetId="2" hidden="1">#REF!</definedName>
    <definedName name="_130__123Graph_LBL_ECHART_19" hidden="1">#REF!</definedName>
    <definedName name="_131__123Graph_LBL_ECHART_22" localSheetId="4" hidden="1">#REF!</definedName>
    <definedName name="_131__123Graph_LBL_ECHART_22" localSheetId="0" hidden="1">#REF!</definedName>
    <definedName name="_131__123Graph_LBL_ECHART_22" localSheetId="2" hidden="1">#REF!</definedName>
    <definedName name="_131__123Graph_LBL_ECHART_22" hidden="1">#REF!</definedName>
    <definedName name="_132__123Graph_LBL_ECHART_24" localSheetId="4" hidden="1">#REF!</definedName>
    <definedName name="_132__123Graph_LBL_ECHART_24" localSheetId="0" hidden="1">#REF!</definedName>
    <definedName name="_132__123Graph_LBL_ECHART_24" localSheetId="2" hidden="1">#REF!</definedName>
    <definedName name="_132__123Graph_LBL_ECHART_24" hidden="1">#REF!</definedName>
    <definedName name="_133__123Graph_LBL_ECHART_26" localSheetId="4" hidden="1">#REF!</definedName>
    <definedName name="_133__123Graph_LBL_ECHART_26" localSheetId="0" hidden="1">#REF!</definedName>
    <definedName name="_133__123Graph_LBL_ECHART_26" localSheetId="2" hidden="1">#REF!</definedName>
    <definedName name="_133__123Graph_LBL_ECHART_26" hidden="1">#REF!</definedName>
    <definedName name="_134__123Graph_LBL_ECHART_28" localSheetId="4" hidden="1">#REF!</definedName>
    <definedName name="_134__123Graph_LBL_ECHART_28" localSheetId="0" hidden="1">#REF!</definedName>
    <definedName name="_134__123Graph_LBL_ECHART_28" localSheetId="2" hidden="1">#REF!</definedName>
    <definedName name="_134__123Graph_LBL_ECHART_28" hidden="1">#REF!</definedName>
    <definedName name="_135__123Graph_LBL_ECHART_30" localSheetId="4" hidden="1">#REF!</definedName>
    <definedName name="_135__123Graph_LBL_ECHART_30" localSheetId="0" hidden="1">#REF!</definedName>
    <definedName name="_135__123Graph_LBL_ECHART_30" localSheetId="2" hidden="1">#REF!</definedName>
    <definedName name="_135__123Graph_LBL_ECHART_30" hidden="1">#REF!</definedName>
    <definedName name="_136__123Graph_LBL_ECHART_31" localSheetId="4" hidden="1">#REF!</definedName>
    <definedName name="_136__123Graph_LBL_ECHART_31" localSheetId="0" hidden="1">#REF!</definedName>
    <definedName name="_136__123Graph_LBL_ECHART_31" localSheetId="2" hidden="1">#REF!</definedName>
    <definedName name="_136__123Graph_LBL_ECHART_31" hidden="1">#REF!</definedName>
    <definedName name="_137__123Graph_LBL_ECHART_32" localSheetId="4" hidden="1">#REF!</definedName>
    <definedName name="_137__123Graph_LBL_ECHART_32" localSheetId="0" hidden="1">#REF!</definedName>
    <definedName name="_137__123Graph_LBL_ECHART_32" localSheetId="2" hidden="1">#REF!</definedName>
    <definedName name="_137__123Graph_LBL_ECHART_32" hidden="1">#REF!</definedName>
    <definedName name="_138__123Graph_LBL_ECHART_34" localSheetId="4" hidden="1">#REF!</definedName>
    <definedName name="_138__123Graph_LBL_ECHART_34" localSheetId="0" hidden="1">#REF!</definedName>
    <definedName name="_138__123Graph_LBL_ECHART_34" localSheetId="2" hidden="1">#REF!</definedName>
    <definedName name="_138__123Graph_LBL_ECHART_34" hidden="1">#REF!</definedName>
    <definedName name="_139__123Graph_LBL_ECHART_37" localSheetId="4" hidden="1">#REF!</definedName>
    <definedName name="_139__123Graph_LBL_ECHART_37" localSheetId="0" hidden="1">#REF!</definedName>
    <definedName name="_139__123Graph_LBL_ECHART_37" localSheetId="2" hidden="1">#REF!</definedName>
    <definedName name="_139__123Graph_LBL_ECHART_37" hidden="1">#REF!</definedName>
    <definedName name="_14__123Graph_Bｸﾞﾗﾌ_1" localSheetId="4" hidden="1">#REF!</definedName>
    <definedName name="_14__123Graph_Bｸﾞﾗﾌ_1" localSheetId="0" hidden="1">#REF!</definedName>
    <definedName name="_14__123Graph_Bｸﾞﾗﾌ_1" localSheetId="2" hidden="1">#REF!</definedName>
    <definedName name="_14__123Graph_Bｸﾞﾗﾌ_1" hidden="1">#REF!</definedName>
    <definedName name="_14__123Graph_Bｸﾞﾗﾌ_2" localSheetId="4" hidden="1">#REF!</definedName>
    <definedName name="_14__123Graph_Bｸﾞﾗﾌ_2" localSheetId="0" hidden="1">#REF!</definedName>
    <definedName name="_14__123Graph_Bｸﾞﾗﾌ_2" localSheetId="2" hidden="1">#REF!</definedName>
    <definedName name="_14__123Graph_Bｸﾞﾗﾌ_2" hidden="1">#REF!</definedName>
    <definedName name="_14__123Graph_CCHART_16" hidden="1">#N/A</definedName>
    <definedName name="_140__123Graph_LBL_ECHART_39" localSheetId="4" hidden="1">#REF!</definedName>
    <definedName name="_140__123Graph_LBL_ECHART_39" localSheetId="0" hidden="1">#REF!</definedName>
    <definedName name="_140__123Graph_LBL_ECHART_39" localSheetId="2" hidden="1">#REF!</definedName>
    <definedName name="_140__123Graph_LBL_ECHART_39" hidden="1">#REF!</definedName>
    <definedName name="_141__123Graph_LBL_ECHART_41" localSheetId="4" hidden="1">#REF!</definedName>
    <definedName name="_141__123Graph_LBL_ECHART_41" localSheetId="0" hidden="1">#REF!</definedName>
    <definedName name="_141__123Graph_LBL_ECHART_41" localSheetId="2" hidden="1">#REF!</definedName>
    <definedName name="_141__123Graph_LBL_ECHART_41" hidden="1">#REF!</definedName>
    <definedName name="_142__123Graph_LBL_FCHART_15" localSheetId="4" hidden="1">#REF!</definedName>
    <definedName name="_142__123Graph_LBL_FCHART_15" localSheetId="0" hidden="1">#REF!</definedName>
    <definedName name="_142__123Graph_LBL_FCHART_15" localSheetId="2" hidden="1">#REF!</definedName>
    <definedName name="_142__123Graph_LBL_FCHART_15" hidden="1">#REF!</definedName>
    <definedName name="_143__123Graph_LBL_FCHART_16" localSheetId="4" hidden="1">#REF!</definedName>
    <definedName name="_143__123Graph_LBL_FCHART_16" localSheetId="0" hidden="1">#REF!</definedName>
    <definedName name="_143__123Graph_LBL_FCHART_16" localSheetId="2" hidden="1">#REF!</definedName>
    <definedName name="_143__123Graph_LBL_FCHART_16" hidden="1">#REF!</definedName>
    <definedName name="_144__123Graph_LBL_FCHART_17" localSheetId="4" hidden="1">#REF!</definedName>
    <definedName name="_144__123Graph_LBL_FCHART_17" localSheetId="0" hidden="1">#REF!</definedName>
    <definedName name="_144__123Graph_LBL_FCHART_17" localSheetId="2" hidden="1">#REF!</definedName>
    <definedName name="_144__123Graph_LBL_FCHART_17" hidden="1">#REF!</definedName>
    <definedName name="_145__123Graph_LBL_FCHART_19" localSheetId="4" hidden="1">#REF!</definedName>
    <definedName name="_145__123Graph_LBL_FCHART_19" localSheetId="0" hidden="1">#REF!</definedName>
    <definedName name="_145__123Graph_LBL_FCHART_19" localSheetId="2" hidden="1">#REF!</definedName>
    <definedName name="_145__123Graph_LBL_FCHART_19" hidden="1">#REF!</definedName>
    <definedName name="_146__123Graph_LBL_FCHART_22" localSheetId="4" hidden="1">#REF!</definedName>
    <definedName name="_146__123Graph_LBL_FCHART_22" localSheetId="0" hidden="1">#REF!</definedName>
    <definedName name="_146__123Graph_LBL_FCHART_22" localSheetId="2" hidden="1">#REF!</definedName>
    <definedName name="_146__123Graph_LBL_FCHART_22" hidden="1">#REF!</definedName>
    <definedName name="_147__123Graph_LBL_FCHART_24" localSheetId="4" hidden="1">#REF!</definedName>
    <definedName name="_147__123Graph_LBL_FCHART_24" localSheetId="0" hidden="1">#REF!</definedName>
    <definedName name="_147__123Graph_LBL_FCHART_24" localSheetId="2" hidden="1">#REF!</definedName>
    <definedName name="_147__123Graph_LBL_FCHART_24" hidden="1">#REF!</definedName>
    <definedName name="_148__123Graph_LBL_CCHART_30" hidden="1">#N/A</definedName>
    <definedName name="_148__123Graph_LBL_FCHART_26" localSheetId="4" hidden="1">#REF!</definedName>
    <definedName name="_148__123Graph_LBL_FCHART_26" localSheetId="0" hidden="1">#REF!</definedName>
    <definedName name="_148__123Graph_LBL_FCHART_26" localSheetId="2" hidden="1">#REF!</definedName>
    <definedName name="_148__123Graph_LBL_FCHART_26" hidden="1">#REF!</definedName>
    <definedName name="_149__123Graph_LBL_FCHART_28" localSheetId="4" hidden="1">#REF!</definedName>
    <definedName name="_149__123Graph_LBL_FCHART_28" localSheetId="0" hidden="1">#REF!</definedName>
    <definedName name="_149__123Graph_LBL_FCHART_28" localSheetId="2" hidden="1">#REF!</definedName>
    <definedName name="_149__123Graph_LBL_FCHART_28" hidden="1">#REF!</definedName>
    <definedName name="_15__123Graph_Bｸﾞﾗﾌ_2" localSheetId="4" hidden="1">#REF!</definedName>
    <definedName name="_15__123Graph_Bｸﾞﾗﾌ_2" localSheetId="0" hidden="1">#REF!</definedName>
    <definedName name="_15__123Graph_Bｸﾞﾗﾌ_2" localSheetId="2" hidden="1">#REF!</definedName>
    <definedName name="_15__123Graph_Bｸﾞﾗﾌ_2" hidden="1">#REF!</definedName>
    <definedName name="_150__123Graph_LBL_CCHART_31" hidden="1">#N/A</definedName>
    <definedName name="_150__123Graph_LBL_FCHART_30" localSheetId="4" hidden="1">#REF!</definedName>
    <definedName name="_150__123Graph_LBL_FCHART_30" localSheetId="0" hidden="1">#REF!</definedName>
    <definedName name="_150__123Graph_LBL_FCHART_30" localSheetId="2" hidden="1">#REF!</definedName>
    <definedName name="_150__123Graph_LBL_FCHART_30" hidden="1">#REF!</definedName>
    <definedName name="_151__123Graph_LBL_FCHART_31" localSheetId="4" hidden="1">#REF!</definedName>
    <definedName name="_151__123Graph_LBL_FCHART_31" localSheetId="0" hidden="1">#REF!</definedName>
    <definedName name="_151__123Graph_LBL_FCHART_31" localSheetId="2" hidden="1">#REF!</definedName>
    <definedName name="_151__123Graph_LBL_FCHART_31" hidden="1">#REF!</definedName>
    <definedName name="_152__123Graph_LBL_FCHART_32" localSheetId="4" hidden="1">#REF!</definedName>
    <definedName name="_152__123Graph_LBL_FCHART_32" localSheetId="0" hidden="1">#REF!</definedName>
    <definedName name="_152__123Graph_LBL_FCHART_32" localSheetId="2" hidden="1">#REF!</definedName>
    <definedName name="_152__123Graph_LBL_FCHART_32" hidden="1">#REF!</definedName>
    <definedName name="_153__123Graph_LBL_FCHART_34" localSheetId="4" hidden="1">#REF!</definedName>
    <definedName name="_153__123Graph_LBL_FCHART_34" localSheetId="0" hidden="1">#REF!</definedName>
    <definedName name="_153__123Graph_LBL_FCHART_34" localSheetId="2" hidden="1">#REF!</definedName>
    <definedName name="_153__123Graph_LBL_FCHART_34" hidden="1">#REF!</definedName>
    <definedName name="_154__123Graph_LBL_CCHART_34" hidden="1">#N/A</definedName>
    <definedName name="_154__123Graph_LBL_FCHART_37" localSheetId="4" hidden="1">#REF!</definedName>
    <definedName name="_154__123Graph_LBL_FCHART_37" localSheetId="0" hidden="1">#REF!</definedName>
    <definedName name="_154__123Graph_LBL_FCHART_37" localSheetId="2" hidden="1">#REF!</definedName>
    <definedName name="_154__123Graph_LBL_FCHART_37" hidden="1">#REF!</definedName>
    <definedName name="_155__123Graph_LBL_FCHART_39" localSheetId="4" hidden="1">#REF!</definedName>
    <definedName name="_155__123Graph_LBL_FCHART_39" localSheetId="0" hidden="1">#REF!</definedName>
    <definedName name="_155__123Graph_LBL_FCHART_39" localSheetId="2" hidden="1">#REF!</definedName>
    <definedName name="_155__123Graph_LBL_FCHART_39" hidden="1">#REF!</definedName>
    <definedName name="_156__123Graph_LBL_CCHART_37" hidden="1">#N/A</definedName>
    <definedName name="_156__123Graph_LBL_FCHART_41" localSheetId="4" hidden="1">#REF!</definedName>
    <definedName name="_156__123Graph_LBL_FCHART_41" localSheetId="0" hidden="1">#REF!</definedName>
    <definedName name="_156__123Graph_LBL_FCHART_41" localSheetId="2" hidden="1">#REF!</definedName>
    <definedName name="_156__123Graph_LBL_FCHART_41" hidden="1">#REF!</definedName>
    <definedName name="_158__123Graph_LBL_CCHART_39" hidden="1">#N/A</definedName>
    <definedName name="_16__123Graph_BCHART_15" localSheetId="4" hidden="1">#REF!</definedName>
    <definedName name="_16__123Graph_BCHART_15" localSheetId="0" hidden="1">#REF!</definedName>
    <definedName name="_16__123Graph_BCHART_15" localSheetId="2" hidden="1">#REF!</definedName>
    <definedName name="_16__123Graph_BCHART_15" hidden="1">#REF!</definedName>
    <definedName name="_16__123Graph_CCHART_17" hidden="1">#N/A</definedName>
    <definedName name="_160__123Graph_LBL_CCHART_41" hidden="1">#N/A</definedName>
    <definedName name="_164__123Graph_LBL_DCHART_16" hidden="1">#N/A</definedName>
    <definedName name="_165__123Graph_XCHART_15" localSheetId="4" hidden="1">#REF!</definedName>
    <definedName name="_165__123Graph_XCHART_15" localSheetId="0" hidden="1">#REF!</definedName>
    <definedName name="_165__123Graph_XCHART_15" localSheetId="2" hidden="1">#REF!</definedName>
    <definedName name="_165__123Graph_XCHART_15" hidden="1">#REF!</definedName>
    <definedName name="_166__123Graph_LBL_DCHART_17" hidden="1">#N/A</definedName>
    <definedName name="_166__123Graph_XCHART_16" localSheetId="4" hidden="1">#REF!</definedName>
    <definedName name="_166__123Graph_XCHART_16" localSheetId="0" hidden="1">#REF!</definedName>
    <definedName name="_166__123Graph_XCHART_16" localSheetId="2" hidden="1">#REF!</definedName>
    <definedName name="_166__123Graph_XCHART_16" hidden="1">#REF!</definedName>
    <definedName name="_167__123Graph_XCHART_17" localSheetId="4" hidden="1">#REF!</definedName>
    <definedName name="_167__123Graph_XCHART_17" localSheetId="0" hidden="1">#REF!</definedName>
    <definedName name="_167__123Graph_XCHART_17" localSheetId="2" hidden="1">#REF!</definedName>
    <definedName name="_167__123Graph_XCHART_17" hidden="1">#REF!</definedName>
    <definedName name="_168__123Graph_LBL_DCHART_19" hidden="1">#N/A</definedName>
    <definedName name="_168__123Graph_XCHART_19" localSheetId="4" hidden="1">#REF!</definedName>
    <definedName name="_168__123Graph_XCHART_19" localSheetId="0" hidden="1">#REF!</definedName>
    <definedName name="_168__123Graph_XCHART_19" localSheetId="2" hidden="1">#REF!</definedName>
    <definedName name="_168__123Graph_XCHART_19" hidden="1">#REF!</definedName>
    <definedName name="_169__123Graph_XCHART_22" localSheetId="4" hidden="1">#REF!</definedName>
    <definedName name="_169__123Graph_XCHART_22" localSheetId="0" hidden="1">#REF!</definedName>
    <definedName name="_169__123Graph_XCHART_22" localSheetId="2" hidden="1">#REF!</definedName>
    <definedName name="_169__123Graph_XCHART_22" hidden="1">#REF!</definedName>
    <definedName name="_17__123Graph_BCHART_22" localSheetId="4" hidden="1">#REF!</definedName>
    <definedName name="_17__123Graph_BCHART_22" localSheetId="0" hidden="1">#REF!</definedName>
    <definedName name="_17__123Graph_BCHART_22" localSheetId="2" hidden="1">#REF!</definedName>
    <definedName name="_17__123Graph_BCHART_22" hidden="1">#REF!</definedName>
    <definedName name="_170__123Graph_LBL_DCHART_22" hidden="1">#N/A</definedName>
    <definedName name="_170__123Graph_XCHART_24" localSheetId="4" hidden="1">#REF!</definedName>
    <definedName name="_170__123Graph_XCHART_24" localSheetId="0" hidden="1">#REF!</definedName>
    <definedName name="_170__123Graph_XCHART_24" localSheetId="2" hidden="1">#REF!</definedName>
    <definedName name="_170__123Graph_XCHART_24" hidden="1">#REF!</definedName>
    <definedName name="_170P6_" localSheetId="6" hidden="1">{"SUM ALL YR",#N/A,FALSE,"SUM ALL YR";"sum01",#N/A,FALSE,"SUM 01";"sumM2",#N/A,FALSE,"SUM M2";"sum02",#N/A,FALSE,"SUM 02";"sum03",#N/A,FALSE,"SUM 03";"sum04",#N/A,FALSE,"SUM 04";"sum05",#N/A,FALSE,"SUM 05"}</definedName>
    <definedName name="_170P6_" hidden="1">{"SUM ALL YR",#N/A,FALSE,"SUM ALL YR";"sum01",#N/A,FALSE,"SUM 01";"sumM2",#N/A,FALSE,"SUM M2";"sum02",#N/A,FALSE,"SUM 02";"sum03",#N/A,FALSE,"SUM 03";"sum04",#N/A,FALSE,"SUM 04";"sum05",#N/A,FALSE,"SUM 05"}</definedName>
    <definedName name="_171__123Graph_XCHART_26" localSheetId="4" hidden="1">#REF!</definedName>
    <definedName name="_171__123Graph_XCHART_26" localSheetId="0" hidden="1">#REF!</definedName>
    <definedName name="_171__123Graph_XCHART_26" localSheetId="2" hidden="1">#REF!</definedName>
    <definedName name="_171__123Graph_XCHART_26" hidden="1">#REF!</definedName>
    <definedName name="_172__123Graph_LBL_DCHART_24" hidden="1">#N/A</definedName>
    <definedName name="_172__123Graph_XCHART_28" localSheetId="4" hidden="1">#REF!</definedName>
    <definedName name="_172__123Graph_XCHART_28" localSheetId="0" hidden="1">#REF!</definedName>
    <definedName name="_172__123Graph_XCHART_28" localSheetId="2" hidden="1">#REF!</definedName>
    <definedName name="_172__123Graph_XCHART_28" hidden="1">#REF!</definedName>
    <definedName name="_173__123Graph_XCHART_30" localSheetId="4" hidden="1">#REF!</definedName>
    <definedName name="_173__123Graph_XCHART_30" localSheetId="0" hidden="1">#REF!</definedName>
    <definedName name="_173__123Graph_XCHART_30" localSheetId="2" hidden="1">#REF!</definedName>
    <definedName name="_173__123Graph_XCHART_30" hidden="1">#REF!</definedName>
    <definedName name="_174__123Graph_XCHART_31" localSheetId="4" hidden="1">#REF!</definedName>
    <definedName name="_174__123Graph_XCHART_31" localSheetId="0" hidden="1">#REF!</definedName>
    <definedName name="_174__123Graph_XCHART_31" localSheetId="2" hidden="1">#REF!</definedName>
    <definedName name="_174__123Graph_XCHART_31" hidden="1">#REF!</definedName>
    <definedName name="_175__123Graph_XCHART_32" localSheetId="4" hidden="1">#REF!</definedName>
    <definedName name="_175__123Graph_XCHART_32" localSheetId="0" hidden="1">#REF!</definedName>
    <definedName name="_175__123Graph_XCHART_32" localSheetId="2" hidden="1">#REF!</definedName>
    <definedName name="_175__123Graph_XCHART_32" hidden="1">#REF!</definedName>
    <definedName name="_176__123Graph_XCHART_34" localSheetId="4" hidden="1">#REF!</definedName>
    <definedName name="_176__123Graph_XCHART_34" localSheetId="0" hidden="1">#REF!</definedName>
    <definedName name="_176__123Graph_XCHART_34" localSheetId="2" hidden="1">#REF!</definedName>
    <definedName name="_176__123Graph_XCHART_34" hidden="1">#REF!</definedName>
    <definedName name="_177__123Graph_XCHART_37" localSheetId="4" hidden="1">#REF!</definedName>
    <definedName name="_177__123Graph_XCHART_37" localSheetId="0" hidden="1">#REF!</definedName>
    <definedName name="_177__123Graph_XCHART_37" localSheetId="2" hidden="1">#REF!</definedName>
    <definedName name="_177__123Graph_XCHART_37" hidden="1">#REF!</definedName>
    <definedName name="_178__123Graph_LBL_DCHART_30" hidden="1">#N/A</definedName>
    <definedName name="_178__123Graph_XCHART_39" localSheetId="4" hidden="1">#REF!</definedName>
    <definedName name="_178__123Graph_XCHART_39" localSheetId="0" hidden="1">#REF!</definedName>
    <definedName name="_178__123Graph_XCHART_39" localSheetId="2" hidden="1">#REF!</definedName>
    <definedName name="_178__123Graph_XCHART_39" hidden="1">#REF!</definedName>
    <definedName name="_179__123Graph_XCHART_41" localSheetId="4" hidden="1">#REF!</definedName>
    <definedName name="_179__123Graph_XCHART_41" localSheetId="0" hidden="1">#REF!</definedName>
    <definedName name="_179__123Graph_XCHART_41" localSheetId="2" hidden="1">#REF!</definedName>
    <definedName name="_179__123Graph_XCHART_41" hidden="1">#REF!</definedName>
    <definedName name="_18__123Graph_BCHART_24" localSheetId="4" hidden="1">#REF!</definedName>
    <definedName name="_18__123Graph_BCHART_24" localSheetId="0" hidden="1">#REF!</definedName>
    <definedName name="_18__123Graph_BCHART_24" localSheetId="2" hidden="1">#REF!</definedName>
    <definedName name="_18__123Graph_BCHART_24" hidden="1">#REF!</definedName>
    <definedName name="_18__123Graph_CCHART_19" hidden="1">#N/A</definedName>
    <definedName name="_180__123Graph_LBL_DCHART_31" hidden="1">#N/A</definedName>
    <definedName name="_181__123Graph_XCHART_5" localSheetId="4" hidden="1">#REF!</definedName>
    <definedName name="_181__123Graph_XCHART_5" localSheetId="0" hidden="1">#REF!</definedName>
    <definedName name="_181__123Graph_XCHART_5" localSheetId="2" hidden="1">#REF!</definedName>
    <definedName name="_181__123Graph_XCHART_5" hidden="1">#REF!</definedName>
    <definedName name="_184__123Graph_LBL_DCHART_34" hidden="1">#N/A</definedName>
    <definedName name="_186__123Graph_LBL_DCHART_37" hidden="1">#N/A</definedName>
    <definedName name="_188__123Graph_LBL_DCHART_39" hidden="1">#N/A</definedName>
    <definedName name="_19__123Graph_Aｸﾞﾗﾌ_1" localSheetId="4" hidden="1">#REF!</definedName>
    <definedName name="_19__123Graph_Aｸﾞﾗﾌ_1" localSheetId="0" hidden="1">#REF!</definedName>
    <definedName name="_19__123Graph_Aｸﾞﾗﾌ_1" localSheetId="2" hidden="1">#REF!</definedName>
    <definedName name="_19__123Graph_Aｸﾞﾗﾌ_1" hidden="1">#REF!</definedName>
    <definedName name="_19__123Graph_BCHART_26" localSheetId="4" hidden="1">#REF!</definedName>
    <definedName name="_19__123Graph_BCHART_26" localSheetId="0" hidden="1">#REF!</definedName>
    <definedName name="_19__123Graph_BCHART_26" localSheetId="2" hidden="1">#REF!</definedName>
    <definedName name="_19__123Graph_BCHART_26" hidden="1">#REF!</definedName>
    <definedName name="_190__123Graph_LBL_DCHART_41" hidden="1">#N/A</definedName>
    <definedName name="_194__123Graph_LBL_ECHART_16" hidden="1">#N/A</definedName>
    <definedName name="_196__123Graph_LBL_ECHART_17" hidden="1">#N/A</definedName>
    <definedName name="_198__123Graph_LBL_ECHART_19" hidden="1">#N/A</definedName>
    <definedName name="_20__123Graph_Aｸﾞﾗﾌ_2" localSheetId="4" hidden="1">#REF!</definedName>
    <definedName name="_20__123Graph_Aｸﾞﾗﾌ_2" localSheetId="0" hidden="1">#REF!</definedName>
    <definedName name="_20__123Graph_Aｸﾞﾗﾌ_2" localSheetId="2" hidden="1">#REF!</definedName>
    <definedName name="_20__123Graph_Aｸﾞﾗﾌ_2" hidden="1">#REF!</definedName>
    <definedName name="_20__123Graph_BCHART_28" localSheetId="4" hidden="1">#REF!</definedName>
    <definedName name="_20__123Graph_BCHART_28" localSheetId="0" hidden="1">#REF!</definedName>
    <definedName name="_20__123Graph_BCHART_28" localSheetId="2" hidden="1">#REF!</definedName>
    <definedName name="_20__123Graph_BCHART_28" hidden="1">#REF!</definedName>
    <definedName name="_20__123Graph_CCHART_22" hidden="1">#N/A</definedName>
    <definedName name="_200__123Graph_LBL_ECHART_22" hidden="1">#N/A</definedName>
    <definedName name="_202__123Graph_LBL_ECHART_24" hidden="1">#N/A</definedName>
    <definedName name="_208__123Graph_LBL_ECHART_30" hidden="1">#N/A</definedName>
    <definedName name="_21__123Graph_Bｸﾞﾗﾌ_1" localSheetId="4" hidden="1">#REF!</definedName>
    <definedName name="_21__123Graph_Bｸﾞﾗﾌ_1" localSheetId="0" hidden="1">#REF!</definedName>
    <definedName name="_21__123Graph_Bｸﾞﾗﾌ_1" localSheetId="2" hidden="1">#REF!</definedName>
    <definedName name="_21__123Graph_Bｸﾞﾗﾌ_1" hidden="1">#REF!</definedName>
    <definedName name="_210__123Graph_LBL_ECHART_31" hidden="1">#N/A</definedName>
    <definedName name="_210____S" localSheetId="4" hidden="1">#REF!</definedName>
    <definedName name="_210____S" localSheetId="0" hidden="1">#REF!</definedName>
    <definedName name="_210____S" localSheetId="2" hidden="1">#REF!</definedName>
    <definedName name="_210____S" hidden="1">#REF!</definedName>
    <definedName name="_211__0_S" localSheetId="4" hidden="1">#REF!</definedName>
    <definedName name="_211__0_S" localSheetId="0" hidden="1">#REF!</definedName>
    <definedName name="_211__0_S" localSheetId="2" hidden="1">#REF!</definedName>
    <definedName name="_211__0_S" hidden="1">#REF!</definedName>
    <definedName name="_212__123Graph_LBL_ECHART_32" hidden="1">#N/A</definedName>
    <definedName name="_214__123Graph_LBL_ECHART_34" hidden="1">#N/A</definedName>
    <definedName name="_216__123Graph_LBL_ECHART_37" hidden="1">#N/A</definedName>
    <definedName name="_218__123Graph_LBL_ECHART_39" hidden="1">#N/A</definedName>
    <definedName name="_22__123Graph_BCHART_5" localSheetId="4" hidden="1">#REF!</definedName>
    <definedName name="_22__123Graph_BCHART_5" localSheetId="0" hidden="1">#REF!</definedName>
    <definedName name="_22__123Graph_BCHART_5" localSheetId="2" hidden="1">#REF!</definedName>
    <definedName name="_22__123Graph_BCHART_5" hidden="1">#REF!</definedName>
    <definedName name="_22__123Graph_Bｸﾞﾗﾌ_2" localSheetId="4" hidden="1">#REF!</definedName>
    <definedName name="_22__123Graph_Bｸﾞﾗﾌ_2" localSheetId="0" hidden="1">#REF!</definedName>
    <definedName name="_22__123Graph_Bｸﾞﾗﾌ_2" localSheetId="2" hidden="1">#REF!</definedName>
    <definedName name="_22__123Graph_Bｸﾞﾗﾌ_2" hidden="1">#REF!</definedName>
    <definedName name="_22__123Graph_CCHART_24" hidden="1">#N/A</definedName>
    <definedName name="_220__123Graph_LBL_ECHART_41" hidden="1">#N/A</definedName>
    <definedName name="_224__123Graph_LBL_FCHART_16" hidden="1">#N/A</definedName>
    <definedName name="_226__123Graph_LBL_FCHART_17" hidden="1">#N/A</definedName>
    <definedName name="_228__123Graph_LBL_FCHART_19" hidden="1">#N/A</definedName>
    <definedName name="_23__123Graph_CCHART_15" localSheetId="4" hidden="1">#REF!</definedName>
    <definedName name="_23__123Graph_CCHART_15" localSheetId="0" hidden="1">#REF!</definedName>
    <definedName name="_23__123Graph_CCHART_15" localSheetId="2" hidden="1">#REF!</definedName>
    <definedName name="_23__123Graph_CCHART_15" hidden="1">#REF!</definedName>
    <definedName name="_230__123Graph_LBL_FCHART_22" hidden="1">#N/A</definedName>
    <definedName name="_232__123Graph_LBL_FCHART_24" hidden="1">#N/A</definedName>
    <definedName name="_238__123Graph_LBL_FCHART_30" hidden="1">#N/A</definedName>
    <definedName name="_24__123Graph_CCHART_16" localSheetId="4" hidden="1">#REF!</definedName>
    <definedName name="_24__123Graph_CCHART_16" localSheetId="0" hidden="1">#REF!</definedName>
    <definedName name="_24__123Graph_CCHART_16" localSheetId="2" hidden="1">#REF!</definedName>
    <definedName name="_24__123Graph_CCHART_16" hidden="1">#REF!</definedName>
    <definedName name="_240__123Graph_LBL_FCHART_31" hidden="1">#N/A</definedName>
    <definedName name="_244__123Graph_LBL_FCHART_34" hidden="1">#N/A</definedName>
    <definedName name="_246__123Graph_LBL_FCHART_37" hidden="1">#N/A</definedName>
    <definedName name="_248__123Graph_LBL_FCHART_39" hidden="1">#N/A</definedName>
    <definedName name="_25__123Graph_CCHART_17" localSheetId="4" hidden="1">#REF!</definedName>
    <definedName name="_25__123Graph_CCHART_17" localSheetId="0" hidden="1">#REF!</definedName>
    <definedName name="_25__123Graph_CCHART_17" localSheetId="2" hidden="1">#REF!</definedName>
    <definedName name="_25__123Graph_CCHART_17" hidden="1">#REF!</definedName>
    <definedName name="_250__123Graph_LBL_FCHART_41" hidden="1">#N/A</definedName>
    <definedName name="_26__123Graph_CCHART_19" localSheetId="4" hidden="1">#REF!</definedName>
    <definedName name="_26__123Graph_CCHART_19" localSheetId="0" hidden="1">#REF!</definedName>
    <definedName name="_26__123Graph_CCHART_19" localSheetId="2" hidden="1">#REF!</definedName>
    <definedName name="_26__123Graph_CCHART_19" hidden="1">#REF!</definedName>
    <definedName name="_27__123Graph_CCHART_22" localSheetId="4" hidden="1">#REF!</definedName>
    <definedName name="_27__123Graph_CCHART_22" localSheetId="0" hidden="1">#REF!</definedName>
    <definedName name="_27__123Graph_CCHART_22" localSheetId="2" hidden="1">#REF!</definedName>
    <definedName name="_27__123Graph_CCHART_22" hidden="1">#REF!</definedName>
    <definedName name="_28__123Graph_CCHART_24" localSheetId="4" hidden="1">#REF!</definedName>
    <definedName name="_28__123Graph_CCHART_24" localSheetId="0" hidden="1">#REF!</definedName>
    <definedName name="_28__123Graph_CCHART_24" localSheetId="2" hidden="1">#REF!</definedName>
    <definedName name="_28__123Graph_CCHART_24" hidden="1">#REF!</definedName>
    <definedName name="_28__123Graph_CCHART_30" hidden="1">#N/A</definedName>
    <definedName name="_29__123Graph_CCHART_26" localSheetId="4" hidden="1">#REF!</definedName>
    <definedName name="_29__123Graph_CCHART_26" localSheetId="0" hidden="1">#REF!</definedName>
    <definedName name="_29__123Graph_CCHART_26" localSheetId="2" hidden="1">#REF!</definedName>
    <definedName name="_29__123Graph_CCHART_26" hidden="1">#REF!</definedName>
    <definedName name="_30__123Graph_CCHART_28" localSheetId="4" hidden="1">#REF!</definedName>
    <definedName name="_30__123Graph_CCHART_28" localSheetId="0" hidden="1">#REF!</definedName>
    <definedName name="_30__123Graph_CCHART_28" localSheetId="2" hidden="1">#REF!</definedName>
    <definedName name="_30__123Graph_CCHART_28" hidden="1">#REF!</definedName>
    <definedName name="_30__123Graph_CCHART_31" hidden="1">#N/A</definedName>
    <definedName name="_31__123Graph_CCHART_30" localSheetId="4" hidden="1">#REF!</definedName>
    <definedName name="_31__123Graph_CCHART_30" localSheetId="0" hidden="1">#REF!</definedName>
    <definedName name="_31__123Graph_CCHART_30" localSheetId="2" hidden="1">#REF!</definedName>
    <definedName name="_31__123Graph_CCHART_30" hidden="1">#REF!</definedName>
    <definedName name="_32__123Graph_CCHART_31" localSheetId="4" hidden="1">#REF!</definedName>
    <definedName name="_32__123Graph_CCHART_31" localSheetId="0" hidden="1">#REF!</definedName>
    <definedName name="_32__123Graph_CCHART_31" localSheetId="2" hidden="1">#REF!</definedName>
    <definedName name="_32__123Graph_CCHART_31" hidden="1">#REF!</definedName>
    <definedName name="_33__123Graph_CCHART_32" localSheetId="4" hidden="1">#REF!</definedName>
    <definedName name="_33__123Graph_CCHART_32" localSheetId="0" hidden="1">#REF!</definedName>
    <definedName name="_33__123Graph_CCHART_32" localSheetId="2" hidden="1">#REF!</definedName>
    <definedName name="_33__123Graph_CCHART_32" hidden="1">#REF!</definedName>
    <definedName name="_34__123Graph_CCHART_34" localSheetId="4" hidden="1">#REF!</definedName>
    <definedName name="_34__123Graph_CCHART_34" localSheetId="0" hidden="1">#REF!</definedName>
    <definedName name="_34__123Graph_CCHART_34" localSheetId="2" hidden="1">#REF!</definedName>
    <definedName name="_34__123Graph_CCHART_34" hidden="1">#REF!</definedName>
    <definedName name="_35__123Graph_CCHART_37" localSheetId="4" hidden="1">#REF!</definedName>
    <definedName name="_35__123Graph_CCHART_37" localSheetId="0" hidden="1">#REF!</definedName>
    <definedName name="_35__123Graph_CCHART_37" localSheetId="2" hidden="1">#REF!</definedName>
    <definedName name="_35__123Graph_CCHART_37" hidden="1">#REF!</definedName>
    <definedName name="_36__123Graph_CCHART_37" hidden="1">#N/A</definedName>
    <definedName name="_36__123Graph_CCHART_39" localSheetId="4" hidden="1">#REF!</definedName>
    <definedName name="_36__123Graph_CCHART_39" localSheetId="0" hidden="1">#REF!</definedName>
    <definedName name="_36__123Graph_CCHART_39" localSheetId="2" hidden="1">#REF!</definedName>
    <definedName name="_36__123Graph_CCHART_39" hidden="1">#REF!</definedName>
    <definedName name="_37__123Graph_CCHART_41" localSheetId="4" hidden="1">#REF!</definedName>
    <definedName name="_37__123Graph_CCHART_41" localSheetId="0" hidden="1">#REF!</definedName>
    <definedName name="_37__123Graph_CCHART_41" localSheetId="2" hidden="1">#REF!</definedName>
    <definedName name="_37__123Graph_CCHART_41" hidden="1">#REF!</definedName>
    <definedName name="_38__123Graph_CCHART_39" hidden="1">#N/A</definedName>
    <definedName name="_39__123Graph_CCHART_5" localSheetId="4" hidden="1">#REF!</definedName>
    <definedName name="_39__123Graph_CCHART_5" localSheetId="0" hidden="1">#REF!</definedName>
    <definedName name="_39__123Graph_CCHART_5" localSheetId="2" hidden="1">#REF!</definedName>
    <definedName name="_39__123Graph_CCHART_5" hidden="1">#REF!</definedName>
    <definedName name="_4" localSheetId="4" hidden="1">#REF!</definedName>
    <definedName name="_4" localSheetId="0" hidden="1">#REF!</definedName>
    <definedName name="_4" localSheetId="2" hidden="1">#REF!</definedName>
    <definedName name="_4" hidden="1">#REF!</definedName>
    <definedName name="_4__123Graph_BCHART_22" hidden="1">#N/A</definedName>
    <definedName name="_40__123Graph_CCHART_41" hidden="1">#N/A</definedName>
    <definedName name="_40__123Graph_DCHART_15" localSheetId="4" hidden="1">#REF!</definedName>
    <definedName name="_40__123Graph_DCHART_15" localSheetId="0" hidden="1">#REF!</definedName>
    <definedName name="_40__123Graph_DCHART_15" localSheetId="2" hidden="1">#REF!</definedName>
    <definedName name="_40__123Graph_DCHART_15" hidden="1">#REF!</definedName>
    <definedName name="_41__123Graph_DCHART_16" localSheetId="4" hidden="1">#REF!</definedName>
    <definedName name="_41__123Graph_DCHART_16" localSheetId="0" hidden="1">#REF!</definedName>
    <definedName name="_41__123Graph_DCHART_16" localSheetId="2" hidden="1">#REF!</definedName>
    <definedName name="_41__123Graph_DCHART_16" hidden="1">#REF!</definedName>
    <definedName name="_42__123Graph_DCHART_17" localSheetId="4" hidden="1">#REF!</definedName>
    <definedName name="_42__123Graph_DCHART_17" localSheetId="0" hidden="1">#REF!</definedName>
    <definedName name="_42__123Graph_DCHART_17" localSheetId="2" hidden="1">#REF!</definedName>
    <definedName name="_42__123Graph_DCHART_17" hidden="1">#REF!</definedName>
    <definedName name="_43__123Graph_DCHART_19" localSheetId="4" hidden="1">#REF!</definedName>
    <definedName name="_43__123Graph_DCHART_19" localSheetId="0" hidden="1">#REF!</definedName>
    <definedName name="_43__123Graph_DCHART_19" localSheetId="2" hidden="1">#REF!</definedName>
    <definedName name="_43__123Graph_DCHART_19" hidden="1">#REF!</definedName>
    <definedName name="_44__123Graph_DCHART_16" hidden="1">#N/A</definedName>
    <definedName name="_44__123Graph_DCHART_22" localSheetId="4" hidden="1">#REF!</definedName>
    <definedName name="_44__123Graph_DCHART_22" localSheetId="0" hidden="1">#REF!</definedName>
    <definedName name="_44__123Graph_DCHART_22" localSheetId="2" hidden="1">#REF!</definedName>
    <definedName name="_44__123Graph_DCHART_22" hidden="1">#REF!</definedName>
    <definedName name="_45__123Graph_DCHART_24" localSheetId="4" hidden="1">#REF!</definedName>
    <definedName name="_45__123Graph_DCHART_24" localSheetId="0" hidden="1">#REF!</definedName>
    <definedName name="_45__123Graph_DCHART_24" localSheetId="2" hidden="1">#REF!</definedName>
    <definedName name="_45__123Graph_DCHART_24" hidden="1">#REF!</definedName>
    <definedName name="_46__123Graph_DCHART_17" hidden="1">#N/A</definedName>
    <definedName name="_46__123Graph_DCHART_26" localSheetId="4" hidden="1">#REF!</definedName>
    <definedName name="_46__123Graph_DCHART_26" localSheetId="0" hidden="1">#REF!</definedName>
    <definedName name="_46__123Graph_DCHART_26" localSheetId="2" hidden="1">#REF!</definedName>
    <definedName name="_46__123Graph_DCHART_26" hidden="1">#REF!</definedName>
    <definedName name="_47__123Graph_DCHART_28" localSheetId="4" hidden="1">#REF!</definedName>
    <definedName name="_47__123Graph_DCHART_28" localSheetId="0" hidden="1">#REF!</definedName>
    <definedName name="_47__123Graph_DCHART_28" localSheetId="2" hidden="1">#REF!</definedName>
    <definedName name="_47__123Graph_DCHART_28" hidden="1">#REF!</definedName>
    <definedName name="_48__123Graph_DCHART_19" hidden="1">#N/A</definedName>
    <definedName name="_48__123Graph_DCHART_30" localSheetId="4" hidden="1">#REF!</definedName>
    <definedName name="_48__123Graph_DCHART_30" localSheetId="0" hidden="1">#REF!</definedName>
    <definedName name="_48__123Graph_DCHART_30" localSheetId="2" hidden="1">#REF!</definedName>
    <definedName name="_48__123Graph_DCHART_30" hidden="1">#REF!</definedName>
    <definedName name="_49__123Graph_DCHART_31" localSheetId="4" hidden="1">#REF!</definedName>
    <definedName name="_49__123Graph_DCHART_31" localSheetId="0" hidden="1">#REF!</definedName>
    <definedName name="_49__123Graph_DCHART_31" localSheetId="2" hidden="1">#REF!</definedName>
    <definedName name="_49__123Graph_DCHART_31" hidden="1">#REF!</definedName>
    <definedName name="_50__123Graph_DCHART_22" hidden="1">#N/A</definedName>
    <definedName name="_50__123Graph_DCHART_32" localSheetId="4" hidden="1">#REF!</definedName>
    <definedName name="_50__123Graph_DCHART_32" localSheetId="0" hidden="1">#REF!</definedName>
    <definedName name="_50__123Graph_DCHART_32" localSheetId="2" hidden="1">#REF!</definedName>
    <definedName name="_50__123Graph_DCHART_32" hidden="1">#REF!</definedName>
    <definedName name="_51__123Graph_DCHART_34" localSheetId="4" hidden="1">#REF!</definedName>
    <definedName name="_51__123Graph_DCHART_34" localSheetId="0" hidden="1">#REF!</definedName>
    <definedName name="_51__123Graph_DCHART_34" localSheetId="2" hidden="1">#REF!</definedName>
    <definedName name="_51__123Graph_DCHART_34" hidden="1">#REF!</definedName>
    <definedName name="_52__123Graph_DCHART_24" hidden="1">#N/A</definedName>
    <definedName name="_52__123Graph_DCHART_37" localSheetId="4" hidden="1">#REF!</definedName>
    <definedName name="_52__123Graph_DCHART_37" localSheetId="0" hidden="1">#REF!</definedName>
    <definedName name="_52__123Graph_DCHART_37" localSheetId="2" hidden="1">#REF!</definedName>
    <definedName name="_52__123Graph_DCHART_37" hidden="1">#REF!</definedName>
    <definedName name="_53__123Graph_DCHART_39" localSheetId="4" hidden="1">#REF!</definedName>
    <definedName name="_53__123Graph_DCHART_39" localSheetId="0" hidden="1">#REF!</definedName>
    <definedName name="_53__123Graph_DCHART_39" localSheetId="2" hidden="1">#REF!</definedName>
    <definedName name="_53__123Graph_DCHART_39" hidden="1">#REF!</definedName>
    <definedName name="_54__123Graph_DCHART_41" localSheetId="4" hidden="1">#REF!</definedName>
    <definedName name="_54__123Graph_DCHART_41" localSheetId="0" hidden="1">#REF!</definedName>
    <definedName name="_54__123Graph_DCHART_41" localSheetId="2" hidden="1">#REF!</definedName>
    <definedName name="_54__123Graph_DCHART_41" hidden="1">#REF!</definedName>
    <definedName name="_56__123Graph_DCHART_5" localSheetId="4" hidden="1">#REF!</definedName>
    <definedName name="_56__123Graph_DCHART_5" localSheetId="0" hidden="1">#REF!</definedName>
    <definedName name="_56__123Graph_DCHART_5" localSheetId="2" hidden="1">#REF!</definedName>
    <definedName name="_56__123Graph_DCHART_5" hidden="1">#REF!</definedName>
    <definedName name="_57__123Graph_ECHART_15" localSheetId="4" hidden="1">#REF!</definedName>
    <definedName name="_57__123Graph_ECHART_15" localSheetId="0" hidden="1">#REF!</definedName>
    <definedName name="_57__123Graph_ECHART_15" localSheetId="2" hidden="1">#REF!</definedName>
    <definedName name="_57__123Graph_ECHART_15" hidden="1">#REF!</definedName>
    <definedName name="_58__123Graph_DCHART_30" hidden="1">#N/A</definedName>
    <definedName name="_58__123Graph_ECHART_16" localSheetId="4" hidden="1">#REF!</definedName>
    <definedName name="_58__123Graph_ECHART_16" localSheetId="0" hidden="1">#REF!</definedName>
    <definedName name="_58__123Graph_ECHART_16" localSheetId="2" hidden="1">#REF!</definedName>
    <definedName name="_58__123Graph_ECHART_16" hidden="1">#REF!</definedName>
    <definedName name="_59__123Graph_ECHART_17" localSheetId="4" hidden="1">#REF!</definedName>
    <definedName name="_59__123Graph_ECHART_17" localSheetId="0" hidden="1">#REF!</definedName>
    <definedName name="_59__123Graph_ECHART_17" localSheetId="2" hidden="1">#REF!</definedName>
    <definedName name="_59__123Graph_ECHART_17" hidden="1">#REF!</definedName>
    <definedName name="_6__123Graph_BCHART_24" hidden="1">#N/A</definedName>
    <definedName name="_60__123Graph_DCHART_31" hidden="1">#N/A</definedName>
    <definedName name="_60__123Graph_ECHART_19" localSheetId="4" hidden="1">#REF!</definedName>
    <definedName name="_60__123Graph_ECHART_19" localSheetId="0" hidden="1">#REF!</definedName>
    <definedName name="_60__123Graph_ECHART_19" localSheetId="2" hidden="1">#REF!</definedName>
    <definedName name="_60__123Graph_ECHART_19" hidden="1">#REF!</definedName>
    <definedName name="_61__123Graph_ECHART_22" localSheetId="4" hidden="1">#REF!</definedName>
    <definedName name="_61__123Graph_ECHART_22" localSheetId="0" hidden="1">#REF!</definedName>
    <definedName name="_61__123Graph_ECHART_22" localSheetId="2" hidden="1">#REF!</definedName>
    <definedName name="_61__123Graph_ECHART_22" hidden="1">#REF!</definedName>
    <definedName name="_62__123Graph_ECHART_24" localSheetId="4" hidden="1">#REF!</definedName>
    <definedName name="_62__123Graph_ECHART_24" localSheetId="0" hidden="1">#REF!</definedName>
    <definedName name="_62__123Graph_ECHART_24" localSheetId="2" hidden="1">#REF!</definedName>
    <definedName name="_62__123Graph_ECHART_24" hidden="1">#REF!</definedName>
    <definedName name="_63__123Graph_ECHART_26" localSheetId="4" hidden="1">#REF!</definedName>
    <definedName name="_63__123Graph_ECHART_26" localSheetId="0" hidden="1">#REF!</definedName>
    <definedName name="_63__123Graph_ECHART_26" localSheetId="2" hidden="1">#REF!</definedName>
    <definedName name="_63__123Graph_ECHART_26" hidden="1">#REF!</definedName>
    <definedName name="_64__123Graph_DCHART_34" hidden="1">#N/A</definedName>
    <definedName name="_64__123Graph_ECHART_28" localSheetId="4" hidden="1">#REF!</definedName>
    <definedName name="_64__123Graph_ECHART_28" localSheetId="0" hidden="1">#REF!</definedName>
    <definedName name="_64__123Graph_ECHART_28" localSheetId="2" hidden="1">#REF!</definedName>
    <definedName name="_64__123Graph_ECHART_28" hidden="1">#REF!</definedName>
    <definedName name="_65__123Graph_ECHART_30" localSheetId="4" hidden="1">#REF!</definedName>
    <definedName name="_65__123Graph_ECHART_30" localSheetId="0" hidden="1">#REF!</definedName>
    <definedName name="_65__123Graph_ECHART_30" localSheetId="2" hidden="1">#REF!</definedName>
    <definedName name="_65__123Graph_ECHART_30" hidden="1">#REF!</definedName>
    <definedName name="_66__123Graph_DCHART_37" hidden="1">#N/A</definedName>
    <definedName name="_66__123Graph_ECHART_31" localSheetId="4" hidden="1">#REF!</definedName>
    <definedName name="_66__123Graph_ECHART_31" localSheetId="0" hidden="1">#REF!</definedName>
    <definedName name="_66__123Graph_ECHART_31" localSheetId="2" hidden="1">#REF!</definedName>
    <definedName name="_66__123Graph_ECHART_31" hidden="1">#REF!</definedName>
    <definedName name="_67__123Graph_ECHART_32" localSheetId="4" hidden="1">#REF!</definedName>
    <definedName name="_67__123Graph_ECHART_32" localSheetId="0" hidden="1">#REF!</definedName>
    <definedName name="_67__123Graph_ECHART_32" localSheetId="2" hidden="1">#REF!</definedName>
    <definedName name="_67__123Graph_ECHART_32" hidden="1">#REF!</definedName>
    <definedName name="_68__123Graph_Aｸﾞﾗﾌ_1" localSheetId="4" hidden="1">#REF!</definedName>
    <definedName name="_68__123Graph_Aｸﾞﾗﾌ_1" localSheetId="0" hidden="1">#REF!</definedName>
    <definedName name="_68__123Graph_Aｸﾞﾗﾌ_1" localSheetId="2" hidden="1">#REF!</definedName>
    <definedName name="_68__123Graph_Aｸﾞﾗﾌ_1" hidden="1">#REF!</definedName>
    <definedName name="_68__123Graph_DCHART_39" hidden="1">#N/A</definedName>
    <definedName name="_68__123Graph_ECHART_34" localSheetId="4" hidden="1">#REF!</definedName>
    <definedName name="_68__123Graph_ECHART_34" localSheetId="0" hidden="1">#REF!</definedName>
    <definedName name="_68__123Graph_ECHART_34" localSheetId="2" hidden="1">#REF!</definedName>
    <definedName name="_68__123Graph_ECHART_34" hidden="1">#REF!</definedName>
    <definedName name="_69__123Graph_Aｸﾞﾗﾌ_2" localSheetId="4" hidden="1">#REF!</definedName>
    <definedName name="_69__123Graph_Aｸﾞﾗﾌ_2" localSheetId="0" hidden="1">#REF!</definedName>
    <definedName name="_69__123Graph_Aｸﾞﾗﾌ_2" localSheetId="2" hidden="1">#REF!</definedName>
    <definedName name="_69__123Graph_Aｸﾞﾗﾌ_2" hidden="1">#REF!</definedName>
    <definedName name="_69__123Graph_ECHART_37" localSheetId="4" hidden="1">#REF!</definedName>
    <definedName name="_69__123Graph_ECHART_37" localSheetId="0" hidden="1">#REF!</definedName>
    <definedName name="_69__123Graph_ECHART_37" localSheetId="2" hidden="1">#REF!</definedName>
    <definedName name="_69__123Graph_ECHART_37" hidden="1">#REF!</definedName>
    <definedName name="_70__123Graph_DCHART_41" hidden="1">#N/A</definedName>
    <definedName name="_70__123Graph_ECHART_39" localSheetId="4" hidden="1">#REF!</definedName>
    <definedName name="_70__123Graph_ECHART_39" localSheetId="0" hidden="1">#REF!</definedName>
    <definedName name="_70__123Graph_ECHART_39" localSheetId="2" hidden="1">#REF!</definedName>
    <definedName name="_70__123Graph_ECHART_39" hidden="1">#REF!</definedName>
    <definedName name="_71__123Graph_Bｸﾞﾗﾌ_1" localSheetId="4" hidden="1">#REF!</definedName>
    <definedName name="_71__123Graph_Bｸﾞﾗﾌ_1" localSheetId="0" hidden="1">#REF!</definedName>
    <definedName name="_71__123Graph_Bｸﾞﾗﾌ_1" localSheetId="2" hidden="1">#REF!</definedName>
    <definedName name="_71__123Graph_Bｸﾞﾗﾌ_1" hidden="1">#REF!</definedName>
    <definedName name="_71__123Graph_ECHART_41" localSheetId="4" hidden="1">#REF!</definedName>
    <definedName name="_71__123Graph_ECHART_41" localSheetId="0" hidden="1">#REF!</definedName>
    <definedName name="_71__123Graph_ECHART_41" localSheetId="2" hidden="1">#REF!</definedName>
    <definedName name="_71__123Graph_ECHART_41" hidden="1">#REF!</definedName>
    <definedName name="_72__123Graph_Bｸﾞﾗﾌ_2" localSheetId="4" hidden="1">#REF!</definedName>
    <definedName name="_72__123Graph_Bｸﾞﾗﾌ_2" localSheetId="0" hidden="1">#REF!</definedName>
    <definedName name="_72__123Graph_Bｸﾞﾗﾌ_2" localSheetId="2" hidden="1">#REF!</definedName>
    <definedName name="_72__123Graph_Bｸﾞﾗﾌ_2" hidden="1">#REF!</definedName>
    <definedName name="_73__123Graph_ECHART_5" localSheetId="4" hidden="1">#REF!</definedName>
    <definedName name="_73__123Graph_ECHART_5" localSheetId="0" hidden="1">#REF!</definedName>
    <definedName name="_73__123Graph_ECHART_5" localSheetId="2" hidden="1">#REF!</definedName>
    <definedName name="_73__123Graph_ECHART_5" hidden="1">#REF!</definedName>
    <definedName name="_74__123Graph_ECHART_16" hidden="1">#N/A</definedName>
    <definedName name="_74__123Graph_FCHART_15" localSheetId="4" hidden="1">#REF!</definedName>
    <definedName name="_74__123Graph_FCHART_15" localSheetId="0" hidden="1">#REF!</definedName>
    <definedName name="_74__123Graph_FCHART_15" localSheetId="2" hidden="1">#REF!</definedName>
    <definedName name="_74__123Graph_FCHART_15" hidden="1">#REF!</definedName>
    <definedName name="_75__123Graph_FCHART_16" localSheetId="4" hidden="1">#REF!</definedName>
    <definedName name="_75__123Graph_FCHART_16" localSheetId="0" hidden="1">#REF!</definedName>
    <definedName name="_75__123Graph_FCHART_16" localSheetId="2" hidden="1">#REF!</definedName>
    <definedName name="_75__123Graph_FCHART_16" hidden="1">#REF!</definedName>
    <definedName name="_76__123Graph_ECHART_17" hidden="1">#N/A</definedName>
    <definedName name="_76__123Graph_FCHART_17" localSheetId="4" hidden="1">#REF!</definedName>
    <definedName name="_76__123Graph_FCHART_17" localSheetId="0" hidden="1">#REF!</definedName>
    <definedName name="_76__123Graph_FCHART_17" localSheetId="2" hidden="1">#REF!</definedName>
    <definedName name="_76__123Graph_FCHART_17" hidden="1">#REF!</definedName>
    <definedName name="_77__123Graph_FCHART_19" localSheetId="4" hidden="1">#REF!</definedName>
    <definedName name="_77__123Graph_FCHART_19" localSheetId="0" hidden="1">#REF!</definedName>
    <definedName name="_77__123Graph_FCHART_19" localSheetId="2" hidden="1">#REF!</definedName>
    <definedName name="_77__123Graph_FCHART_19" hidden="1">#REF!</definedName>
    <definedName name="_78__123Graph_ECHART_19" hidden="1">#N/A</definedName>
    <definedName name="_78__123Graph_FCHART_22" localSheetId="4" hidden="1">#REF!</definedName>
    <definedName name="_78__123Graph_FCHART_22" localSheetId="0" hidden="1">#REF!</definedName>
    <definedName name="_78__123Graph_FCHART_22" localSheetId="2" hidden="1">#REF!</definedName>
    <definedName name="_78__123Graph_FCHART_22" hidden="1">#REF!</definedName>
    <definedName name="_79__123Graph_FCHART_24" localSheetId="4" hidden="1">#REF!</definedName>
    <definedName name="_79__123Graph_FCHART_24" localSheetId="0" hidden="1">#REF!</definedName>
    <definedName name="_79__123Graph_FCHART_24" localSheetId="2" hidden="1">#REF!</definedName>
    <definedName name="_79__123Graph_FCHART_24" hidden="1">#REF!</definedName>
    <definedName name="_80__123Graph_ECHART_22" hidden="1">#N/A</definedName>
    <definedName name="_80__123Graph_FCHART_26" localSheetId="4" hidden="1">#REF!</definedName>
    <definedName name="_80__123Graph_FCHART_26" localSheetId="0" hidden="1">#REF!</definedName>
    <definedName name="_80__123Graph_FCHART_26" localSheetId="2" hidden="1">#REF!</definedName>
    <definedName name="_80__123Graph_FCHART_26" hidden="1">#REF!</definedName>
    <definedName name="_81__123Graph_FCHART_28" localSheetId="4" hidden="1">#REF!</definedName>
    <definedName name="_81__123Graph_FCHART_28" localSheetId="0" hidden="1">#REF!</definedName>
    <definedName name="_81__123Graph_FCHART_28" localSheetId="2" hidden="1">#REF!</definedName>
    <definedName name="_81__123Graph_FCHART_28" hidden="1">#REF!</definedName>
    <definedName name="_82__123Graph_ECHART_24" hidden="1">#N/A</definedName>
    <definedName name="_82__123Graph_FCHART_30" localSheetId="4" hidden="1">#REF!</definedName>
    <definedName name="_82__123Graph_FCHART_30" localSheetId="0" hidden="1">#REF!</definedName>
    <definedName name="_82__123Graph_FCHART_30" localSheetId="2" hidden="1">#REF!</definedName>
    <definedName name="_82__123Graph_FCHART_30" hidden="1">#REF!</definedName>
    <definedName name="_83__123Graph_FCHART_31" localSheetId="4" hidden="1">#REF!</definedName>
    <definedName name="_83__123Graph_FCHART_31" localSheetId="0" hidden="1">#REF!</definedName>
    <definedName name="_83__123Graph_FCHART_31" localSheetId="2" hidden="1">#REF!</definedName>
    <definedName name="_83__123Graph_FCHART_31" hidden="1">#REF!</definedName>
    <definedName name="_84__123Graph_FCHART_32" localSheetId="4" hidden="1">#REF!</definedName>
    <definedName name="_84__123Graph_FCHART_32" localSheetId="0" hidden="1">#REF!</definedName>
    <definedName name="_84__123Graph_FCHART_32" localSheetId="2" hidden="1">#REF!</definedName>
    <definedName name="_84__123Graph_FCHART_32" hidden="1">#REF!</definedName>
    <definedName name="_85__123Graph_FCHART_34" localSheetId="4" hidden="1">#REF!</definedName>
    <definedName name="_85__123Graph_FCHART_34" localSheetId="0" hidden="1">#REF!</definedName>
    <definedName name="_85__123Graph_FCHART_34" localSheetId="2" hidden="1">#REF!</definedName>
    <definedName name="_85__123Graph_FCHART_34" hidden="1">#REF!</definedName>
    <definedName name="_86__123Graph_FCHART_37" localSheetId="4" hidden="1">#REF!</definedName>
    <definedName name="_86__123Graph_FCHART_37" localSheetId="0" hidden="1">#REF!</definedName>
    <definedName name="_86__123Graph_FCHART_37" localSheetId="2" hidden="1">#REF!</definedName>
    <definedName name="_86__123Graph_FCHART_37" hidden="1">#REF!</definedName>
    <definedName name="_87__123Graph_FCHART_39" localSheetId="4" hidden="1">#REF!</definedName>
    <definedName name="_87__123Graph_FCHART_39" localSheetId="0" hidden="1">#REF!</definedName>
    <definedName name="_87__123Graph_FCHART_39" localSheetId="2" hidden="1">#REF!</definedName>
    <definedName name="_87__123Graph_FCHART_39" hidden="1">#REF!</definedName>
    <definedName name="_88__123Graph_ECHART_30" hidden="1">#N/A</definedName>
    <definedName name="_88__123Graph_FCHART_41" localSheetId="4" hidden="1">#REF!</definedName>
    <definedName name="_88__123Graph_FCHART_41" localSheetId="0" hidden="1">#REF!</definedName>
    <definedName name="_88__123Graph_FCHART_41" localSheetId="2" hidden="1">#REF!</definedName>
    <definedName name="_88__123Graph_FCHART_41" hidden="1">#REF!</definedName>
    <definedName name="_90__123Graph_ECHART_31" hidden="1">#N/A</definedName>
    <definedName name="_90__123Graph_FCHART_5" localSheetId="4" hidden="1">#REF!</definedName>
    <definedName name="_90__123Graph_FCHART_5" localSheetId="0" hidden="1">#REF!</definedName>
    <definedName name="_90__123Graph_FCHART_5" localSheetId="2" hidden="1">#REF!</definedName>
    <definedName name="_90__123Graph_FCHART_5" hidden="1">#REF!</definedName>
    <definedName name="_91__123Graph_Aｸﾞﾗﾌ_1" localSheetId="4" hidden="1">#REF!</definedName>
    <definedName name="_91__123Graph_Aｸﾞﾗﾌ_1" localSheetId="0" hidden="1">#REF!</definedName>
    <definedName name="_91__123Graph_Aｸﾞﾗﾌ_1" localSheetId="2" hidden="1">#REF!</definedName>
    <definedName name="_91__123Graph_Aｸﾞﾗﾌ_1" hidden="1">#REF!</definedName>
    <definedName name="_92__123Graph_ECHART_32" hidden="1">#N/A</definedName>
    <definedName name="_94__123Graph_ECHART_34" hidden="1">#N/A</definedName>
    <definedName name="_96__123Graph_ECHART_37" hidden="1">#N/A</definedName>
    <definedName name="_97__123Graph_LBL_CCHART_15" localSheetId="4" hidden="1">#REF!</definedName>
    <definedName name="_97__123Graph_LBL_CCHART_15" localSheetId="0" hidden="1">#REF!</definedName>
    <definedName name="_97__123Graph_LBL_CCHART_15" localSheetId="2" hidden="1">#REF!</definedName>
    <definedName name="_97__123Graph_LBL_CCHART_15" hidden="1">#REF!</definedName>
    <definedName name="_98__123Graph_ECHART_39" hidden="1">#N/A</definedName>
    <definedName name="_98__123Graph_LBL_CCHART_16" localSheetId="4" hidden="1">#REF!</definedName>
    <definedName name="_98__123Graph_LBL_CCHART_16" localSheetId="0" hidden="1">#REF!</definedName>
    <definedName name="_98__123Graph_LBL_CCHART_16" localSheetId="2" hidden="1">#REF!</definedName>
    <definedName name="_98__123Graph_LBL_CCHART_16" hidden="1">#REF!</definedName>
    <definedName name="_99__123Graph_LBL_CCHART_17" localSheetId="4" hidden="1">#REF!</definedName>
    <definedName name="_99__123Graph_LBL_CCHART_17" localSheetId="0" hidden="1">#REF!</definedName>
    <definedName name="_99__123Graph_LBL_CCHART_17" localSheetId="2" hidden="1">#REF!</definedName>
    <definedName name="_99__123Graph_LBL_CCHART_17" hidden="1">#REF!</definedName>
    <definedName name="_A2" localSheetId="6" hidden="1">{#N/A,#N/A,FALSE,"단축1";#N/A,#N/A,FALSE,"단축2";#N/A,#N/A,FALSE,"단축3";#N/A,#N/A,FALSE,"장축";#N/A,#N/A,FALSE,"4WD"}</definedName>
    <definedName name="_A2" hidden="1">{#N/A,#N/A,FALSE,"단축1";#N/A,#N/A,FALSE,"단축2";#N/A,#N/A,FALSE,"단축3";#N/A,#N/A,FALSE,"장축";#N/A,#N/A,FALSE,"4WD"}</definedName>
    <definedName name="_A3" localSheetId="6" hidden="1">{#N/A,#N/A,FALSE,"단축1";#N/A,#N/A,FALSE,"단축2";#N/A,#N/A,FALSE,"단축3";#N/A,#N/A,FALSE,"장축";#N/A,#N/A,FALSE,"4WD"}</definedName>
    <definedName name="_A3" hidden="1">{#N/A,#N/A,FALSE,"단축1";#N/A,#N/A,FALSE,"단축2";#N/A,#N/A,FALSE,"단축3";#N/A,#N/A,FALSE,"장축";#N/A,#N/A,FALSE,"4WD"}</definedName>
    <definedName name="_f" localSheetId="6" hidden="1">{"one (KEY)",#N/A,FALSE,"P&amp;L"}</definedName>
    <definedName name="_f" hidden="1">{"one (KEY)",#N/A,FALSE,"P&amp;L"}</definedName>
    <definedName name="_Fill" localSheetId="4" hidden="1">#REF!</definedName>
    <definedName name="_Fill" localSheetId="0" hidden="1">#REF!</definedName>
    <definedName name="_Fill" localSheetId="2" hidden="1">#REF!</definedName>
    <definedName name="_Fill" hidden="1">#REF!</definedName>
    <definedName name="_xlnm._FilterDatabase" localSheetId="6" hidden="1">#REF!</definedName>
    <definedName name="_xlnm._FilterDatabase" localSheetId="5" hidden="1">'Equipment list_11_09_2019'!$B$6:$BU$78</definedName>
    <definedName name="_xlnm._FilterDatabase" localSheetId="4" hidden="1">#REF!</definedName>
    <definedName name="_xlnm._FilterDatabase" localSheetId="0" hidden="1">Model_Flow_Rates_for_capacity!$A$1:$C$68</definedName>
    <definedName name="_xlnm._FilterDatabase" localSheetId="3" hidden="1">'Pack MFD'!$AB$41:$AW$107</definedName>
    <definedName name="_xlnm._FilterDatabase" localSheetId="2" hidden="1">#REF!</definedName>
    <definedName name="_xlnm._FilterDatabase" hidden="1">#REF!</definedName>
    <definedName name="_Key1" localSheetId="4" hidden="1">#REF!</definedName>
    <definedName name="_Key1" localSheetId="0" hidden="1">#REF!</definedName>
    <definedName name="_Key1" localSheetId="2" hidden="1">#REF!</definedName>
    <definedName name="_Key1" hidden="1">#REF!</definedName>
    <definedName name="_Key2" localSheetId="4" hidden="1">#REF!</definedName>
    <definedName name="_Key2" localSheetId="0" hidden="1">#REF!</definedName>
    <definedName name="_Key2" localSheetId="2" hidden="1">#REF!</definedName>
    <definedName name="_Key2" hidden="1">#REF!</definedName>
    <definedName name="_LPS2" localSheetId="6" hidden="1">{#N/A,#N/A,FALSE,"단축1";#N/A,#N/A,FALSE,"단축2";#N/A,#N/A,FALSE,"단축3";#N/A,#N/A,FALSE,"장축";#N/A,#N/A,FALSE,"4WD"}</definedName>
    <definedName name="_LPS2" hidden="1">{#N/A,#N/A,FALSE,"단축1";#N/A,#N/A,FALSE,"단축2";#N/A,#N/A,FALSE,"단축3";#N/A,#N/A,FALSE,"장축";#N/A,#N/A,FALSE,"4WD"}</definedName>
    <definedName name="_Order1" hidden="1">255</definedName>
    <definedName name="_Order2" hidden="1">255</definedName>
    <definedName name="_P6" localSheetId="6" hidden="1">{"SUM ALL YR",#N/A,FALSE,"SUM ALL YR";"sum01",#N/A,FALSE,"SUM 01";"sumM2",#N/A,FALSE,"SUM M2";"sum02",#N/A,FALSE,"SUM 02";"sum03",#N/A,FALSE,"SUM 03";"sum04",#N/A,FALSE,"SUM 04";"sum05",#N/A,FALSE,"SUM 05"}</definedName>
    <definedName name="_P6" hidden="1">{"SUM ALL YR",#N/A,FALSE,"SUM ALL YR";"sum01",#N/A,FALSE,"SUM 01";"sumM2",#N/A,FALSE,"SUM M2";"sum02",#N/A,FALSE,"SUM 02";"sum03",#N/A,FALSE,"SUM 03";"sum04",#N/A,FALSE,"SUM 04";"sum05",#N/A,FALSE,"SUM 05"}</definedName>
    <definedName name="_Parse_Out" localSheetId="4" hidden="1">#REF!</definedName>
    <definedName name="_Parse_Out" localSheetId="0" hidden="1">#REF!</definedName>
    <definedName name="_Parse_Out" localSheetId="2" hidden="1">#REF!</definedName>
    <definedName name="_Parse_Out" hidden="1">#REF!</definedName>
    <definedName name="_Regression_Int" hidden="1">1</definedName>
    <definedName name="_Regression_Out" localSheetId="4" hidden="1">#REF!</definedName>
    <definedName name="_Regression_Out" localSheetId="0" hidden="1">#REF!</definedName>
    <definedName name="_Regression_Out" localSheetId="2" hidden="1">#REF!</definedName>
    <definedName name="_Regression_Out" hidden="1">#REF!</definedName>
    <definedName name="_Regression_X" localSheetId="4" hidden="1">#REF!</definedName>
    <definedName name="_Regression_X" localSheetId="0" hidden="1">#REF!</definedName>
    <definedName name="_Regression_X" localSheetId="2" hidden="1">#REF!</definedName>
    <definedName name="_Regression_X" hidden="1">#REF!</definedName>
    <definedName name="_Regression_Y" localSheetId="4" hidden="1">#REF!</definedName>
    <definedName name="_Regression_Y" localSheetId="0" hidden="1">#REF!</definedName>
    <definedName name="_Regression_Y" localSheetId="2" hidden="1">#REF!</definedName>
    <definedName name="_Regression_Y" hidden="1">#REF!</definedName>
    <definedName name="_Sort" localSheetId="4" hidden="1">#REF!</definedName>
    <definedName name="_Sort" localSheetId="0" hidden="1">#REF!</definedName>
    <definedName name="_Sort" localSheetId="2" hidden="1">#REF!</definedName>
    <definedName name="_Sort" hidden="1">#REF!</definedName>
    <definedName name="_T2" localSheetId="6" hidden="1">{#N/A,#N/A,FALSE,"단축1";#N/A,#N/A,FALSE,"단축2";#N/A,#N/A,FALSE,"단축3";#N/A,#N/A,FALSE,"장축";#N/A,#N/A,FALSE,"4WD"}</definedName>
    <definedName name="_T2" hidden="1">{#N/A,#N/A,FALSE,"단축1";#N/A,#N/A,FALSE,"단축2";#N/A,#N/A,FALSE,"단축3";#N/A,#N/A,FALSE,"장축";#N/A,#N/A,FALSE,"4WD"}</definedName>
    <definedName name="_Table1_In1" localSheetId="4" hidden="1">#REF!</definedName>
    <definedName name="_Table1_In1" localSheetId="0" hidden="1">#REF!</definedName>
    <definedName name="_Table1_In1" localSheetId="2" hidden="1">#REF!</definedName>
    <definedName name="_Table1_In1" hidden="1">#REF!</definedName>
    <definedName name="_Table1_Out" localSheetId="4" hidden="1">#REF!</definedName>
    <definedName name="_Table1_Out" localSheetId="0" hidden="1">#REF!</definedName>
    <definedName name="_Table1_Out" localSheetId="2" hidden="1">#REF!</definedName>
    <definedName name="_Table1_Out" hidden="1">#REF!</definedName>
    <definedName name="_vvv1" localSheetId="6" hidden="1">{"bbtday",#N/A,FALSE,"ban0930";"banksday",#N/A,FALSE,"ban0930";"compday",#N/A,FALSE,"ban0930"}</definedName>
    <definedName name="_vvv1" hidden="1">{"bbtday",#N/A,FALSE,"ban0930";"banksday",#N/A,FALSE,"ban0930";"compday",#N/A,FALSE,"ban0930"}</definedName>
    <definedName name="_wer" localSheetId="4" hidden="1">#REF!</definedName>
    <definedName name="_wer" localSheetId="0" hidden="1">#REF!</definedName>
    <definedName name="_wer" localSheetId="2" hidden="1">#REF!</definedName>
    <definedName name="_wer" hidden="1">#REF!</definedName>
    <definedName name="_x1" localSheetId="6" hidden="1">{"compweek",#N/A,FALSE,"ban0930";"bankweek",#N/A,FALSE,"ban0930"}</definedName>
    <definedName name="_x1" hidden="1">{"compweek",#N/A,FALSE,"ban0930";"bankweek",#N/A,FALSE,"ban0930"}</definedName>
    <definedName name="_XG2" localSheetId="6" hidden="1">{#N/A,#N/A,FALSE,"단축1";#N/A,#N/A,FALSE,"단축2";#N/A,#N/A,FALSE,"단축3";#N/A,#N/A,FALSE,"장축";#N/A,#N/A,FALSE,"4WD"}</definedName>
    <definedName name="_XG2" hidden="1">{#N/A,#N/A,FALSE,"단축1";#N/A,#N/A,FALSE,"단축2";#N/A,#N/A,FALSE,"단축3";#N/A,#N/A,FALSE,"장축";#N/A,#N/A,FALSE,"4WD"}</definedName>
    <definedName name="_y1" localSheetId="6" hidden="1">{"bbtday",#N/A,FALSE,"ban0930";"banksday",#N/A,FALSE,"ban0930";"compday",#N/A,FALSE,"ban0930"}</definedName>
    <definedName name="_y1" hidden="1">{"bbtday",#N/A,FALSE,"ban0930";"banksday",#N/A,FALSE,"ban0930";"compday",#N/A,FALSE,"ban0930"}</definedName>
    <definedName name="A1_00근거" localSheetId="6" hidden="1">{#N/A,#N/A,FALSE,"단축1";#N/A,#N/A,FALSE,"단축2";#N/A,#N/A,FALSE,"단축3";#N/A,#N/A,FALSE,"장축";#N/A,#N/A,FALSE,"4WD"}</definedName>
    <definedName name="A1_00근거" hidden="1">{#N/A,#N/A,FALSE,"단축1";#N/A,#N/A,FALSE,"단축2";#N/A,#N/A,FALSE,"단축3";#N/A,#N/A,FALSE,"장축";#N/A,#N/A,FALSE,"4WD"}</definedName>
    <definedName name="aaa" localSheetId="6" hidden="1">{"EXPORT",#N/A,FALSE,"A8CONTENT"}</definedName>
    <definedName name="aaa" hidden="1">{"EXPORT",#N/A,FALSE,"A8CONTENT"}</definedName>
    <definedName name="aaaa" localSheetId="4" hidden="1">#REF!</definedName>
    <definedName name="aaaa" localSheetId="0" hidden="1">#REF!</definedName>
    <definedName name="aaaa" localSheetId="2" hidden="1">#REF!</definedName>
    <definedName name="aaaa" hidden="1">#REF!</definedName>
    <definedName name="aaaaaaa" localSheetId="6" hidden="1">{"B10-2000",#N/A,FALSE,"BL2000"}</definedName>
    <definedName name="aaaaaaa" hidden="1">{"B10-2000",#N/A,FALSE,"BL2000"}</definedName>
    <definedName name="aaaaaaaaaa" localSheetId="6" hidden="1">{"RES-2002",#N/A,FALSE,"BL2000";"A1-2002",#N/A,FALSE,"BL2000";"A2-2002",#N/A,FALSE,"BL2000"}</definedName>
    <definedName name="aaaaaaaaaa" hidden="1">{"RES-2002",#N/A,FALSE,"BL2000";"A1-2002",#N/A,FALSE,"BL2000";"A2-2002",#N/A,FALSE,"BL2000"}</definedName>
    <definedName name="aaaaaaaaaaaa" localSheetId="6" hidden="1">{"Ana1",#N/A,FALSE,"AnalisisA";"Ana2",#N/A,FALSE,"AnalisisA";"Ana3",#N/A,FALSE,"AnalisisA"}</definedName>
    <definedName name="aaaaaaaaaaaa" hidden="1">{"Ana1",#N/A,FALSE,"AnalisisA";"Ana2",#N/A,FALSE,"AnalisisA";"Ana3",#N/A,FALSE,"AnalisisA"}</definedName>
    <definedName name="aaaaaaaaaaaaa" localSheetId="6" hidden="1">{"COMNUS2000",#N/A,FALSE,"BL2000"}</definedName>
    <definedName name="aaaaaaaaaaaaa" hidden="1">{"COMNUS2000",#N/A,FALSE,"BL2000"}</definedName>
    <definedName name="aaaaaaaaaaaaaaa" localSheetId="6" hidden="1">{"CTO ACUMULADO",#N/A,FALSE,"BASE ANEXOS";"VAR ACUMULADAS",#N/A,FALSE,"BASE ANEXOS"}</definedName>
    <definedName name="aaaaaaaaaaaaaaa" hidden="1">{"CTO ACUMULADO",#N/A,FALSE,"BASE ANEXOS";"VAR ACUMULADAS",#N/A,FALSE,"BASE ANEXOS"}</definedName>
    <definedName name="aaaaaaaaaaaaaaaaa" localSheetId="6" hidden="1">{"AnaM1",#N/A,FALSE,"AnalisisM";"AnaM2",#N/A,FALSE,"AnalisisM";"AnaM3",#N/A,FALSE,"AnalisisM"}</definedName>
    <definedName name="aaaaaaaaaaaaaaaaa" hidden="1">{"AnaM1",#N/A,FALSE,"AnalisisM";"AnaM2",#N/A,FALSE,"AnalisisM";"AnaM3",#N/A,FALSE,"AnalisisM"}</definedName>
    <definedName name="aaaaaaaaaaaaaaaaaaaaaaaa" localSheetId="6" hidden="1">{"COMJPN2000",#N/A,FALSE,"BL2000"}</definedName>
    <definedName name="aaaaaaaaaaaaaaaaaaaaaaaa" hidden="1">{"COMJPN2000",#N/A,FALSE,"BL2000"}</definedName>
    <definedName name="ab" localSheetId="6" hidden="1">{"HS_USA",#N/A,FALSE,"Base"}</definedName>
    <definedName name="ab" hidden="1">{"HS_USA",#N/A,FALSE,"Base"}</definedName>
    <definedName name="ABC" localSheetId="6" hidden="1">{"INCPRE2000",#N/A,FALSE,"BL2000"}</definedName>
    <definedName name="ABC" hidden="1">{"INCPRE2000",#N/A,FALSE,"BL2000"}</definedName>
    <definedName name="ABCD" localSheetId="6" hidden="1">{"PT2000",#N/A,FALSE,"BL2000"}</definedName>
    <definedName name="ABCD" hidden="1">{"PT2000",#N/A,FALSE,"BL2000"}</definedName>
    <definedName name="ABDD" localSheetId="6" hidden="1">{#N/A,#N/A,FALSE,"단축1";#N/A,#N/A,FALSE,"단축2";#N/A,#N/A,FALSE,"단축3";#N/A,#N/A,FALSE,"장축";#N/A,#N/A,FALSE,"4WD"}</definedName>
    <definedName name="ABDD" hidden="1">{#N/A,#N/A,FALSE,"단축1";#N/A,#N/A,FALSE,"단축2";#N/A,#N/A,FALSE,"단축3";#N/A,#N/A,FALSE,"장축";#N/A,#N/A,FALSE,"4WD"}</definedName>
    <definedName name="Access_Button" hidden="1">"업체현황_카드발송_List"</definedName>
    <definedName name="Access_Button1" hidden="1">"업체현황_카드발송_List"</definedName>
    <definedName name="Access_Button2" hidden="1">"업체현황_카드발송_List"</definedName>
    <definedName name="Access_Button3" hidden="1">"카드발송_카드발송_List1"</definedName>
    <definedName name="Access_Button4" hidden="1">"업체현황_카드발송_List"</definedName>
    <definedName name="AccessDatabase" hidden="1">"c:\wiz32\xl\acclink.mdb"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D" localSheetId="6" hidden="1">{#N/A,#N/A,FALSE,"을지 (4)";#N/A,#N/A,FALSE,"을지 (5)";#N/A,#N/A,FALSE,"을지 (6)"}</definedName>
    <definedName name="AD" hidden="1">{#N/A,#N/A,FALSE,"을지 (4)";#N/A,#N/A,FALSE,"을지 (5)";#N/A,#N/A,FALSE,"을지 (6)"}</definedName>
    <definedName name="ADSDF" localSheetId="6" hidden="1">{#N/A,#N/A,TRUE,"Y생산";#N/A,#N/A,TRUE,"Y판매";#N/A,#N/A,TRUE,"Y총물량";#N/A,#N/A,TRUE,"Y능력";#N/A,#N/A,TRUE,"YKD"}</definedName>
    <definedName name="ADSDF" hidden="1">{#N/A,#N/A,TRUE,"Y생산";#N/A,#N/A,TRUE,"Y판매";#N/A,#N/A,TRUE,"Y총물량";#N/A,#N/A,TRUE,"Y능력";#N/A,#N/A,TRUE,"YKD"}</definedName>
    <definedName name="anscount" hidden="1">4</definedName>
    <definedName name="AS" localSheetId="6" hidden="1">{#N/A,#N/A,FALSE,"을지 (4)";#N/A,#N/A,FALSE,"을지 (5)";#N/A,#N/A,FALSE,"을지 (6)"}</definedName>
    <definedName name="AS" hidden="1">{#N/A,#N/A,FALSE,"을지 (4)";#N/A,#N/A,FALSE,"을지 (5)";#N/A,#N/A,FALSE,"을지 (6)"}</definedName>
    <definedName name="ASFD" localSheetId="6" hidden="1">{#N/A,#N/A,FALSE,"인원";#N/A,#N/A,FALSE,"비용2";#N/A,#N/A,FALSE,"비용1";#N/A,#N/A,FALSE,"비용";#N/A,#N/A,FALSE,"보증2";#N/A,#N/A,FALSE,"보증1";#N/A,#N/A,FALSE,"보증";#N/A,#N/A,FALSE,"손익1";#N/A,#N/A,FALSE,"손익";#N/A,#N/A,FALSE,"부서별매출";#N/A,#N/A,FALSE,"매출"}</definedName>
    <definedName name="ASFD" hidden="1">{#N/A,#N/A,FALSE,"인원";#N/A,#N/A,FALSE,"비용2";#N/A,#N/A,FALSE,"비용1";#N/A,#N/A,FALSE,"비용";#N/A,#N/A,FALSE,"보증2";#N/A,#N/A,FALSE,"보증1";#N/A,#N/A,FALSE,"보증";#N/A,#N/A,FALSE,"손익1";#N/A,#N/A,FALSE,"손익";#N/A,#N/A,FALSE,"부서별매출";#N/A,#N/A,FALSE,"매출"}</definedName>
    <definedName name="ASR" localSheetId="6" hidden="1">{"SUM GER",#N/A,FALSE,"SUM GER";"SUM FRA",#N/A,FALSE,"SUM FRA";"SUM ITA",#N/A,FALSE,"SUM ITA";"SUM SPA",#N/A,FALSE,"SUM SPA";"SUM EGB",#N/A,FALSE,"SUM EGB";"SUM IND",#N/A,FALSE,"SUM IND"}</definedName>
    <definedName name="ASR" hidden="1">{"SUM GER",#N/A,FALSE,"SUM GER";"SUM FRA",#N/A,FALSE,"SUM FRA";"SUM ITA",#N/A,FALSE,"SUM ITA";"SUM SPA",#N/A,FALSE,"SUM SPA";"SUM EGB",#N/A,FALSE,"SUM EGB";"SUM IND",#N/A,FALSE,"SUM IND"}</definedName>
    <definedName name="Attachment" localSheetId="6" hidden="1">{"RES-2002",#N/A,FALSE,"BL2000";"A1-2002",#N/A,FALSE,"BL2000";"A2-2002",#N/A,FALSE,"BL2000"}</definedName>
    <definedName name="Attachment" hidden="1">{"RES-2002",#N/A,FALSE,"BL2000";"A1-2002",#N/A,FALSE,"BL2000";"A2-2002",#N/A,FALSE,"BL2000"}</definedName>
    <definedName name="bb" localSheetId="6" hidden="1">{"RES-2001",#N/A,FALSE,"BL2000";"A1-2001",#N/A,FALSE,"BL2000";"A2-2001",#N/A,FALSE,"BL2000"}</definedName>
    <definedName name="bb" hidden="1">{"RES-2001",#N/A,FALSE,"BL2000";"A1-2001",#N/A,FALSE,"BL2000";"A2-2001",#N/A,FALSE,"BL2000"}</definedName>
    <definedName name="bbbbbbbbbbbbbb" localSheetId="6" hidden="1">{"RES-2000",#N/A,FALSE,"BL2000";"A1-2000",#N/A,FALSE,"BL2000";"A2-2000",#N/A,FALSE,"BL2000"}</definedName>
    <definedName name="bbbbbbbbbbbbbb" hidden="1">{"RES-2000",#N/A,FALSE,"BL2000";"A1-2000",#N/A,FALSE,"BL2000";"A2-2000",#N/A,FALSE,"BL2000"}</definedName>
    <definedName name="Beta_OEM">#REF!</definedName>
    <definedName name="Beta_OEM_Group">#REF!</definedName>
    <definedName name="Beta_OEM_Lead">#REF!</definedName>
    <definedName name="Beta_Team_Member">#REF!</definedName>
    <definedName name="calender" localSheetId="4" hidden="1">#REF!</definedName>
    <definedName name="calender" localSheetId="0" hidden="1">#REF!</definedName>
    <definedName name="calender" localSheetId="2" hidden="1">#REF!</definedName>
    <definedName name="calender" hidden="1">#REF!</definedName>
    <definedName name="Cap" localSheetId="6" hidden="1">{"one (KEY)",#N/A,FALSE,"P&amp;L"}</definedName>
    <definedName name="Cap" hidden="1">{"one (KEY)",#N/A,FALSE,"P&amp;L"}</definedName>
    <definedName name="CAPA" localSheetId="6" hidden="1">{#N/A,#N/A,FALSE,"인원";#N/A,#N/A,FALSE,"비용2";#N/A,#N/A,FALSE,"비용1";#N/A,#N/A,FALSE,"비용";#N/A,#N/A,FALSE,"보증2";#N/A,#N/A,FALSE,"보증1";#N/A,#N/A,FALSE,"보증";#N/A,#N/A,FALSE,"손익1";#N/A,#N/A,FALSE,"손익";#N/A,#N/A,FALSE,"부서별매출";#N/A,#N/A,FALSE,"매출"}</definedName>
    <definedName name="CAPA" hidden="1">{#N/A,#N/A,FALSE,"인원";#N/A,#N/A,FALSE,"비용2";#N/A,#N/A,FALSE,"비용1";#N/A,#N/A,FALSE,"비용";#N/A,#N/A,FALSE,"보증2";#N/A,#N/A,FALSE,"보증1";#N/A,#N/A,FALSE,"보증";#N/A,#N/A,FALSE,"손익1";#N/A,#N/A,FALSE,"손익";#N/A,#N/A,FALSE,"부서별매출";#N/A,#N/A,FALSE,"매출"}</definedName>
    <definedName name="CAPEX2" localSheetId="6" hidden="1">{"one (KEY)",#N/A,FALSE,"P&amp;L"}</definedName>
    <definedName name="CAPEX2" hidden="1">{"one (KEY)",#N/A,FALSE,"P&amp;L"}</definedName>
    <definedName name="capex3" localSheetId="6" hidden="1">{"one (KEY)",#N/A,FALSE,"P&amp;L"}</definedName>
    <definedName name="capex3" hidden="1">{"one (KEY)",#N/A,FALSE,"P&amp;L"}</definedName>
    <definedName name="cccddd" localSheetId="6" hidden="1">{#N/A,#N/A,FALSE,"단축1";#N/A,#N/A,FALSE,"단축2";#N/A,#N/A,FALSE,"단축3";#N/A,#N/A,FALSE,"장축";#N/A,#N/A,FALSE,"4WD"}</definedName>
    <definedName name="cccddd" hidden="1">{#N/A,#N/A,FALSE,"단축1";#N/A,#N/A,FALSE,"단축2";#N/A,#N/A,FALSE,"단축3";#N/A,#N/A,FALSE,"장축";#N/A,#N/A,FALSE,"4WD"}</definedName>
    <definedName name="Cell_Name">'Equipment list_11_09_2019'!$F$6</definedName>
    <definedName name="Cell_Number">'Equipment list_11_09_2019'!$E$6</definedName>
    <definedName name="ci" localSheetId="6" hidden="1">{#N/A,#N/A,FALSE,"단축1";#N/A,#N/A,FALSE,"단축2";#N/A,#N/A,FALSE,"단축3";#N/A,#N/A,FALSE,"장축";#N/A,#N/A,FALSE,"4WD"}</definedName>
    <definedName name="ci" hidden="1">{#N/A,#N/A,FALSE,"단축1";#N/A,#N/A,FALSE,"단축2";#N/A,#N/A,FALSE,"단축3";#N/A,#N/A,FALSE,"장축";#N/A,#N/A,FALSE,"4WD"}</definedName>
    <definedName name="CIQWBGuid" hidden="1">"CAR_Form_2013_Revised DRAFT_v2.xlsx"</definedName>
    <definedName name="Columns_Beta_Plan">'Equipment list_11_09_2019'!$W:$BU</definedName>
    <definedName name="Columns_Costing">'Equipment list_11_09_2019'!$N:$V</definedName>
    <definedName name="Columns_Flags_OEM">'Equipment list_11_09_2019'!$G:$M</definedName>
    <definedName name="CONFI"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FI"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consolidation" localSheetId="6" hidden="1">{#N/A,#N/A,FALSE,"단축1";#N/A,#N/A,FALSE,"단축2";#N/A,#N/A,FALSE,"단축3";#N/A,#N/A,FALSE,"장축";#N/A,#N/A,FALSE,"4WD"}</definedName>
    <definedName name="consolidation" hidden="1">{#N/A,#N/A,FALSE,"단축1";#N/A,#N/A,FALSE,"단축2";#N/A,#N/A,FALSE,"단축3";#N/A,#N/A,FALSE,"장축";#N/A,#N/A,FALSE,"4WD"}</definedName>
    <definedName name="cover2" localSheetId="4" hidden="1">#REF!</definedName>
    <definedName name="cover2" localSheetId="0" hidden="1">#REF!</definedName>
    <definedName name="cover2" localSheetId="2" hidden="1">#REF!</definedName>
    <definedName name="cover2" hidden="1">#REF!</definedName>
    <definedName name="CROSSMBR" localSheetId="6" hidden="1">{#N/A,#N/A,FALSE,"단축1";#N/A,#N/A,FALSE,"단축2";#N/A,#N/A,FALSE,"단축3";#N/A,#N/A,FALSE,"장축";#N/A,#N/A,FALSE,"4WD"}</definedName>
    <definedName name="CROSSMBR" hidden="1">{#N/A,#N/A,FALSE,"단축1";#N/A,#N/A,FALSE,"단축2";#N/A,#N/A,FALSE,"단축3";#N/A,#N/A,FALSE,"장축";#N/A,#N/A,FALSE,"4WD"}</definedName>
    <definedName name="CXVZ" localSheetId="6" hidden="1">{#N/A,#N/A,FALSE,"인원";#N/A,#N/A,FALSE,"비용2";#N/A,#N/A,FALSE,"비용1";#N/A,#N/A,FALSE,"비용";#N/A,#N/A,FALSE,"보증2";#N/A,#N/A,FALSE,"보증1";#N/A,#N/A,FALSE,"보증";#N/A,#N/A,FALSE,"손익1";#N/A,#N/A,FALSE,"손익";#N/A,#N/A,FALSE,"부서별매출";#N/A,#N/A,FALSE,"매출"}</definedName>
    <definedName name="CXVZ" hidden="1">{#N/A,#N/A,FALSE,"인원";#N/A,#N/A,FALSE,"비용2";#N/A,#N/A,FALSE,"비용1";#N/A,#N/A,FALSE,"비용";#N/A,#N/A,FALSE,"보증2";#N/A,#N/A,FALSE,"보증1";#N/A,#N/A,FALSE,"보증";#N/A,#N/A,FALSE,"손익1";#N/A,#N/A,FALSE,"손익";#N/A,#N/A,FALSE,"부서별매출";#N/A,#N/A,FALSE,"매출"}</definedName>
    <definedName name="DDDDD" localSheetId="6" hidden="1">{#N/A,#N/A,FALSE,"단축1";#N/A,#N/A,FALSE,"단축2";#N/A,#N/A,FALSE,"단축3";#N/A,#N/A,FALSE,"장축";#N/A,#N/A,FALSE,"4WD"}</definedName>
    <definedName name="DDDDD" hidden="1">{#N/A,#N/A,FALSE,"단축1";#N/A,#N/A,FALSE,"단축2";#N/A,#N/A,FALSE,"단축3";#N/A,#N/A,FALSE,"장축";#N/A,#N/A,FALSE,"4WD"}</definedName>
    <definedName name="dDFA" localSheetId="6" hidden="1">{#N/A,#N/A,FALSE,"단축1";#N/A,#N/A,FALSE,"단축2";#N/A,#N/A,FALSE,"단축3";#N/A,#N/A,FALSE,"장축";#N/A,#N/A,FALSE,"4WD"}</definedName>
    <definedName name="dDFA" hidden="1">{#N/A,#N/A,FALSE,"단축1";#N/A,#N/A,FALSE,"단축2";#N/A,#N/A,FALSE,"단축3";#N/A,#N/A,FALSE,"장축";#N/A,#N/A,FALSE,"4WD"}</definedName>
    <definedName name="deleteme" localSheetId="4" hidden="1">#REF!</definedName>
    <definedName name="deleteme" localSheetId="0" hidden="1">#REF!</definedName>
    <definedName name="deleteme" localSheetId="2" hidden="1">#REF!</definedName>
    <definedName name="deleteme" hidden="1">#REF!</definedName>
    <definedName name="DETAIL1" localSheetId="6" hidden="1">{#N/A,#N/A,FALSE,"인원";#N/A,#N/A,FALSE,"비용2";#N/A,#N/A,FALSE,"비용1";#N/A,#N/A,FALSE,"비용";#N/A,#N/A,FALSE,"보증2";#N/A,#N/A,FALSE,"보증1";#N/A,#N/A,FALSE,"보증";#N/A,#N/A,FALSE,"손익1";#N/A,#N/A,FALSE,"손익";#N/A,#N/A,FALSE,"부서별매출";#N/A,#N/A,FALSE,"매출"}</definedName>
    <definedName name="DETAIL1" hidden="1">{#N/A,#N/A,FALSE,"인원";#N/A,#N/A,FALSE,"비용2";#N/A,#N/A,FALSE,"비용1";#N/A,#N/A,FALSE,"비용";#N/A,#N/A,FALSE,"보증2";#N/A,#N/A,FALSE,"보증1";#N/A,#N/A,FALSE,"보증";#N/A,#N/A,FALSE,"손익1";#N/A,#N/A,FALSE,"손익";#N/A,#N/A,FALSE,"부서별매출";#N/A,#N/A,FALSE,"매출"}</definedName>
    <definedName name="DFA" localSheetId="6" hidden="1">{#N/A,#N/A,FALSE,"단축1";#N/A,#N/A,FALSE,"단축2";#N/A,#N/A,FALSE,"단축3";#N/A,#N/A,FALSE,"장축";#N/A,#N/A,FALSE,"4WD"}</definedName>
    <definedName name="DFA" hidden="1">{#N/A,#N/A,FALSE,"단축1";#N/A,#N/A,FALSE,"단축2";#N/A,#N/A,FALSE,"단축3";#N/A,#N/A,FALSE,"장축";#N/A,#N/A,FALSE,"4WD"}</definedName>
    <definedName name="DFASD" localSheetId="6" hidden="1">{#N/A,#N/A,FALSE,"인원";#N/A,#N/A,FALSE,"비용2";#N/A,#N/A,FALSE,"비용1";#N/A,#N/A,FALSE,"비용";#N/A,#N/A,FALSE,"보증2";#N/A,#N/A,FALSE,"보증1";#N/A,#N/A,FALSE,"보증";#N/A,#N/A,FALSE,"손익1";#N/A,#N/A,FALSE,"손익";#N/A,#N/A,FALSE,"부서별매출";#N/A,#N/A,FALSE,"매출"}</definedName>
    <definedName name="DFASD" hidden="1">{#N/A,#N/A,FALSE,"인원";#N/A,#N/A,FALSE,"비용2";#N/A,#N/A,FALSE,"비용1";#N/A,#N/A,FALSE,"비용";#N/A,#N/A,FALSE,"보증2";#N/A,#N/A,FALSE,"보증1";#N/A,#N/A,FALSE,"보증";#N/A,#N/A,FALSE,"손익1";#N/A,#N/A,FALSE,"손익";#N/A,#N/A,FALSE,"부서별매출";#N/A,#N/A,FALSE,"매출"}</definedName>
    <definedName name="DFF" localSheetId="6" hidden="1">{#N/A,#N/A,FALSE,"단축1";#N/A,#N/A,FALSE,"단축2";#N/A,#N/A,FALSE,"단축3";#N/A,#N/A,FALSE,"장축";#N/A,#N/A,FALSE,"4WD"}</definedName>
    <definedName name="DFF" hidden="1">{#N/A,#N/A,FALSE,"단축1";#N/A,#N/A,FALSE,"단축2";#N/A,#N/A,FALSE,"단축3";#N/A,#N/A,FALSE,"장축";#N/A,#N/A,FALSE,"4WD"}</definedName>
    <definedName name="DFHJ" localSheetId="6" hidden="1">{#N/A,#N/A,FALSE,"단축1";#N/A,#N/A,FALSE,"단축2";#N/A,#N/A,FALSE,"단축3";#N/A,#N/A,FALSE,"장축";#N/A,#N/A,FALSE,"4WD"}</definedName>
    <definedName name="DFHJ" hidden="1">{#N/A,#N/A,FALSE,"단축1";#N/A,#N/A,FALSE,"단축2";#N/A,#N/A,FALSE,"단축3";#N/A,#N/A,FALSE,"장축";#N/A,#N/A,FALSE,"4WD"}</definedName>
    <definedName name="DGF" localSheetId="6" hidden="1">{#N/A,#N/A,FALSE,"단축1";#N/A,#N/A,FALSE,"단축2";#N/A,#N/A,FALSE,"단축3";#N/A,#N/A,FALSE,"장축";#N/A,#N/A,FALSE,"4WD"}</definedName>
    <definedName name="DGF" hidden="1">{#N/A,#N/A,FALSE,"단축1";#N/A,#N/A,FALSE,"단축2";#N/A,#N/A,FALSE,"단축3";#N/A,#N/A,FALSE,"장축";#N/A,#N/A,FALSE,"4WD"}</definedName>
    <definedName name="DGJSRGH" localSheetId="6" hidden="1">{#N/A,#N/A,FALSE,"단축1";#N/A,#N/A,FALSE,"단축2";#N/A,#N/A,FALSE,"단축3";#N/A,#N/A,FALSE,"장축";#N/A,#N/A,FALSE,"4WD"}</definedName>
    <definedName name="DGJSRGH" hidden="1">{#N/A,#N/A,FALSE,"단축1";#N/A,#N/A,FALSE,"단축2";#N/A,#N/A,FALSE,"단축3";#N/A,#N/A,FALSE,"장축";#N/A,#N/A,FALSE,"4WD"}</definedName>
    <definedName name="DJFHJ" localSheetId="6" hidden="1">{#N/A,#N/A,FALSE,"단축1";#N/A,#N/A,FALSE,"단축2";#N/A,#N/A,FALSE,"단축3";#N/A,#N/A,FALSE,"장축";#N/A,#N/A,FALSE,"4WD"}</definedName>
    <definedName name="DJFHJ" hidden="1">{#N/A,#N/A,FALSE,"단축1";#N/A,#N/A,FALSE,"단축2";#N/A,#N/A,FALSE,"단축3";#N/A,#N/A,FALSE,"장축";#N/A,#N/A,FALSE,"4WD"}</definedName>
    <definedName name="DJGHJ" localSheetId="6" hidden="1">{#N/A,#N/A,FALSE,"단축1";#N/A,#N/A,FALSE,"단축2";#N/A,#N/A,FALSE,"단축3";#N/A,#N/A,FALSE,"장축";#N/A,#N/A,FALSE,"4WD"}</definedName>
    <definedName name="DJGHJ" hidden="1">{#N/A,#N/A,FALSE,"단축1";#N/A,#N/A,FALSE,"단축2";#N/A,#N/A,FALSE,"단축3";#N/A,#N/A,FALSE,"장축";#N/A,#N/A,FALSE,"4WD"}</definedName>
    <definedName name="DJHD" localSheetId="6" hidden="1">{#N/A,#N/A,FALSE,"단축1";#N/A,#N/A,FALSE,"단축2";#N/A,#N/A,FALSE,"단축3";#N/A,#N/A,FALSE,"장축";#N/A,#N/A,FALSE,"4WD"}</definedName>
    <definedName name="DJHD" hidden="1">{#N/A,#N/A,FALSE,"단축1";#N/A,#N/A,FALSE,"단축2";#N/A,#N/A,FALSE,"단축3";#N/A,#N/A,FALSE,"장축";#N/A,#N/A,FALSE,"4WD"}</definedName>
    <definedName name="dkdk" localSheetId="6" hidden="1">{#N/A,#N/A,FALSE,"단축1";#N/A,#N/A,FALSE,"단축2";#N/A,#N/A,FALSE,"단축3";#N/A,#N/A,FALSE,"장축";#N/A,#N/A,FALSE,"4WD"}</definedName>
    <definedName name="dkdk" hidden="1">{#N/A,#N/A,FALSE,"단축1";#N/A,#N/A,FALSE,"단축2";#N/A,#N/A,FALSE,"단축3";#N/A,#N/A,FALSE,"장축";#N/A,#N/A,FALSE,"4WD"}</definedName>
    <definedName name="DLDL" localSheetId="6" hidden="1">{#N/A,#N/A,FALSE,"단축1";#N/A,#N/A,FALSE,"단축2";#N/A,#N/A,FALSE,"단축3";#N/A,#N/A,FALSE,"장축";#N/A,#N/A,FALSE,"4WD"}</definedName>
    <definedName name="DLDL" hidden="1">{#N/A,#N/A,FALSE,"단축1";#N/A,#N/A,FALSE,"단축2";#N/A,#N/A,FALSE,"단축3";#N/A,#N/A,FALSE,"장축";#N/A,#N/A,FALSE,"4WD"}</definedName>
    <definedName name="DS" localSheetId="6" hidden="1">{#N/A,#N/A,FALSE,"초도품";#N/A,#N/A,FALSE,"초도품 (2)";#N/A,#N/A,FALSE,"초도품 (3)";#N/A,#N/A,FALSE,"초도품 (4)";#N/A,#N/A,FALSE,"초도품 (5)";#N/A,#N/A,FALSE,"초도품 (6)"}</definedName>
    <definedName name="DS" hidden="1">{#N/A,#N/A,FALSE,"초도품";#N/A,#N/A,FALSE,"초도품 (2)";#N/A,#N/A,FALSE,"초도품 (3)";#N/A,#N/A,FALSE,"초도품 (4)";#N/A,#N/A,FALSE,"초도품 (5)";#N/A,#N/A,FALSE,"초도품 (6)"}</definedName>
    <definedName name="DSFA"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A"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dsfsf" localSheetId="6" hidden="1">{"SUM GER",#N/A,FALSE,"SUM GER";"SUM FRA",#N/A,FALSE,"SUM FRA";"SUM ITA",#N/A,FALSE,"SUM ITA";"SUM SPA",#N/A,FALSE,"SUM SPA";"SUM EGB",#N/A,FALSE,"SUM EGB";"SUM IND",#N/A,FALSE,"SUM IND"}</definedName>
    <definedName name="dsfsf" hidden="1">{"SUM GER",#N/A,FALSE,"SUM GER";"SUM FRA",#N/A,FALSE,"SUM FRA";"SUM ITA",#N/A,FALSE,"SUM ITA";"SUM SPA",#N/A,FALSE,"SUM SPA";"SUM EGB",#N/A,FALSE,"SUM EGB";"SUM IND",#N/A,FALSE,"SUM IND"}</definedName>
    <definedName name="E50ﾄﾞﾗﾍﾙ西端" hidden="1">1</definedName>
    <definedName name="EAWR" localSheetId="6" hidden="1">{#N/A,#N/A,FALSE,"단축1";#N/A,#N/A,FALSE,"단축2";#N/A,#N/A,FALSE,"단축3";#N/A,#N/A,FALSE,"장축";#N/A,#N/A,FALSE,"4WD"}</definedName>
    <definedName name="EAWR" hidden="1">{#N/A,#N/A,FALSE,"단축1";#N/A,#N/A,FALSE,"단축2";#N/A,#N/A,FALSE,"단축3";#N/A,#N/A,FALSE,"장축";#N/A,#N/A,FALSE,"4WD"}</definedName>
    <definedName name="ef" localSheetId="6" hidden="1">{#N/A,#N/A,FALSE,"단축1";#N/A,#N/A,FALSE,"단축2";#N/A,#N/A,FALSE,"단축3";#N/A,#N/A,FALSE,"장축";#N/A,#N/A,FALSE,"4WD"}</definedName>
    <definedName name="ef" hidden="1">{#N/A,#N/A,FALSE,"단축1";#N/A,#N/A,FALSE,"단축2";#N/A,#N/A,FALSE,"단축3";#N/A,#N/A,FALSE,"장축";#N/A,#N/A,FALSE,"4WD"}</definedName>
    <definedName name="EFFOG" localSheetId="6" hidden="1">{#N/A,#N/A,FALSE,"단축1";#N/A,#N/A,FALSE,"단축2";#N/A,#N/A,FALSE,"단축3";#N/A,#N/A,FALSE,"장축";#N/A,#N/A,FALSE,"4WD"}</definedName>
    <definedName name="EFFOG" hidden="1">{#N/A,#N/A,FALSE,"단축1";#N/A,#N/A,FALSE,"단축2";#N/A,#N/A,FALSE,"단축3";#N/A,#N/A,FALSE,"장축";#N/A,#N/A,FALSE,"4WD"}</definedName>
    <definedName name="EOGH" localSheetId="6" hidden="1">{#N/A,#N/A,FALSE,"단축1";#N/A,#N/A,FALSE,"단축2";#N/A,#N/A,FALSE,"단축3";#N/A,#N/A,FALSE,"장축";#N/A,#N/A,FALSE,"4WD"}</definedName>
    <definedName name="EOGH" hidden="1">{#N/A,#N/A,FALSE,"단축1";#N/A,#N/A,FALSE,"단축2";#N/A,#N/A,FALSE,"단축3";#N/A,#N/A,FALSE,"장축";#N/A,#N/A,FALSE,"4WD"}</definedName>
    <definedName name="EO계획" localSheetId="4" hidden="1">#REF!</definedName>
    <definedName name="EO계획" localSheetId="0" hidden="1">#REF!</definedName>
    <definedName name="EO계획" localSheetId="2" hidden="1">#REF!</definedName>
    <definedName name="EO계획" hidden="1">#REF!</definedName>
    <definedName name="Equipment_List_Range">'Equipment list_11_09_2019'!$B$6:$BU$74</definedName>
    <definedName name="ETRYU" localSheetId="6" hidden="1">{#N/A,#N/A,FALSE,"단축1";#N/A,#N/A,FALSE,"단축2";#N/A,#N/A,FALSE,"단축3";#N/A,#N/A,FALSE,"장축";#N/A,#N/A,FALSE,"4WD"}</definedName>
    <definedName name="ETRYU" hidden="1">{#N/A,#N/A,FALSE,"단축1";#N/A,#N/A,FALSE,"단축2";#N/A,#N/A,FALSE,"단축3";#N/A,#N/A,FALSE,"장축";#N/A,#N/A,FALSE,"4WD"}</definedName>
    <definedName name="ETYUI" localSheetId="6" hidden="1">{#N/A,#N/A,FALSE,"단축1";#N/A,#N/A,FALSE,"단축2";#N/A,#N/A,FALSE,"단축3";#N/A,#N/A,FALSE,"장축";#N/A,#N/A,FALSE,"4WD"}</definedName>
    <definedName name="ETYUI" hidden="1">{#N/A,#N/A,FALSE,"단축1";#N/A,#N/A,FALSE,"단축2";#N/A,#N/A,FALSE,"단축3";#N/A,#N/A,FALSE,"장축";#N/A,#N/A,FALSE,"4WD"}</definedName>
    <definedName name="EV__LASTREFTIME__" hidden="1">38254.8165277778</definedName>
    <definedName name="EWY" localSheetId="6" hidden="1">{#N/A,#N/A,FALSE,"단축1";#N/A,#N/A,FALSE,"단축2";#N/A,#N/A,FALSE,"단축3";#N/A,#N/A,FALSE,"장축";#N/A,#N/A,FALSE,"4WD"}</definedName>
    <definedName name="EWY" hidden="1">{#N/A,#N/A,FALSE,"단축1";#N/A,#N/A,FALSE,"단축2";#N/A,#N/A,FALSE,"단축3";#N/A,#N/A,FALSE,"장축";#N/A,#N/A,FALSE,"4WD"}</definedName>
    <definedName name="EYRU" localSheetId="6" hidden="1">{#N/A,#N/A,FALSE,"단축1";#N/A,#N/A,FALSE,"단축2";#N/A,#N/A,FALSE,"단축3";#N/A,#N/A,FALSE,"장축";#N/A,#N/A,FALSE,"4WD"}</definedName>
    <definedName name="EYRU" hidden="1">{#N/A,#N/A,FALSE,"단축1";#N/A,#N/A,FALSE,"단축2";#N/A,#N/A,FALSE,"단축3";#N/A,#N/A,FALSE,"장축";#N/A,#N/A,FALSE,"4WD"}</definedName>
    <definedName name="F" localSheetId="6" hidden="1">{#N/A,#N/A,FALSE,"단축1";#N/A,#N/A,FALSE,"단축2";#N/A,#N/A,FALSE,"단축3";#N/A,#N/A,FALSE,"장축";#N/A,#N/A,FALSE,"4WD"}</definedName>
    <definedName name="F" hidden="1">{#N/A,#N/A,FALSE,"단축1";#N/A,#N/A,FALSE,"단축2";#N/A,#N/A,FALSE,"단축3";#N/A,#N/A,FALSE,"장축";#N/A,#N/A,FALSE,"4WD"}</definedName>
    <definedName name="fasdf" localSheetId="6" hidden="1">{"SUM ALL YR",#N/A,FALSE,"SUM ALL YR";"sum01",#N/A,FALSE,"SUM 01";"sumM2",#N/A,FALSE,"SUM M2";"sum02",#N/A,FALSE,"SUM 02";"sum03",#N/A,FALSE,"SUM 03";"sum04",#N/A,FALSE,"SUM 04";"sum05",#N/A,FALSE,"SUM 05"}</definedName>
    <definedName name="fasdf" hidden="1">{"SUM ALL YR",#N/A,FALSE,"SUM ALL YR";"sum01",#N/A,FALSE,"SUM 01";"sumM2",#N/A,FALSE,"SUM M2";"sum02",#N/A,FALSE,"SUM 02";"sum03",#N/A,FALSE,"SUM 03";"sum04",#N/A,FALSE,"SUM 04";"sum05",#N/A,FALSE,"SUM 05"}</definedName>
    <definedName name="FDJGDFHJ" localSheetId="6" hidden="1">{#N/A,#N/A,FALSE,"단축1";#N/A,#N/A,FALSE,"단축2";#N/A,#N/A,FALSE,"단축3";#N/A,#N/A,FALSE,"장축";#N/A,#N/A,FALSE,"4WD"}</definedName>
    <definedName name="FDJGDFHJ" hidden="1">{#N/A,#N/A,FALSE,"단축1";#N/A,#N/A,FALSE,"단축2";#N/A,#N/A,FALSE,"단축3";#N/A,#N/A,FALSE,"장축";#N/A,#N/A,FALSE,"4WD"}</definedName>
    <definedName name="FGH" localSheetId="6" hidden="1">{#N/A,#N/A,FALSE,"단축1";#N/A,#N/A,FALSE,"단축2";#N/A,#N/A,FALSE,"단축3";#N/A,#N/A,FALSE,"장축";#N/A,#N/A,FALSE,"4WD"}</definedName>
    <definedName name="FGH" hidden="1">{#N/A,#N/A,FALSE,"단축1";#N/A,#N/A,FALSE,"단축2";#N/A,#N/A,FALSE,"단축3";#N/A,#N/A,FALSE,"장축";#N/A,#N/A,FALSE,"4WD"}</definedName>
    <definedName name="FGHJ" localSheetId="6" hidden="1">{#N/A,#N/A,FALSE,"단축1";#N/A,#N/A,FALSE,"단축2";#N/A,#N/A,FALSE,"단축3";#N/A,#N/A,FALSE,"장축";#N/A,#N/A,FALSE,"4WD"}</definedName>
    <definedName name="FGHJ" hidden="1">{#N/A,#N/A,FALSE,"단축1";#N/A,#N/A,FALSE,"단축2";#N/A,#N/A,FALSE,"단축3";#N/A,#N/A,FALSE,"장축";#N/A,#N/A,FALSE,"4WD"}</definedName>
    <definedName name="FH" localSheetId="6" hidden="1">{#N/A,#N/A,FALSE,"단축1";#N/A,#N/A,FALSE,"단축2";#N/A,#N/A,FALSE,"단축3";#N/A,#N/A,FALSE,"장축";#N/A,#N/A,FALSE,"4WD"}</definedName>
    <definedName name="FH" hidden="1">{#N/A,#N/A,FALSE,"단축1";#N/A,#N/A,FALSE,"단축2";#N/A,#N/A,FALSE,"단축3";#N/A,#N/A,FALSE,"장축";#N/A,#N/A,FALSE,"4WD"}</definedName>
    <definedName name="File" localSheetId="6" hidden="1">{"one (KEY)",#N/A,FALSE,"P&amp;L"}</definedName>
    <definedName name="File" hidden="1">{"one (KEY)",#N/A,FALSE,"P&amp;L"}</definedName>
    <definedName name="Financial" localSheetId="6" hidden="1">{"one (KEY)",#N/A,FALSE,"P&amp;L"}</definedName>
    <definedName name="Financial" hidden="1">{"one (KEY)",#N/A,FALSE,"P&amp;L"}</definedName>
    <definedName name="FJFJ" localSheetId="6" hidden="1">{#N/A,#N/A,FALSE,"단축1";#N/A,#N/A,FALSE,"단축2";#N/A,#N/A,FALSE,"단축3";#N/A,#N/A,FALSE,"장축";#N/A,#N/A,FALSE,"4WD"}</definedName>
    <definedName name="FJFJ" hidden="1">{#N/A,#N/A,FALSE,"단축1";#N/A,#N/A,FALSE,"단축2";#N/A,#N/A,FALSE,"단축3";#N/A,#N/A,FALSE,"장축";#N/A,#N/A,FALSE,"4WD"}</definedName>
    <definedName name="GDF"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DF"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dgh" localSheetId="6" hidden="1">{"SUM GER",#N/A,FALSE,"SUM GER";"SUM FRA",#N/A,FALSE,"SUM FRA";"SUM ITA",#N/A,FALSE,"SUM ITA";"SUM SPA",#N/A,FALSE,"SUM SPA";"SUM EGB",#N/A,FALSE,"SUM EGB";"SUM IND",#N/A,FALSE,"SUM IND"}</definedName>
    <definedName name="gfdgh" hidden="1">{"SUM GER",#N/A,FALSE,"SUM GER";"SUM FRA",#N/A,FALSE,"SUM FRA";"SUM ITA",#N/A,FALSE,"SUM ITA";"SUM SPA",#N/A,FALSE,"SUM SPA";"SUM EGB",#N/A,FALSE,"SUM EGB";"SUM IND",#N/A,FALSE,"SUM IND"}</definedName>
    <definedName name="GFDS" localSheetId="6" hidden="1">{#N/A,#N/A,FALSE,"단축1";#N/A,#N/A,FALSE,"단축2";#N/A,#N/A,FALSE,"단축3";#N/A,#N/A,FALSE,"장축";#N/A,#N/A,FALSE,"4WD"}</definedName>
    <definedName name="GFDS" hidden="1">{#N/A,#N/A,FALSE,"단축1";#N/A,#N/A,FALSE,"단축2";#N/A,#N/A,FALSE,"단축3";#N/A,#N/A,FALSE,"장축";#N/A,#N/A,FALSE,"4WD"}</definedName>
    <definedName name="GFF"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F"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GFJG" localSheetId="6" hidden="1">{#N/A,#N/A,FALSE,"단축1";#N/A,#N/A,FALSE,"단축2";#N/A,#N/A,FALSE,"단축3";#N/A,#N/A,FALSE,"장축";#N/A,#N/A,FALSE,"4WD"}</definedName>
    <definedName name="GFJG" hidden="1">{#N/A,#N/A,FALSE,"단축1";#N/A,#N/A,FALSE,"단축2";#N/A,#N/A,FALSE,"단축3";#N/A,#N/A,FALSE,"장축";#N/A,#N/A,FALSE,"4WD"}</definedName>
    <definedName name="gh" localSheetId="4" hidden="1">#REF!</definedName>
    <definedName name="gh" localSheetId="0" hidden="1">#REF!</definedName>
    <definedName name="gh" localSheetId="2" hidden="1">#REF!</definedName>
    <definedName name="gh" hidden="1">#REF!</definedName>
    <definedName name="GJ" localSheetId="6" hidden="1">{#N/A,#N/A,FALSE,"단축1";#N/A,#N/A,FALSE,"단축2";#N/A,#N/A,FALSE,"단축3";#N/A,#N/A,FALSE,"장축";#N/A,#N/A,FALSE,"4WD"}</definedName>
    <definedName name="GJ" hidden="1">{#N/A,#N/A,FALSE,"단축1";#N/A,#N/A,FALSE,"단축2";#N/A,#N/A,FALSE,"단축3";#N/A,#N/A,FALSE,"장축";#N/A,#N/A,FALSE,"4WD"}</definedName>
    <definedName name="hdfgh" localSheetId="6" hidden="1">{"SUM GER",#N/A,FALSE,"SUM GER";"SUM FRA",#N/A,FALSE,"SUM FRA";"SUM ITA",#N/A,FALSE,"SUM ITA";"SUM SPA",#N/A,FALSE,"SUM SPA";"SUM EGB",#N/A,FALSE,"SUM EGB";"SUM IND",#N/A,FALSE,"SUM IND"}</definedName>
    <definedName name="hdfgh" hidden="1">{"SUM GER",#N/A,FALSE,"SUM GER";"SUM FRA",#N/A,FALSE,"SUM FRA";"SUM ITA",#N/A,FALSE,"SUM ITA";"SUM SPA",#N/A,FALSE,"SUM SPA";"SUM EGB",#N/A,FALSE,"SUM EGB";"SUM IND",#N/A,FALSE,"SUM IND"}</definedName>
    <definedName name="hdfghfg" localSheetId="6" hidden="1">{"SUM ALL YR",#N/A,FALSE,"SUM ALL YR";"sum01",#N/A,FALSE,"SUM 01";"sumM2",#N/A,FALSE,"SUM M2";"sum02",#N/A,FALSE,"SUM 02";"sum03",#N/A,FALSE,"SUM 03";"sum04",#N/A,FALSE,"SUM 04";"sum05",#N/A,FALSE,"SUM 05"}</definedName>
    <definedName name="hdfghfg" hidden="1">{"SUM ALL YR",#N/A,FALSE,"SUM ALL YR";"sum01",#N/A,FALSE,"SUM 01";"sumM2",#N/A,FALSE,"SUM M2";"sum02",#N/A,FALSE,"SUM 02";"sum03",#N/A,FALSE,"SUM 03";"sum04",#N/A,FALSE,"SUM 04";"sum05",#N/A,FALSE,"SUM 05"}</definedName>
    <definedName name="HHHHHHHHHH" localSheetId="6" hidden="1">{#N/A,#N/A,FALSE,"단축1";#N/A,#N/A,FALSE,"단축2";#N/A,#N/A,FALSE,"단축3";#N/A,#N/A,FALSE,"장축";#N/A,#N/A,FALSE,"4WD"}</definedName>
    <definedName name="HHHHHHHHHH" hidden="1">{#N/A,#N/A,FALSE,"단축1";#N/A,#N/A,FALSE,"단축2";#N/A,#N/A,FALSE,"단축3";#N/A,#N/A,FALSE,"장축";#N/A,#N/A,FALSE,"4WD"}</definedName>
    <definedName name="HOJA" localSheetId="6" hidden="1">{"RES-2002",#N/A,FALSE,"BL2000";"A1-2002",#N/A,FALSE,"BL2000";"A2-2002",#N/A,FALSE,"BL2000"}</definedName>
    <definedName name="HOJA" hidden="1">{"RES-2002",#N/A,FALSE,"BL2000";"A1-2002",#N/A,FALSE,"BL2000";"A2-2002",#N/A,FALSE,"BL2000"}</definedName>
    <definedName name="HP문제점현황" localSheetId="6" hidden="1">{#N/A,#N/A,FALSE,"단축1";#N/A,#N/A,FALSE,"단축2";#N/A,#N/A,FALSE,"단축3";#N/A,#N/A,FALSE,"장축";#N/A,#N/A,FALSE,"4WD"}</definedName>
    <definedName name="HP문제점현황" hidden="1">{#N/A,#N/A,FALSE,"단축1";#N/A,#N/A,FALSE,"단축2";#N/A,#N/A,FALSE,"단축3";#N/A,#N/A,FALSE,"장축";#N/A,#N/A,FALSE,"4WD"}</definedName>
    <definedName name="HTML_CodePage" hidden="1">1252</definedName>
    <definedName name="HTML_Control" localSheetId="6" hidden="1">{"'Sheet1'!$A$1:$M$38"}</definedName>
    <definedName name="HTML_Control" hidden="1">{"'Sheet1'!$A$1:$M$38"}</definedName>
    <definedName name="HTML_Description" hidden="1">""</definedName>
    <definedName name="HTML_Email" hidden="1">""</definedName>
    <definedName name="HTML_Header" hidden="1">""</definedName>
    <definedName name="HTML_LastUpdate" hidden="1">"10/17/00"</definedName>
    <definedName name="HTML_LineAfter" hidden="1">FALSE</definedName>
    <definedName name="HTML_LineBefore" hidden="1">FALSE</definedName>
    <definedName name="HTML_Name" hidden="1">"JCI User"</definedName>
    <definedName name="HTML_OBDlg2" hidden="1">TRUE</definedName>
    <definedName name="HTML_OBDlg4" hidden="1">TRUE</definedName>
    <definedName name="HTML_OS" hidden="1">0</definedName>
    <definedName name="HTML_PathFile" hidden="1">"U:\TEXT\MyHTML.htm"</definedName>
    <definedName name="HTML_Title" hidden="1">"ESOchecklist"</definedName>
    <definedName name="HYT" localSheetId="6" hidden="1">{"RES-2002",#N/A,FALSE,"BL2000";"A1-2002",#N/A,FALSE,"BL2000";"A2-2002",#N/A,FALSE,"BL2000"}</definedName>
    <definedName name="HYT" hidden="1">{"RES-2002",#N/A,FALSE,"BL2000";"A1-2002",#N/A,FALSE,"BL2000";"A2-2002",#N/A,FALSE,"BL2000"}</definedName>
    <definedName name="ic" localSheetId="6" hidden="1">{#N/A,#N/A,FALSE,"단축1";#N/A,#N/A,FALSE,"단축2";#N/A,#N/A,FALSE,"단축3";#N/A,#N/A,FALSE,"장축";#N/A,#N/A,FALSE,"4WD"}</definedName>
    <definedName name="ic" hidden="1">{#N/A,#N/A,FALSE,"단축1";#N/A,#N/A,FALSE,"단축2";#N/A,#N/A,FALSE,"단축3";#N/A,#N/A,FALSE,"장축";#N/A,#N/A,FALSE,"4WD"}</definedName>
    <definedName name="idid" localSheetId="6" hidden="1">{#N/A,#N/A,FALSE,"단축1";#N/A,#N/A,FALSE,"단축2";#N/A,#N/A,FALSE,"단축3";#N/A,#N/A,FALSE,"장축";#N/A,#N/A,FALSE,"4WD"}</definedName>
    <definedName name="idid" hidden="1">{#N/A,#N/A,FALSE,"단축1";#N/A,#N/A,FALSE,"단축2";#N/A,#N/A,FALSE,"단축3";#N/A,#N/A,FALSE,"장축";#N/A,#N/A,FALSE,"4WD"}</definedName>
    <definedName name="IIII" localSheetId="6" hidden="1">{#N/A,#N/A,FALSE,"단축1";#N/A,#N/A,FALSE,"단축2";#N/A,#N/A,FALSE,"단축3";#N/A,#N/A,FALSE,"장축";#N/A,#N/A,FALSE,"4WD"}</definedName>
    <definedName name="IIII" hidden="1">{#N/A,#N/A,FALSE,"단축1";#N/A,#N/A,FALSE,"단축2";#N/A,#N/A,FALSE,"단축3";#N/A,#N/A,FALSE,"장축";#N/A,#N/A,FALSE,"4WD"}</definedName>
    <definedName name="ijfojyo" localSheetId="6" hidden="1">{"'Sheet1'!$A$1:$M$38"}</definedName>
    <definedName name="ijfojyo" hidden="1">{"'Sheet1'!$A$1:$M$38"}</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UM_DEP" hidden="1">"c7"</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"c39"</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"c16"</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"c1471"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UDITOR_NAME" hidden="1">"c1539"</definedName>
    <definedName name="IQ_AUDITOR_OPINION" hidden="1">"c1540"</definedName>
    <definedName name="IQ_AUTO_WRITTEN" hidden="1">"c62"</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"c65"</definedName>
    <definedName name="IQ_BASIC_EPS_EXCL" hidden="1">"c85"</definedName>
    <definedName name="IQ_BASIC_EPS_INCL" hidden="1">"c86"</definedName>
    <definedName name="IQ_BASIC_NORMAL_EPS" hidden="1">"c1592"</definedName>
    <definedName name="IQ_BASIC_WEIGHT" hidden="1">"c87"</definedName>
    <definedName name="IQ_BETA" hidden="1">"c88"</definedName>
    <definedName name="IQ_BIG_INT_BEAR_CD" hidden="1">"c89"</definedName>
    <definedName name="IQ_BOARD_MEMBER" hidden="1">"c96"</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"c100"</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"c115"</definedName>
    <definedName name="IQ_CAPITAL_LEASES" hidden="1">"c115"</definedName>
    <definedName name="IQ_CASH" hidden="1">"c118"</definedName>
    <definedName name="IQ_CASH_ACQUIRE_CF" hidden="1">"c1630"</definedName>
    <definedName name="IQ_CASH_CONVERSION" hidden="1">"c117"</definedName>
    <definedName name="IQ_CASH_DUE_BANKS" hidden="1">"c118"</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T" hidden="1">"c124"</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OSEPRICE" hidden="1">"c174"</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REET1" hidden="1">"c217"</definedName>
    <definedName name="IQ_COMPANY_STREET2" hidden="1">"c218"</definedName>
    <definedName name="IQ_COMPANY_TICKER" hidden="1">"c219"</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Q" hidden="1">5000</definedName>
    <definedName name="IQ_CREDIT_CARD_FEE_BNK" hidden="1">"c231"</definedName>
    <definedName name="IQ_CREDIT_CARD_FEE_FIN" hidden="1">"c1583"</definedName>
    <definedName name="IQ_CREDIT_LOSS_CF" hidden="1">"c232"</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INC_TAX" hidden="1">"c315"</definedName>
    <definedName name="IQ_DEFERRED_TAXES" hidden="1">"c147"</definedName>
    <definedName name="IQ_DEMAND_DEP" hidden="1">"c320"</definedName>
    <definedName name="IQ_DEPOSITS_FIN" hidden="1">"c321"</definedName>
    <definedName name="IQ_DEPRE_AMORT" hidden="1">"c247"</definedName>
    <definedName name="IQ_DEPRE_AMORT_SUPPL" hidden="1">"c1593"</definedName>
    <definedName name="IQ_DEPRE_DEPLE" hidden="1">"c261"</definedName>
    <definedName name="IQ_DEPRE_SUPP" hidden="1">"c1443"</definedName>
    <definedName name="IQ_DESCRIPTION_LONG" hidden="1">"c322"</definedName>
    <definedName name="IQ_DEVELOP_LAND" hidden="1">"c323"</definedName>
    <definedName name="IQ_DILUT_ADJUST" hidden="1">"c1621"</definedName>
    <definedName name="IQ_DILUT_EPS_EXCL" hidden="1">"c324"</definedName>
    <definedName name="IQ_DILUT_EPS_INCL" hidden="1">"c325"</definedName>
    <definedName name="IQ_DILUT_NORMAL_EPS" hidden="1">"c1594"</definedName>
    <definedName name="IQ_DILUT_WEIGHT" hidden="1">"c326"</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V_SHARE" hidden="1">"c330"</definedName>
    <definedName name="IQ_DIVEST_CF" hidden="1">"c331"</definedName>
    <definedName name="IQ_DIVID_SHARE" hidden="1">"c330"</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"c360"</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"c368"</definedName>
    <definedName name="IQ_EBITDA_INT" hidden="1">"c373"</definedName>
    <definedName name="IQ_EBITDA_MARGIN" hidden="1">"c372"</definedName>
    <definedName name="IQ_EBITDA_OVER_TOTAL_IE" hidden="1">"c373"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S" hidden="1">"c388"</definedName>
    <definedName name="IQ_EBT_REIT" hidden="1">"c389"</definedName>
    <definedName name="IQ_EBT_UTI" hidden="1">"c390"</definedName>
    <definedName name="IQ_EFFECT_SPECIAL_CHARGE" hidden="1">"c1595"</definedName>
    <definedName name="IQ_EFFICIENCY_RATIO" hidden="1">"c391"</definedName>
    <definedName name="IQ_EMPLOYEES" hidden="1">"c392"</definedName>
    <definedName name="IQ_ENTERPRISE_VALUE" hidden="1">"c84"</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QUITY_AFFIL" hidden="1">"c552"</definedName>
    <definedName name="IQ_EQUITY_METHOD" hidden="1">"c404"</definedName>
    <definedName name="IQ_EQV_OVER_BV" hidden="1">"c1596"</definedName>
    <definedName name="IQ_EQV_OVER_LTM_PRETAX_INC" hidden="1">"c739"</definedName>
    <definedName name="IQ_ESOP_DEBT" hidden="1">"c1597"</definedName>
    <definedName name="IQ_EST_DATE" hidden="1">"c1634"</definedName>
    <definedName name="IQ_EST_EPS_GROWTH_1YR" hidden="1">"c1636"</definedName>
    <definedName name="IQ_EST_EPS_GROWTH_Q_1YR" hidden="1">"c1641"</definedName>
    <definedName name="IQ_EV_OVER_EMPLOYEE" hidden="1">"c1225"</definedName>
    <definedName name="IQ_EV_OVER_LTM_EBIT" hidden="1">"c1221"</definedName>
    <definedName name="IQ_EV_OVER_LTM_EBITDA" hidden="1">"c1223"</definedName>
    <definedName name="IQ_EV_OVER_LTM_REVENUE" hidden="1">"c1227"</definedName>
    <definedName name="IQ_EXCHANGE" hidden="1">"c405"</definedName>
    <definedName name="IQ_EXERCISE_PRICE"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"c413"</definedName>
    <definedName name="IQ_FDIC" hidden="1">"c417"</definedName>
    <definedName name="IQ_FFO" hidden="1">"c1574"</definedName>
    <definedName name="IQ_FH" hidden="1">100000</definedName>
    <definedName name="IQ_FHLB_DEBT" hidden="1">"c423"</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"c893"</definedName>
    <definedName name="IQ_FINANCING_CASH_SUPPL" hidden="1">"c899"</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"c451"</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"c192"</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"c511"</definedName>
    <definedName name="IQ_GW" hidden="1">"c530"</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"c907"</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NON" hidden="1">"c619"</definedName>
    <definedName name="IQ_INTEREST_INVEST_INC" hidden="1">"c619"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"c751"</definedName>
    <definedName name="IQ_ISS_STOCK_NET" hidden="1">"c1601"</definedName>
    <definedName name="IQ_LAND" hidden="1">"c645"</definedName>
    <definedName name="IQ_LASTSALEPRICE" hidden="1">"c646"</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IFOR" hidden="1">"c655"</definedName>
    <definedName name="IQ_LL" hidden="1">"c656"</definedName>
    <definedName name="IQ_LOAN_LEASE_RECEIV" hidden="1">"c657"</definedName>
    <definedName name="IQ_LOAN_LOSS" hidden="1">"c656"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"c1304"</definedName>
    <definedName name="IQ_LTMMONTH" hidden="1">120000</definedName>
    <definedName name="IQ_MACHINERY" hidden="1">"c711"</definedName>
    <definedName name="IQ_MARKETCAP" hidden="1">"c712"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41309.679224537</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"c781"</definedName>
    <definedName name="IQ_NET_INC_BEFORE" hidden="1">"c344"</definedName>
    <definedName name="IQ_NET_INC_CF" hidden="1">"c793"</definedName>
    <definedName name="IQ_NET_INC_MARGIN" hidden="1">"c794"</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SFAS" hidden="1">"c795"</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RMAL_INC_AFTER" hidden="1">"c1605"</definedName>
    <definedName name="IQ_NORMAL_INC_AVAIL" hidden="1">"c1606"</definedName>
    <definedName name="IQ_NORMAL_INC_BEFORE" hidden="1">"c1607"</definedName>
    <definedName name="IQ_NOTES_PAY" hidden="1">"c1176"</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OCCUPY_EXP" hidden="1">"c839"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ISSUED" hidden="1">"c857"</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"c868"</definedName>
    <definedName name="IQ_OTHER_CURRENT_LIAB" hidden="1">"c877"</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"c1010"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"c1022"</definedName>
    <definedName name="IQ_OUTSTANDING_FILING_DATE" hidden="1">"c1023"</definedName>
    <definedName name="IQ_PART_TIME" hidden="1">"c1024"</definedName>
    <definedName name="IQ_PAY_ACCRUED" hidden="1">"c8"</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NSION" hidden="1">"c1031"</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"c1052"</definedName>
    <definedName name="IQ_PREF_TOT" hidden="1">"c1044"</definedName>
    <definedName name="IQ_PREMIUMS_ANNUITY_REV" hidden="1">"c1067"</definedName>
    <definedName name="IQ_PREPAID_EXP" hidden="1">"c1068"</definedName>
    <definedName name="IQ_PREPAID_EXPEN" hidden="1">"c1068"</definedName>
    <definedName name="IQ_PRICE_OVER_BVPS" hidden="1">"c1026"</definedName>
    <definedName name="IQ_PRICE_OVER_LTM_EPS" hidden="1">"c1029"</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NED_EARN" hidden="1">"c1092"</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"c1117"</definedName>
    <definedName name="IQ_REV" hidden="1">"c1122"</definedName>
    <definedName name="IQ_REV_BEFORE_LL" hidden="1">"c1123"</definedName>
    <definedName name="IQ_REV_UTI" hidden="1">"c1125"</definedName>
    <definedName name="IQ_REVENUE" hidden="1">"c1122"</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REIT" hidden="1">"c1161"</definedName>
    <definedName name="IQ_SGA_SUPPL" hidden="1">"c1162"</definedName>
    <definedName name="IQ_SGA_UTI" hidden="1">"c1163"</definedName>
    <definedName name="IQ_SHAREOUTSTANDING" hidden="1">"c83"</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"c1279"</definedName>
    <definedName name="IQ_TOTAL_LIAB_TOTAL_ASSETS" hidden="1">"c1283"</definedName>
    <definedName name="IQ_TOTAL_LONG_DEBT" hidden="1">"c1617"</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PENSION_ASSETS" hidden="1">"c1290"</definedName>
    <definedName name="IQ_TOTAL_PENSION_EXP" hidden="1">"c1291"</definedName>
    <definedName name="IQ_TOTAL_PENSION_OBLIGATION" hidden="1">"c1292"</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UTI" hidden="1">"c1308"</definedName>
    <definedName name="IQ_TOTAL_REVENUE" hidden="1">"c1294"</definedName>
    <definedName name="IQ_TOTAL_SPECIAL" hidden="1">"c1618"</definedName>
    <definedName name="IQ_TOTAL_ST_BORROW" hidden="1">"c1177"</definedName>
    <definedName name="IQ_TOTAL_UNUSUAL" hidden="1">"c1508"</definedName>
    <definedName name="IQ_TRADE_AR" hidden="1">"c40"</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"c1311"</definedName>
    <definedName name="IQ_TRUST_INC" hidden="1">"c1319"</definedName>
    <definedName name="IQ_TRUST_PREF" hidden="1">"c1320"</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PAID_CLAIMS" hidden="1">"c1330"</definedName>
    <definedName name="IQ_UNREALIZED_GAIN" hidden="1">"c1619"</definedName>
    <definedName name="IQ_US_GAAP" hidden="1">"c1331"</definedName>
    <definedName name="IQ_UTIL_PPE_NET" hidden="1">"c1620"</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RE" localSheetId="6" hidden="1">{#N/A,#N/A,FALSE,"단축1";#N/A,#N/A,FALSE,"단축2";#N/A,#N/A,FALSE,"단축3";#N/A,#N/A,FALSE,"장축";#N/A,#N/A,FALSE,"4WD"}</definedName>
    <definedName name="IRE" hidden="1">{#N/A,#N/A,FALSE,"단축1";#N/A,#N/A,FALSE,"단축2";#N/A,#N/A,FALSE,"단축3";#N/A,#N/A,FALSE,"장축";#N/A,#N/A,FALSE,"4WD"}</definedName>
    <definedName name="JGHJ" localSheetId="6" hidden="1">{#N/A,#N/A,FALSE,"단축1";#N/A,#N/A,FALSE,"단축2";#N/A,#N/A,FALSE,"단축3";#N/A,#N/A,FALSE,"장축";#N/A,#N/A,FALSE,"4WD"}</definedName>
    <definedName name="JGHJ" hidden="1">{#N/A,#N/A,FALSE,"단축1";#N/A,#N/A,FALSE,"단축2";#N/A,#N/A,FALSE,"단축3";#N/A,#N/A,FALSE,"장축";#N/A,#N/A,FALSE,"4WD"}</definedName>
    <definedName name="JWG" localSheetId="6" hidden="1">{#N/A,#N/A,FALSE,"단축1";#N/A,#N/A,FALSE,"단축2";#N/A,#N/A,FALSE,"단축3";#N/A,#N/A,FALSE,"장축";#N/A,#N/A,FALSE,"4WD"}</definedName>
    <definedName name="JWG" hidden="1">{#N/A,#N/A,FALSE,"단축1";#N/A,#N/A,FALSE,"단축2";#N/A,#N/A,FALSE,"단축3";#N/A,#N/A,FALSE,"장축";#N/A,#N/A,FALSE,"4WD"}</definedName>
    <definedName name="key" localSheetId="4" hidden="1">#REF!</definedName>
    <definedName name="key" localSheetId="0" hidden="1">#REF!</definedName>
    <definedName name="key" localSheetId="2" hidden="1">#REF!</definedName>
    <definedName name="key" hidden="1">#REF!</definedName>
    <definedName name="KIA" localSheetId="6" hidden="1">{#N/A,#N/A,FALSE,"단축1";#N/A,#N/A,FALSE,"단축2";#N/A,#N/A,FALSE,"단축3";#N/A,#N/A,FALSE,"장축";#N/A,#N/A,FALSE,"4WD"}</definedName>
    <definedName name="KIA" hidden="1">{#N/A,#N/A,FALSE,"단축1";#N/A,#N/A,FALSE,"단축2";#N/A,#N/A,FALSE,"단축3";#N/A,#N/A,FALSE,"장축";#N/A,#N/A,FALSE,"4WD"}</definedName>
    <definedName name="kjklsda" localSheetId="6" hidden="1">{"one (KEY)",#N/A,FALSE,"P&amp;L"}</definedName>
    <definedName name="kjklsda" hidden="1">{"one (KEY)",#N/A,FALSE,"P&amp;L"}</definedName>
    <definedName name="kkkk" localSheetId="4" hidden="1">#REF!</definedName>
    <definedName name="kkkk" localSheetId="0" hidden="1">#REF!</definedName>
    <definedName name="kkkk" localSheetId="2" hidden="1">#REF!</definedName>
    <definedName name="kkkk" hidden="1">#REF!</definedName>
    <definedName name="KL" localSheetId="6" hidden="1">{#N/A,#N/A,FALSE,"단축1";#N/A,#N/A,FALSE,"단축2";#N/A,#N/A,FALSE,"단축3";#N/A,#N/A,FALSE,"장축";#N/A,#N/A,FALSE,"4WD"}</definedName>
    <definedName name="KL" hidden="1">{#N/A,#N/A,FALSE,"단축1";#N/A,#N/A,FALSE,"단축2";#N/A,#N/A,FALSE,"단축3";#N/A,#N/A,FALSE,"장축";#N/A,#N/A,FALSE,"4WD"}</definedName>
    <definedName name="KSJJ"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SJJ"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KTY" localSheetId="6" hidden="1">{#N/A,#N/A,FALSE,"단축1";#N/A,#N/A,FALSE,"단축2";#N/A,#N/A,FALSE,"단축3";#N/A,#N/A,FALSE,"장축";#N/A,#N/A,FALSE,"4WD"}</definedName>
    <definedName name="KTY" hidden="1">{#N/A,#N/A,FALSE,"단축1";#N/A,#N/A,FALSE,"단축2";#N/A,#N/A,FALSE,"단축3";#N/A,#N/A,FALSE,"장축";#N/A,#N/A,FALSE,"4WD"}</definedName>
    <definedName name="LARM문제대책" localSheetId="6" hidden="1">{#N/A,#N/A,FALSE,"단축1";#N/A,#N/A,FALSE,"단축2";#N/A,#N/A,FALSE,"단축3";#N/A,#N/A,FALSE,"장축";#N/A,#N/A,FALSE,"4WD"}</definedName>
    <definedName name="LARM문제대책" hidden="1">{#N/A,#N/A,FALSE,"단축1";#N/A,#N/A,FALSE,"단축2";#N/A,#N/A,FALSE,"단축3";#N/A,#N/A,FALSE,"장축";#N/A,#N/A,FALSE,"4WD"}</definedName>
    <definedName name="LKJ" localSheetId="6" hidden="1">{#N/A,#N/A,FALSE,"을지 (4)";#N/A,#N/A,FALSE,"을지 (5)";#N/A,#N/A,FALSE,"을지 (6)"}</definedName>
    <definedName name="LKJ" hidden="1">{#N/A,#N/A,FALSE,"을지 (4)";#N/A,#N/A,FALSE,"을지 (5)";#N/A,#N/A,FALSE,"을지 (6)"}</definedName>
    <definedName name="lps" localSheetId="6" hidden="1">{#N/A,#N/A,FALSE,"단축1";#N/A,#N/A,FALSE,"단축2";#N/A,#N/A,FALSE,"단축3";#N/A,#N/A,FALSE,"장축";#N/A,#N/A,FALSE,"4WD"}</definedName>
    <definedName name="lps" hidden="1">{#N/A,#N/A,FALSE,"단축1";#N/A,#N/A,FALSE,"단축2";#N/A,#N/A,FALSE,"단축3";#N/A,#N/A,FALSE,"장축";#N/A,#N/A,FALSE,"4WD"}</definedName>
    <definedName name="MBR" localSheetId="6" hidden="1">{#N/A,#N/A,FALSE,"단축1";#N/A,#N/A,FALSE,"단축2";#N/A,#N/A,FALSE,"단축3";#N/A,#N/A,FALSE,"장축";#N/A,#N/A,FALSE,"4WD"}</definedName>
    <definedName name="MBR" hidden="1">{#N/A,#N/A,FALSE,"단축1";#N/A,#N/A,FALSE,"단축2";#N/A,#N/A,FALSE,"단축3";#N/A,#N/A,FALSE,"장축";#N/A,#N/A,FALSE,"4WD"}</definedName>
    <definedName name="MBR문제점" localSheetId="6" hidden="1">{#N/A,#N/A,FALSE,"단축1";#N/A,#N/A,FALSE,"단축2";#N/A,#N/A,FALSE,"단축3";#N/A,#N/A,FALSE,"장축";#N/A,#N/A,FALSE,"4WD"}</definedName>
    <definedName name="MBR문제점" hidden="1">{#N/A,#N/A,FALSE,"단축1";#N/A,#N/A,FALSE,"단축2";#N/A,#N/A,FALSE,"단축3";#N/A,#N/A,FALSE,"장축";#N/A,#N/A,FALSE,"4WD"}</definedName>
    <definedName name="mi" localSheetId="6" hidden="1">{"CORSA",#N/A,FALSE,"RESUMO FINAL";"KADETT",#N/A,FALSE,"RESUMO FINAL";"VECTRA",#N/A,FALSE,"RESUMO FINAL";"OMEGA",#N/A,FALSE,"RESUMO FINAL";"S_10",#N/A,FALSE,"RESUMO FINAL";"BLAZER",#N/A,FALSE,"RESUMO FINAL"}</definedName>
    <definedName name="mi" hidden="1">{"CORSA",#N/A,FALSE,"RESUMO FINAL";"KADETT",#N/A,FALSE,"RESUMO FINAL";"VECTRA",#N/A,FALSE,"RESUMO FINAL";"OMEGA",#N/A,FALSE,"RESUMO FINAL";"S_10",#N/A,FALSE,"RESUMO FINAL";"BLAZER",#N/A,FALSE,"RESUMO FINAL"}</definedName>
    <definedName name="mim" localSheetId="6" hidden="1">{"CORSA",#N/A,FALSE,"RESUMO FINAL";"KADETT",#N/A,FALSE,"RESUMO FINAL";"VECTRA",#N/A,FALSE,"RESUMO FINAL";"OMEGA",#N/A,FALSE,"RESUMO FINAL";"S_10",#N/A,FALSE,"RESUMO FINAL";"BLAZER",#N/A,FALSE,"RESUMO FINAL"}</definedName>
    <definedName name="mim" hidden="1">{"CORSA",#N/A,FALSE,"RESUMO FINAL";"KADETT",#N/A,FALSE,"RESUMO FINAL";"VECTRA",#N/A,FALSE,"RESUMO FINAL";"OMEGA",#N/A,FALSE,"RESUMO FINAL";"S_10",#N/A,FALSE,"RESUMO FINAL";"BLAZER",#N/A,FALSE,"RESUMO FINAL"}</definedName>
    <definedName name="ne" localSheetId="6" hidden="1">{"one (KEY)",#N/A,FALSE,"P&amp;L"}</definedName>
    <definedName name="ne" hidden="1">{"one (KEY)",#N/A,FALSE,"P&amp;L"}</definedName>
    <definedName name="NEW" localSheetId="4" hidden="1">#REF!</definedName>
    <definedName name="NEW" localSheetId="0" hidden="1">#REF!</definedName>
    <definedName name="NEW" localSheetId="2" hidden="1">#REF!</definedName>
    <definedName name="NEW" hidden="1">#REF!</definedName>
    <definedName name="OEM_Group">'Equipment list_11_09_2019'!$M$6</definedName>
    <definedName name="OEM_Number">'Equipment list_11_09_2019'!$B$6</definedName>
    <definedName name="Order2" hidden="1">1</definedName>
    <definedName name="p" localSheetId="6" hidden="1">{#N/A,#N/A,TRUE,"VT Europe";#N/A,#N/A,TRUE,"VT par Fournisseur";#N/A,#N/A,TRUE,"Temps";#N/A,#N/A,TRUE,"Démarrage";#N/A,#N/A,TRUE,"Extinction"}</definedName>
    <definedName name="p" hidden="1">{#N/A,#N/A,TRUE,"VT Europe";#N/A,#N/A,TRUE,"VT par Fournisseur";#N/A,#N/A,TRUE,"Temps";#N/A,#N/A,TRUE,"Démarrage";#N/A,#N/A,TRUE,"Extinction"}</definedName>
    <definedName name="P6改" localSheetId="6" hidden="1">{"SUM ALL YR",#N/A,FALSE,"SUM ALL YR";"sum01",#N/A,FALSE,"SUM 01";"sumM2",#N/A,FALSE,"SUM M2";"sum02",#N/A,FALSE,"SUM 02";"sum03",#N/A,FALSE,"SUM 03";"sum04",#N/A,FALSE,"SUM 04";"sum05",#N/A,FALSE,"SUM 05"}</definedName>
    <definedName name="P6改" hidden="1">{"SUM ALL YR",#N/A,FALSE,"SUM ALL YR";"sum01",#N/A,FALSE,"SUM 01";"sumM2",#N/A,FALSE,"SUM M2";"sum02",#N/A,FALSE,"SUM 02";"sum03",#N/A,FALSE,"SUM 03";"sum04",#N/A,FALSE,"SUM 04";"sum05",#N/A,FALSE,"SUM 05"}</definedName>
    <definedName name="PACKAGE3" localSheetId="6" hidden="1">{#N/A,#N/A,FALSE,"단축1";#N/A,#N/A,FALSE,"단축2";#N/A,#N/A,FALSE,"단축3";#N/A,#N/A,FALSE,"장축";#N/A,#N/A,FALSE,"4WD"}</definedName>
    <definedName name="PACKAGE3" hidden="1">{#N/A,#N/A,FALSE,"단축1";#N/A,#N/A,FALSE,"단축2";#N/A,#N/A,FALSE,"단축3";#N/A,#N/A,FALSE,"장축";#N/A,#N/A,FALSE,"4WD"}</definedName>
    <definedName name="PADWN" localSheetId="4" hidden="1">#REF!</definedName>
    <definedName name="PADWN" localSheetId="0" hidden="1">#REF!</definedName>
    <definedName name="PADWN" localSheetId="2" hidden="1">#REF!</definedName>
    <definedName name="PADWN" hidden="1">#REF!</definedName>
    <definedName name="paulo" localSheetId="6" hidden="1">{"CORSA",#N/A,FALSE,"RESUMO FINAL";"KADETT",#N/A,FALSE,"RESUMO FINAL";"VECTRA",#N/A,FALSE,"RESUMO FINAL";"OMEGA",#N/A,FALSE,"RESUMO FINAL";"S_10",#N/A,FALSE,"RESUMO FINAL";"BLAZER",#N/A,FALSE,"RESUMO FINAL"}</definedName>
    <definedName name="paulo" hidden="1">{"CORSA",#N/A,FALSE,"RESUMO FINAL";"KADETT",#N/A,FALSE,"RESUMO FINAL";"VECTRA",#N/A,FALSE,"RESUMO FINAL";"OMEGA",#N/A,FALSE,"RESUMO FINAL";"S_10",#N/A,FALSE,"RESUMO FINAL";"BLAZER",#N/A,FALSE,"RESUMO FINAL"}</definedName>
    <definedName name="PJ" localSheetId="6" hidden="1">{#N/A,#N/A,FALSE,"초도품";#N/A,#N/A,FALSE,"초도품 (2)";#N/A,#N/A,FALSE,"초도품 (3)";#N/A,#N/A,FALSE,"초도품 (4)";#N/A,#N/A,FALSE,"초도품 (5)";#N/A,#N/A,FALSE,"초도품 (6)"}</definedName>
    <definedName name="PJ" hidden="1">{#N/A,#N/A,FALSE,"초도품";#N/A,#N/A,FALSE,"초도품 (2)";#N/A,#N/A,FALSE,"초도품 (3)";#N/A,#N/A,FALSE,"초도품 (4)";#N/A,#N/A,FALSE,"초도품 (5)";#N/A,#N/A,FALSE,"초도품 (6)"}</definedName>
    <definedName name="plo" hidden="1">255</definedName>
    <definedName name="PPP" localSheetId="4" hidden="1">#REF!</definedName>
    <definedName name="PPP" localSheetId="0" hidden="1">#REF!</definedName>
    <definedName name="PPP" localSheetId="2" hidden="1">#REF!</definedName>
    <definedName name="PPP" hidden="1">#REF!</definedName>
    <definedName name="QE" localSheetId="6" hidden="1">{#N/A,#N/A,FALSE,"초도품";#N/A,#N/A,FALSE,"초도품 (2)";#N/A,#N/A,FALSE,"초도품 (3)";#N/A,#N/A,FALSE,"초도품 (4)";#N/A,#N/A,FALSE,"초도품 (5)";#N/A,#N/A,FALSE,"초도품 (6)"}</definedName>
    <definedName name="QE" hidden="1">{#N/A,#N/A,FALSE,"초도품";#N/A,#N/A,FALSE,"초도품 (2)";#N/A,#N/A,FALSE,"초도품 (3)";#N/A,#N/A,FALSE,"초도품 (4)";#N/A,#N/A,FALSE,"초도품 (5)";#N/A,#N/A,FALSE,"초도품 (6)"}</definedName>
    <definedName name="QQQAAASSS" localSheetId="6" hidden="1">{#N/A,#N/A,TRUE,"Y생산";#N/A,#N/A,TRUE,"Y판매";#N/A,#N/A,TRUE,"Y총물량";#N/A,#N/A,TRUE,"Y능력";#N/A,#N/A,TRUE,"YKD"}</definedName>
    <definedName name="QQQAAASSS" hidden="1">{#N/A,#N/A,TRUE,"Y생산";#N/A,#N/A,TRUE,"Y판매";#N/A,#N/A,TRUE,"Y총물량";#N/A,#N/A,TRUE,"Y능력";#N/A,#N/A,TRUE,"YKD"}</definedName>
    <definedName name="QQQQQQQ" localSheetId="6" hidden="1">{#N/A,#N/A,TRUE,"Y생산";#N/A,#N/A,TRUE,"Y판매";#N/A,#N/A,TRUE,"Y총물량";#N/A,#N/A,TRUE,"Y능력";#N/A,#N/A,TRUE,"YKD"}</definedName>
    <definedName name="QQQQQQQ" hidden="1">{#N/A,#N/A,TRUE,"Y생산";#N/A,#N/A,TRUE,"Y판매";#N/A,#N/A,TRUE,"Y총물량";#N/A,#N/A,TRUE,"Y능력";#N/A,#N/A,TRUE,"YKD"}</definedName>
    <definedName name="quotation" localSheetId="6" hidden="1">{#N/A,#N/A,FALSE,"단축1";#N/A,#N/A,FALSE,"단축2";#N/A,#N/A,FALSE,"단축3";#N/A,#N/A,FALSE,"장축";#N/A,#N/A,FALSE,"4WD"}</definedName>
    <definedName name="quotation" hidden="1">{#N/A,#N/A,FALSE,"단축1";#N/A,#N/A,FALSE,"단축2";#N/A,#N/A,FALSE,"단축3";#N/A,#N/A,FALSE,"장축";#N/A,#N/A,FALSE,"4WD"}</definedName>
    <definedName name="R_COVER" localSheetId="6" hidden="1">{#N/A,#N/A,FALSE,"단축1";#N/A,#N/A,FALSE,"단축2";#N/A,#N/A,FALSE,"단축3";#N/A,#N/A,FALSE,"장축";#N/A,#N/A,FALSE,"4WD"}</definedName>
    <definedName name="R_COVER" hidden="1">{#N/A,#N/A,FALSE,"단축1";#N/A,#N/A,FALSE,"단축2";#N/A,#N/A,FALSE,"단축3";#N/A,#N/A,FALSE,"장축";#N/A,#N/A,FALSE,"4WD"}</definedName>
    <definedName name="RE" localSheetId="6" hidden="1">{#N/A,#N/A,FALSE,"초도품";#N/A,#N/A,FALSE,"초도품 (2)";#N/A,#N/A,FALSE,"초도품 (3)";#N/A,#N/A,FALSE,"초도품 (4)";#N/A,#N/A,FALSE,"초도품 (5)";#N/A,#N/A,FALSE,"초도품 (6)"}</definedName>
    <definedName name="RE" hidden="1">{#N/A,#N/A,FALSE,"초도품";#N/A,#N/A,FALSE,"초도품 (2)";#N/A,#N/A,FALSE,"초도품 (3)";#N/A,#N/A,FALSE,"초도품 (4)";#N/A,#N/A,FALSE,"초도품 (5)";#N/A,#N/A,FALSE,"초도품 (6)"}</definedName>
    <definedName name="Reference" localSheetId="6" hidden="1">{"'Sheet1'!$A$1:$M$38"}</definedName>
    <definedName name="Reference" hidden="1">{"'Sheet1'!$A$1:$M$38"}</definedName>
    <definedName name="Reference2" localSheetId="6" hidden="1">{"'Sheet1'!$A$1:$M$38"}</definedName>
    <definedName name="Reference2" hidden="1">{"'Sheet1'!$A$1:$M$38"}</definedName>
    <definedName name="RESISTOR" localSheetId="6" hidden="1">{#N/A,#N/A,FALSE,"단축1";#N/A,#N/A,FALSE,"단축2";#N/A,#N/A,FALSE,"단축3";#N/A,#N/A,FALSE,"장축";#N/A,#N/A,FALSE,"4WD"}</definedName>
    <definedName name="RESISTOR" hidden="1">{#N/A,#N/A,FALSE,"단축1";#N/A,#N/A,FALSE,"단축2";#N/A,#N/A,FALSE,"단축3";#N/A,#N/A,FALSE,"장축";#N/A,#N/A,FALSE,"4WD"}</definedName>
    <definedName name="RR.BRAKE" localSheetId="6" hidden="1">{#N/A,#N/A,FALSE,"단축1";#N/A,#N/A,FALSE,"단축2";#N/A,#N/A,FALSE,"단축3";#N/A,#N/A,FALSE,"장축";#N/A,#N/A,FALSE,"4WD"}</definedName>
    <definedName name="RR.BRAKE" hidden="1">{#N/A,#N/A,FALSE,"단축1";#N/A,#N/A,FALSE,"단축2";#N/A,#N/A,FALSE,"단축3";#N/A,#N/A,FALSE,"장축";#N/A,#N/A,FALSE,"4WD"}</definedName>
    <definedName name="RR.BRK" localSheetId="6" hidden="1">{#N/A,#N/A,FALSE,"단축1";#N/A,#N/A,FALSE,"단축2";#N/A,#N/A,FALSE,"단축3";#N/A,#N/A,FALSE,"장축";#N/A,#N/A,FALSE,"4WD"}</definedName>
    <definedName name="RR.BRK" hidden="1">{#N/A,#N/A,FALSE,"단축1";#N/A,#N/A,FALSE,"단축2";#N/A,#N/A,FALSE,"단축3";#N/A,#N/A,FALSE,"장축";#N/A,#N/A,FALSE,"4WD"}</definedName>
    <definedName name="RRR" localSheetId="6" hidden="1">{#N/A,#N/A,FALSE,"단축1";#N/A,#N/A,FALSE,"단축2";#N/A,#N/A,FALSE,"단축3";#N/A,#N/A,FALSE,"장축";#N/A,#N/A,FALSE,"4WD"}</definedName>
    <definedName name="RRR" hidden="1">{#N/A,#N/A,FALSE,"단축1";#N/A,#N/A,FALSE,"단축2";#N/A,#N/A,FALSE,"단축3";#N/A,#N/A,FALSE,"장축";#N/A,#N/A,FALSE,"4WD"}</definedName>
    <definedName name="rrrrr" localSheetId="4" hidden="1">#REF!</definedName>
    <definedName name="rrrrr" localSheetId="0" hidden="1">#REF!</definedName>
    <definedName name="rrrrr" localSheetId="2" hidden="1">#REF!</definedName>
    <definedName name="rrrrr" hidden="1">#REF!</definedName>
    <definedName name="RT" localSheetId="6" hidden="1">{#N/A,#N/A,FALSE,"단축1";#N/A,#N/A,FALSE,"단축2";#N/A,#N/A,FALSE,"단축3";#N/A,#N/A,FALSE,"장축";#N/A,#N/A,FALSE,"4WD"}</definedName>
    <definedName name="RT" hidden="1">{#N/A,#N/A,FALSE,"단축1";#N/A,#N/A,FALSE,"단축2";#N/A,#N/A,FALSE,"단축3";#N/A,#N/A,FALSE,"장축";#N/A,#N/A,FALSE,"4WD"}</definedName>
    <definedName name="SAPBEXdnldView" hidden="1">"4D4K4ONUJK2FCDTMOIRJO5GBJ"</definedName>
    <definedName name="SAPBEXrevision" hidden="1">3</definedName>
    <definedName name="SAPBEXsysID" hidden="1">"BP3"</definedName>
    <definedName name="SAPBEXwbID" hidden="1">"3NNL6O7XW2M6D8XH95OKVQM9P"</definedName>
    <definedName name="SD" localSheetId="6" hidden="1">{#N/A,#N/A,FALSE,"인원";#N/A,#N/A,FALSE,"비용2";#N/A,#N/A,FALSE,"비용1";#N/A,#N/A,FALSE,"비용";#N/A,#N/A,FALSE,"보증2";#N/A,#N/A,FALSE,"보증1";#N/A,#N/A,FALSE,"보증";#N/A,#N/A,FALSE,"손익1";#N/A,#N/A,FALSE,"손익";#N/A,#N/A,FALSE,"부서별매출";#N/A,#N/A,FALSE,"매출"}</definedName>
    <definedName name="SD" hidden="1">{#N/A,#N/A,FALSE,"인원";#N/A,#N/A,FALSE,"비용2";#N/A,#N/A,FALSE,"비용1";#N/A,#N/A,FALSE,"비용";#N/A,#N/A,FALSE,"보증2";#N/A,#N/A,FALSE,"보증1";#N/A,#N/A,FALSE,"보증";#N/A,#N/A,FALSE,"손익1";#N/A,#N/A,FALSE,"손익";#N/A,#N/A,FALSE,"부서별매출";#N/A,#N/A,FALSE,"매출"}</definedName>
    <definedName name="SDFGH" localSheetId="6" hidden="1">{#N/A,#N/A,FALSE,"단축1";#N/A,#N/A,FALSE,"단축2";#N/A,#N/A,FALSE,"단축3";#N/A,#N/A,FALSE,"장축";#N/A,#N/A,FALSE,"4WD"}</definedName>
    <definedName name="SDFGH" hidden="1">{#N/A,#N/A,FALSE,"단축1";#N/A,#N/A,FALSE,"단축2";#N/A,#N/A,FALSE,"단축3";#N/A,#N/A,FALSE,"장축";#N/A,#N/A,FALSE,"4WD"}</definedName>
    <definedName name="SDFH" localSheetId="6" hidden="1">{#N/A,#N/A,FALSE,"단축1";#N/A,#N/A,FALSE,"단축2";#N/A,#N/A,FALSE,"단축3";#N/A,#N/A,FALSE,"장축";#N/A,#N/A,FALSE,"4WD"}</definedName>
    <definedName name="SDFH" hidden="1">{#N/A,#N/A,FALSE,"단축1";#N/A,#N/A,FALSE,"단축2";#N/A,#N/A,FALSE,"단축3";#N/A,#N/A,FALSE,"장축";#N/A,#N/A,FALSE,"4WD"}</definedName>
    <definedName name="SDFS" localSheetId="6" hidden="1">{#N/A,#N/A,FALSE,"단축1";#N/A,#N/A,FALSE,"단축2";#N/A,#N/A,FALSE,"단축3";#N/A,#N/A,FALSE,"장축";#N/A,#N/A,FALSE,"4WD"}</definedName>
    <definedName name="SDFS" hidden="1">{#N/A,#N/A,FALSE,"단축1";#N/A,#N/A,FALSE,"단축2";#N/A,#N/A,FALSE,"단축3";#N/A,#N/A,FALSE,"장축";#N/A,#N/A,FALSE,"4WD"}</definedName>
    <definedName name="sdgsd" localSheetId="6" hidden="1">{"Rates_Summ",#N/A,TRUE,"Rates";"I_Poriginal",#N/A,TRUE,"I_P";"Pctgs_original",#N/A,TRUE,"Pctgs";"Rates_Main",#N/A,TRUE,"Rates"}</definedName>
    <definedName name="sdgsd" hidden="1">{"Rates_Summ",#N/A,TRUE,"Rates";"I_Poriginal",#N/A,TRUE,"I_P";"Pctgs_original",#N/A,TRUE,"Pctgs";"Rates_Main",#N/A,TRUE,"Rates"}</definedName>
    <definedName name="SFDGHG" localSheetId="6" hidden="1">{#N/A,#N/A,FALSE,"단축1";#N/A,#N/A,FALSE,"단축2";#N/A,#N/A,FALSE,"단축3";#N/A,#N/A,FALSE,"장축";#N/A,#N/A,FALSE,"4WD"}</definedName>
    <definedName name="SFDGHG" hidden="1">{#N/A,#N/A,FALSE,"단축1";#N/A,#N/A,FALSE,"단축2";#N/A,#N/A,FALSE,"단축3";#N/A,#N/A,FALSE,"장축";#N/A,#N/A,FALSE,"4WD"}</definedName>
    <definedName name="SFGHJK" localSheetId="6" hidden="1">{#N/A,#N/A,FALSE,"단축1";#N/A,#N/A,FALSE,"단축2";#N/A,#N/A,FALSE,"단축3";#N/A,#N/A,FALSE,"장축";#N/A,#N/A,FALSE,"4WD"}</definedName>
    <definedName name="SFGHJK" hidden="1">{#N/A,#N/A,FALSE,"단축1";#N/A,#N/A,FALSE,"단축2";#N/A,#N/A,FALSE,"단축3";#N/A,#N/A,FALSE,"장축";#N/A,#N/A,FALSE,"4WD"}</definedName>
    <definedName name="SFJGH" localSheetId="6" hidden="1">{#N/A,#N/A,FALSE,"단축1";#N/A,#N/A,FALSE,"단축2";#N/A,#N/A,FALSE,"단축3";#N/A,#N/A,FALSE,"장축";#N/A,#N/A,FALSE,"4WD"}</definedName>
    <definedName name="SFJGH" hidden="1">{#N/A,#N/A,FALSE,"단축1";#N/A,#N/A,FALSE,"단축2";#N/A,#N/A,FALSE,"단축3";#N/A,#N/A,FALSE,"장축";#N/A,#N/A,FALSE,"4WD"}</definedName>
    <definedName name="sfsdfds" localSheetId="6" hidden="1">{"Rates_Summ",#N/A,TRUE,"Rates";"I_Poriginal",#N/A,TRUE,"I_P";"Pctgs_original",#N/A,TRUE,"Pctgs";"Rates_Main",#N/A,TRUE,"Rates"}</definedName>
    <definedName name="sfsdfds" hidden="1">{"Rates_Summ",#N/A,TRUE,"Rates";"I_Poriginal",#N/A,TRUE,"I_P";"Pctgs_original",#N/A,TRUE,"Pctgs";"Rates_Main",#N/A,TRUE,"Rates"}</definedName>
    <definedName name="SFSF" localSheetId="6" hidden="1">{#N/A,#N/A,TRUE,"VT Europe";#N/A,#N/A,TRUE,"VT par Fournisseur";#N/A,#N/A,TRUE,"Temps";#N/A,#N/A,TRUE,"Démarrage";#N/A,#N/A,TRUE,"Extinction"}</definedName>
    <definedName name="SFSF" hidden="1">{#N/A,#N/A,TRUE,"VT Europe";#N/A,#N/A,TRUE,"VT par Fournisseur";#N/A,#N/A,TRUE,"Temps";#N/A,#N/A,TRUE,"Démarrage";#N/A,#N/A,TRUE,"Extinction"}</definedName>
    <definedName name="SFSFSFS" localSheetId="6" hidden="1">{#N/A,#N/A,FALSE,"단축1";#N/A,#N/A,FALSE,"단축2";#N/A,#N/A,FALSE,"단축3";#N/A,#N/A,FALSE,"장축";#N/A,#N/A,FALSE,"4WD"}</definedName>
    <definedName name="SFSFSFS" hidden="1">{#N/A,#N/A,FALSE,"단축1";#N/A,#N/A,FALSE,"단축2";#N/A,#N/A,FALSE,"단축3";#N/A,#N/A,FALSE,"장축";#N/A,#N/A,FALSE,"4WD"}</definedName>
    <definedName name="SGFA" localSheetId="6" hidden="1">{#N/A,#N/A,FALSE,"인원";#N/A,#N/A,FALSE,"비용2";#N/A,#N/A,FALSE,"비용1";#N/A,#N/A,FALSE,"비용";#N/A,#N/A,FALSE,"보증2";#N/A,#N/A,FALSE,"보증1";#N/A,#N/A,FALSE,"보증";#N/A,#N/A,FALSE,"손익1";#N/A,#N/A,FALSE,"손익";#N/A,#N/A,FALSE,"부서별매출";#N/A,#N/A,FALSE,"매출"}</definedName>
    <definedName name="SGFA" hidden="1">{#N/A,#N/A,FALSE,"인원";#N/A,#N/A,FALSE,"비용2";#N/A,#N/A,FALSE,"비용1";#N/A,#N/A,FALSE,"비용";#N/A,#N/A,FALSE,"보증2";#N/A,#N/A,FALSE,"보증1";#N/A,#N/A,FALSE,"보증";#N/A,#N/A,FALSE,"손익1";#N/A,#N/A,FALSE,"손익";#N/A,#N/A,FALSE,"부서별매출";#N/A,#N/A,FALSE,"매출"}</definedName>
    <definedName name="SHEET10" localSheetId="6" hidden="1">{#N/A,#N/A,FALSE,"단축1";#N/A,#N/A,FALSE,"단축2";#N/A,#N/A,FALSE,"단축3";#N/A,#N/A,FALSE,"장축";#N/A,#N/A,FALSE,"4WD"}</definedName>
    <definedName name="SHEET10" hidden="1">{#N/A,#N/A,FALSE,"단축1";#N/A,#N/A,FALSE,"단축2";#N/A,#N/A,FALSE,"단축3";#N/A,#N/A,FALSE,"장축";#N/A,#N/A,FALSE,"4WD"}</definedName>
    <definedName name="Site" localSheetId="6" hidden="1">{#N/A,#N/A,FALSE,"단축1";#N/A,#N/A,FALSE,"단축2";#N/A,#N/A,FALSE,"단축3";#N/A,#N/A,FALSE,"장축";#N/A,#N/A,FALSE,"4WD"}</definedName>
    <definedName name="Site" hidden="1">{#N/A,#N/A,FALSE,"단축1";#N/A,#N/A,FALSE,"단축2";#N/A,#N/A,FALSE,"단축3";#N/A,#N/A,FALSE,"장축";#N/A,#N/A,FALSE,"4WD"}</definedName>
    <definedName name="SPEC2" localSheetId="6" hidden="1">{#N/A,#N/A,FALSE,"단축1";#N/A,#N/A,FALSE,"단축2";#N/A,#N/A,FALSE,"단축3";#N/A,#N/A,FALSE,"장축";#N/A,#N/A,FALSE,"4WD"}</definedName>
    <definedName name="SPEC2" hidden="1">{#N/A,#N/A,FALSE,"단축1";#N/A,#N/A,FALSE,"단축2";#N/A,#N/A,FALSE,"단축3";#N/A,#N/A,FALSE,"장축";#N/A,#N/A,FALSE,"4WD"}</definedName>
    <definedName name="SPEC22" localSheetId="6" hidden="1">{#N/A,#N/A,FALSE,"단축1";#N/A,#N/A,FALSE,"단축2";#N/A,#N/A,FALSE,"단축3";#N/A,#N/A,FALSE,"장축";#N/A,#N/A,FALSE,"4WD"}</definedName>
    <definedName name="SPEC22" hidden="1">{#N/A,#N/A,FALSE,"단축1";#N/A,#N/A,FALSE,"단축2";#N/A,#N/A,FALSE,"단축3";#N/A,#N/A,FALSE,"장축";#N/A,#N/A,FALSE,"4WD"}</definedName>
    <definedName name="SS" localSheetId="6" hidden="1">{#N/A,#N/A,FALSE,"단축1";#N/A,#N/A,FALSE,"단축2";#N/A,#N/A,FALSE,"단축3";#N/A,#N/A,FALSE,"장축";#N/A,#N/A,FALSE,"4WD"}</definedName>
    <definedName name="SS" hidden="1">{#N/A,#N/A,FALSE,"단축1";#N/A,#N/A,FALSE,"단축2";#N/A,#N/A,FALSE,"단축3";#N/A,#N/A,FALSE,"장축";#N/A,#N/A,FALSE,"4WD"}</definedName>
    <definedName name="sssssss" localSheetId="6" hidden="1">{"'Sheet1'!$A$1:$M$38"}</definedName>
    <definedName name="sssssss" hidden="1">{"'Sheet1'!$A$1:$M$38"}</definedName>
    <definedName name="sww" localSheetId="6" hidden="1">{"bbtday",#N/A,FALSE,"ban0930";"banksday",#N/A,FALSE,"ban0930";"compday",#N/A,FALSE,"ban0930"}</definedName>
    <definedName name="sww" hidden="1">{"bbtday",#N/A,FALSE,"ban0930";"banksday",#N/A,FALSE,"ban0930";"compday",#N/A,FALSE,"ban0930"}</definedName>
    <definedName name="t" localSheetId="6" hidden="1">{#N/A,#N/A,TRUE,"VT Europe";#N/A,#N/A,TRUE,"VT par Fournisseur";#N/A,#N/A,TRUE,"Temps";#N/A,#N/A,TRUE,"Démarrage";#N/A,#N/A,TRUE,"Extinction"}</definedName>
    <definedName name="t" hidden="1">{#N/A,#N/A,TRUE,"VT Europe";#N/A,#N/A,TRUE,"VT par Fournisseur";#N/A,#N/A,TRUE,"Temps";#N/A,#N/A,TRUE,"Démarrage";#N/A,#N/A,TRUE,"Extinction"}</definedName>
    <definedName name="TB전체일정_2" localSheetId="6" hidden="1">{#N/A,#N/A,FALSE,"단축1";#N/A,#N/A,FALSE,"단축2";#N/A,#N/A,FALSE,"단축3";#N/A,#N/A,FALSE,"장축";#N/A,#N/A,FALSE,"4WD"}</definedName>
    <definedName name="TB전체일정_2" hidden="1">{#N/A,#N/A,FALSE,"단축1";#N/A,#N/A,FALSE,"단축2";#N/A,#N/A,FALSE,"단축3";#N/A,#N/A,FALSE,"장축";#N/A,#N/A,FALSE,"4WD"}</definedName>
    <definedName name="tc" localSheetId="6" hidden="1">{#N/A,#N/A,FALSE,"단축1";#N/A,#N/A,FALSE,"단축2";#N/A,#N/A,FALSE,"단축3";#N/A,#N/A,FALSE,"장축";#N/A,#N/A,FALSE,"4WD"}</definedName>
    <definedName name="tc" hidden="1">{#N/A,#N/A,FALSE,"단축1";#N/A,#N/A,FALSE,"단축2";#N/A,#N/A,FALSE,"단축3";#N/A,#N/A,FALSE,"장축";#N/A,#N/A,FALSE,"4WD"}</definedName>
    <definedName name="tci" localSheetId="6" hidden="1">{#N/A,#N/A,FALSE,"단축1";#N/A,#N/A,FALSE,"단축2";#N/A,#N/A,FALSE,"단축3";#N/A,#N/A,FALSE,"장축";#N/A,#N/A,FALSE,"4WD"}</definedName>
    <definedName name="tci" hidden="1">{#N/A,#N/A,FALSE,"단축1";#N/A,#N/A,FALSE,"단축2";#N/A,#N/A,FALSE,"단축3";#N/A,#N/A,FALSE,"장축";#N/A,#N/A,FALSE,"4WD"}</definedName>
    <definedName name="Tools" localSheetId="6" hidden="1">{"EXPORT",#N/A,FALSE,"A8CONTENT"}</definedName>
    <definedName name="Tools" hidden="1">{"EXPORT",#N/A,FALSE,"A8CONTENT"}</definedName>
    <definedName name="tools2" localSheetId="6" hidden="1">{"EXPORT",#N/A,FALSE,"A8CONTENT"}</definedName>
    <definedName name="tools2" hidden="1">{"EXPORT",#N/A,FALSE,"A8CONTENT"}</definedName>
    <definedName name="TORSION" localSheetId="6" hidden="1">{#N/A,#N/A,FALSE,"단축1";#N/A,#N/A,FALSE,"단축2";#N/A,#N/A,FALSE,"단축3";#N/A,#N/A,FALSE,"장축";#N/A,#N/A,FALSE,"4WD"}</definedName>
    <definedName name="TORSION" hidden="1">{#N/A,#N/A,FALSE,"단축1";#N/A,#N/A,FALSE,"단축2";#N/A,#N/A,FALSE,"단축3";#N/A,#N/A,FALSE,"장축";#N/A,#N/A,FALSE,"4WD"}</definedName>
    <definedName name="tousi" localSheetId="6" hidden="1">{"RES-2002",#N/A,FALSE,"BL2000";"A1-2002",#N/A,FALSE,"BL2000";"A2-2002",#N/A,FALSE,"BL2000"}</definedName>
    <definedName name="tousi" hidden="1">{"RES-2002",#N/A,FALSE,"BL2000";"A1-2002",#N/A,FALSE,"BL2000";"A2-2002",#N/A,FALSE,"BL2000"}</definedName>
    <definedName name="trim" localSheetId="4" hidden="1">#REF!</definedName>
    <definedName name="trim" localSheetId="0" hidden="1">#REF!</definedName>
    <definedName name="trim" localSheetId="2" hidden="1">#REF!</definedName>
    <definedName name="trim" hidden="1">#REF!</definedName>
    <definedName name="trim1" localSheetId="4" hidden="1">#REF!</definedName>
    <definedName name="trim1" localSheetId="0" hidden="1">#REF!</definedName>
    <definedName name="trim1" localSheetId="2" hidden="1">#REF!</definedName>
    <definedName name="trim1" hidden="1">#REF!</definedName>
    <definedName name="TT" localSheetId="6" hidden="1">{#N/A,#N/A,FALSE,"단축1";#N/A,#N/A,FALSE,"단축2";#N/A,#N/A,FALSE,"단축3";#N/A,#N/A,FALSE,"장축";#N/A,#N/A,FALSE,"4WD"}</definedName>
    <definedName name="TT" hidden="1">{#N/A,#N/A,FALSE,"단축1";#N/A,#N/A,FALSE,"단축2";#N/A,#N/A,FALSE,"단축3";#N/A,#N/A,FALSE,"장축";#N/A,#N/A,FALSE,"4WD"}</definedName>
    <definedName name="TTT"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TTT"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TY" localSheetId="4" hidden="1">#REF!</definedName>
    <definedName name="TY" localSheetId="0" hidden="1">#REF!</definedName>
    <definedName name="TY" localSheetId="2" hidden="1">#REF!</definedName>
    <definedName name="TY" hidden="1">#REF!</definedName>
    <definedName name="TYRUI" localSheetId="6" hidden="1">{#N/A,#N/A,FALSE,"단축1";#N/A,#N/A,FALSE,"단축2";#N/A,#N/A,FALSE,"단축3";#N/A,#N/A,FALSE,"장축";#N/A,#N/A,FALSE,"4WD"}</definedName>
    <definedName name="TYRUI" hidden="1">{#N/A,#N/A,FALSE,"단축1";#N/A,#N/A,FALSE,"단축2";#N/A,#N/A,FALSE,"단축3";#N/A,#N/A,FALSE,"장축";#N/A,#N/A,FALSE,"4WD"}</definedName>
    <definedName name="TYYYYY" localSheetId="6" hidden="1">{#N/A,#N/A,FALSE,"단축1";#N/A,#N/A,FALSE,"단축2";#N/A,#N/A,FALSE,"단축3";#N/A,#N/A,FALSE,"장축";#N/A,#N/A,FALSE,"4WD"}</definedName>
    <definedName name="TYYYYY" hidden="1">{#N/A,#N/A,FALSE,"단축1";#N/A,#N/A,FALSE,"단축2";#N/A,#N/A,FALSE,"단축3";#N/A,#N/A,FALSE,"장축";#N/A,#N/A,FALSE,"4WD"}</definedName>
    <definedName name="volume2" localSheetId="6" hidden="1">{"SUM GER",#N/A,FALSE,"SUM GER";"SUM FRA",#N/A,FALSE,"SUM FRA";"SUM ITA",#N/A,FALSE,"SUM ITA";"SUM SPA",#N/A,FALSE,"SUM SPA";"SUM EGB",#N/A,FALSE,"SUM EGB";"SUM IND",#N/A,FALSE,"SUM IND"}</definedName>
    <definedName name="volume2" hidden="1">{"SUM GER",#N/A,FALSE,"SUM GER";"SUM FRA",#N/A,FALSE,"SUM FRA";"SUM ITA",#N/A,FALSE,"SUM ITA";"SUM SPA",#N/A,FALSE,"SUM SPA";"SUM EGB",#N/A,FALSE,"SUM EGB";"SUM IND",#N/A,FALSE,"SUM IND"}</definedName>
    <definedName name="vvvv" localSheetId="6" hidden="1">{"bbtday",#N/A,FALSE,"ban0930";"banksday",#N/A,FALSE,"ban0930";"compday",#N/A,FALSE,"ban0930"}</definedName>
    <definedName name="vvvv" hidden="1">{"bbtday",#N/A,FALSE,"ban0930";"banksday",#N/A,FALSE,"ban0930";"compday",#N/A,FALSE,"ban0930"}</definedName>
    <definedName name="VZXSF"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VZXSF"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61C" localSheetId="6" hidden="1">{"AnaM1",#N/A,FALSE,"AnalisisM";"AnaM2",#N/A,FALSE,"AnalisisM";"AnaM3",#N/A,FALSE,"AnalisisM"}</definedName>
    <definedName name="W61C" hidden="1">{"AnaM1",#N/A,FALSE,"AnalisisM";"AnaM2",#N/A,FALSE,"AnalisisM";"AnaM3",#N/A,FALSE,"AnalisisM"}</definedName>
    <definedName name="W61C直接固定費" localSheetId="6" hidden="1">{"SUM GER",#N/A,FALSE,"SUM GER";"SUM FRA",#N/A,FALSE,"SUM FRA";"SUM ITA",#N/A,FALSE,"SUM ITA";"SUM SPA",#N/A,FALSE,"SUM SPA";"SUM EGB",#N/A,FALSE,"SUM EGB";"SUM IND",#N/A,FALSE,"SUM IND"}</definedName>
    <definedName name="W61C直接固定費" hidden="1">{"SUM GER",#N/A,FALSE,"SUM GER";"SUM FRA",#N/A,FALSE,"SUM FRA";"SUM ITA",#N/A,FALSE,"SUM ITA";"SUM SPA",#N/A,FALSE,"SUM SPA";"SUM EGB",#N/A,FALSE,"SUM EGB";"SUM IND",#N/A,FALSE,"SUM IND"}</definedName>
    <definedName name="WE" localSheetId="6" hidden="1">{#N/A,#N/A,FALSE,"인원";#N/A,#N/A,FALSE,"비용2";#N/A,#N/A,FALSE,"비용1";#N/A,#N/A,FALSE,"비용";#N/A,#N/A,FALSE,"보증2";#N/A,#N/A,FALSE,"보증1";#N/A,#N/A,FALSE,"보증";#N/A,#N/A,FALSE,"손익1";#N/A,#N/A,FALSE,"손익";#N/A,#N/A,FALSE,"부서별매출";#N/A,#N/A,FALSE,"매출"}</definedName>
    <definedName name="WE" hidden="1">{#N/A,#N/A,FALSE,"인원";#N/A,#N/A,FALSE,"비용2";#N/A,#N/A,FALSE,"비용1";#N/A,#N/A,FALSE,"비용";#N/A,#N/A,FALSE,"보증2";#N/A,#N/A,FALSE,"보증1";#N/A,#N/A,FALSE,"보증";#N/A,#N/A,FALSE,"손익1";#N/A,#N/A,FALSE,"손익";#N/A,#N/A,FALSE,"부서별매출";#N/A,#N/A,FALSE,"매출"}</definedName>
    <definedName name="WEARF" localSheetId="6" hidden="1">{#N/A,#N/A,TRUE,"Y생산";#N/A,#N/A,TRUE,"Y판매";#N/A,#N/A,TRUE,"Y총물량";#N/A,#N/A,TRUE,"Y능력";#N/A,#N/A,TRUE,"YKD"}</definedName>
    <definedName name="WEARF" hidden="1">{#N/A,#N/A,TRUE,"Y생산";#N/A,#N/A,TRUE,"Y판매";#N/A,#N/A,TRUE,"Y총물량";#N/A,#N/A,TRUE,"Y능력";#N/A,#N/A,TRUE,"YKD"}</definedName>
    <definedName name="wepfgmn" localSheetId="6" hidden="1">{"DOM",#N/A,FALSE,"A8CONTENT"}</definedName>
    <definedName name="wepfgmn" hidden="1">{"DOM",#N/A,FALSE,"A8CONTENT"}</definedName>
    <definedName name="WEQ" localSheetId="6" hidden="1">{#N/A,#N/A,FALSE,"단축1";#N/A,#N/A,FALSE,"단축2";#N/A,#N/A,FALSE,"단축3";#N/A,#N/A,FALSE,"장축";#N/A,#N/A,FALSE,"4WD"}</definedName>
    <definedName name="WEQ" hidden="1">{#N/A,#N/A,FALSE,"단축1";#N/A,#N/A,FALSE,"단축2";#N/A,#N/A,FALSE,"단축3";#N/A,#N/A,FALSE,"장축";#N/A,#N/A,FALSE,"4WD"}</definedName>
    <definedName name="WERTY" localSheetId="6" hidden="1">{#N/A,#N/A,FALSE,"단축1";#N/A,#N/A,FALSE,"단축2";#N/A,#N/A,FALSE,"단축3";#N/A,#N/A,FALSE,"장축";#N/A,#N/A,FALSE,"4WD"}</definedName>
    <definedName name="WERTY" hidden="1">{#N/A,#N/A,FALSE,"단축1";#N/A,#N/A,FALSE,"단축2";#N/A,#N/A,FALSE,"단축3";#N/A,#N/A,FALSE,"장축";#N/A,#N/A,FALSE,"4WD"}</definedName>
    <definedName name="WETY" localSheetId="6" hidden="1">{#N/A,#N/A,FALSE,"단축1";#N/A,#N/A,FALSE,"단축2";#N/A,#N/A,FALSE,"단축3";#N/A,#N/A,FALSE,"장축";#N/A,#N/A,FALSE,"4WD"}</definedName>
    <definedName name="WETY" hidden="1">{#N/A,#N/A,FALSE,"단축1";#N/A,#N/A,FALSE,"단축2";#N/A,#N/A,FALSE,"단축3";#N/A,#N/A,FALSE,"장축";#N/A,#N/A,FALSE,"4WD"}</definedName>
    <definedName name="WHRL" localSheetId="6" hidden="1">{#N/A,#N/A,FALSE,"단축1";#N/A,#N/A,FALSE,"단축2";#N/A,#N/A,FALSE,"단축3";#N/A,#N/A,FALSE,"장축";#N/A,#N/A,FALSE,"4WD"}</definedName>
    <definedName name="WHRL" hidden="1">{#N/A,#N/A,FALSE,"단축1";#N/A,#N/A,FALSE,"단축2";#N/A,#N/A,FALSE,"단축3";#N/A,#N/A,FALSE,"장축";#N/A,#N/A,FALSE,"4WD"}</definedName>
    <definedName name="wrn" localSheetId="6" hidden="1">{#N/A,#N/A,FALSE,"단축1";#N/A,#N/A,FALSE,"단축2";#N/A,#N/A,FALSE,"단축3";#N/A,#N/A,FALSE,"장축";#N/A,#N/A,FALSE,"4WD"}</definedName>
    <definedName name="wrn" hidden="1">{#N/A,#N/A,FALSE,"단축1";#N/A,#N/A,FALSE,"단축2";#N/A,#N/A,FALSE,"단축3";#N/A,#N/A,FALSE,"장축";#N/A,#N/A,FALSE,"4WD"}</definedName>
    <definedName name="wrn.00._.PD2._.Final._.Report." localSheetId="6" hidden="1">{#N/A,#N/A,FALSE,"Checklist";#N/A,#N/A,FALSE,"Approval Page";#N/A,#N/A,FALSE,"PD2 Cover Sheet";#N/A,#N/A,FALSE,"PD2";#N/A,#N/A,FALSE,"Summary";#N/A,#N/A,FALSE,"Program Deliverables";#N/A,#N/A,FALSE,"Labor Model";#N/A,#N/A,FALSE,"Testing 3A";#N/A,#N/A,FALSE,"Testing 3B";#N/A,#N/A,FALSE,"Testing 3C";#N/A,#N/A,FALSE,"FEA";#N/A,#N/A,FALSE,"BOM 3A";#N/A,#N/A,FALSE,"BOM 3B";#N/A,#N/A,FALSE,"BOM 3C"}</definedName>
    <definedName name="wrn.00._.PD2._.Final._.Report." hidden="1">{#N/A,#N/A,FALSE,"Checklist";#N/A,#N/A,FALSE,"Approval Page";#N/A,#N/A,FALSE,"PD2 Cover Sheet";#N/A,#N/A,FALSE,"PD2";#N/A,#N/A,FALSE,"Summary";#N/A,#N/A,FALSE,"Program Deliverables";#N/A,#N/A,FALSE,"Labor Model";#N/A,#N/A,FALSE,"Testing 3A";#N/A,#N/A,FALSE,"Testing 3B";#N/A,#N/A,FALSE,"Testing 3C";#N/A,#N/A,FALSE,"FEA";#N/A,#N/A,FALSE,"BOM 3A";#N/A,#N/A,FALSE,"BOM 3B";#N/A,#N/A,FALSE,"BOM 3C"}</definedName>
    <definedName name="wrn.1._.Program._.Deliverables." localSheetId="6" hidden="1">{#N/A,#N/A,FALSE,"Program Deliverables"}</definedName>
    <definedName name="wrn.1._.Program._.Deliverables." hidden="1">{#N/A,#N/A,FALSE,"Program Deliverables"}</definedName>
    <definedName name="wrn.1._.TODO." localSheetId="6" hidden="1">{"BL2000",#N/A,FALSE,"BL2000";"PL2000",#N/A,FALSE,"BL2000";"PT2000",#N/A,FALSE,"BL2000";"INCPRE2000",#N/A,FALSE,"BL2000";"COMNUS2000",#N/A,FALSE,"BL2000";"COMJPN2000",#N/A,FALSE,"BL2000";"B10-2000",#N/A,FALSE,"BL2000"}</definedName>
    <definedName name="wrn.1._.TODO." hidden="1">{"BL2000",#N/A,FALSE,"BL2000";"PL2000",#N/A,FALSE,"BL2000";"PT2000",#N/A,FALSE,"BL2000";"INCPRE2000",#N/A,FALSE,"BL2000";"COMNUS2000",#N/A,FALSE,"BL2000";"COMJPN2000",#N/A,FALSE,"BL2000";"B10-2000",#N/A,FALSE,"BL2000"}</definedName>
    <definedName name="wrn.1TODO." localSheetId="6" hidden="1">{"RESUMEN",#N/A,FALSE,"BASE ANEXOS";"ANEXO 1",#N/A,FALSE,"BASE ANEXOS";"ANEXO 2",#N/A,FALSE,"BASE ANEXOS";"CTO MES ANT",#N/A,FALSE,"BASE ANEXOS";"CTO MES ACTUAL",#N/A,FALSE,"BASE ANEXOS";"CTO ACUMULADO",#N/A,FALSE,"BASE ANEXOS";"CTO COMPARATIVO",#N/A,FALSE,"BASE ANEXOS";"VAR MES ANT",#N/A,FALSE,"BASE ANEXOS";"VAR MES ACT",#N/A,FALSE,"BASE ANEXOS";"VAR ACUMULADAS",#N/A,FALSE,"BASE ANEXOS"}</definedName>
    <definedName name="wrn.1TODO." hidden="1">{"RESUMEN",#N/A,FALSE,"BASE ANEXOS";"ANEXO 1",#N/A,FALSE,"BASE ANEXOS";"ANEXO 2",#N/A,FALSE,"BASE ANEXOS";"CTO MES ANT",#N/A,FALSE,"BASE ANEXOS";"CTO MES ACTUAL",#N/A,FALSE,"BASE ANEXOS";"CTO ACUMULADO",#N/A,FALSE,"BASE ANEXOS";"CTO COMPARATIVO",#N/A,FALSE,"BASE ANEXOS";"VAR MES ANT",#N/A,FALSE,"BASE ANEXOS";"VAR MES ACT",#N/A,FALSE,"BASE ANEXOS";"VAR ACUMULADAS",#N/A,FALSE,"BASE ANEXOS"}</definedName>
    <definedName name="wrn.2._.Labor._.Model." localSheetId="6" hidden="1">{#N/A,#N/A,FALSE,"Labor Model"}</definedName>
    <definedName name="wrn.2._.Labor._.Model." hidden="1">{#N/A,#N/A,FALSE,"Labor Model"}</definedName>
    <definedName name="wrn.2000." localSheetId="6" hidden="1">{"RES-2000",#N/A,FALSE,"BL2000";"A1-2000",#N/A,FALSE,"BL2000";"A2-2000",#N/A,FALSE,"BL2000"}</definedName>
    <definedName name="wrn.2000." hidden="1">{"RES-2000",#N/A,FALSE,"BL2000";"A1-2000",#N/A,FALSE,"BL2000";"A2-2000",#N/A,FALSE,"BL2000"}</definedName>
    <definedName name="wrn.2001." localSheetId="6" hidden="1">{"RES-2001",#N/A,FALSE,"BL2000";"A1-2001",#N/A,FALSE,"BL2000";"A2-2001",#N/A,FALSE,"BL2000"}</definedName>
    <definedName name="wrn.2001." hidden="1">{"RES-2001",#N/A,FALSE,"BL2000";"A1-2001",#N/A,FALSE,"BL2000";"A2-2001",#N/A,FALSE,"BL2000"}</definedName>
    <definedName name="wrn.2002." localSheetId="6" hidden="1">{"RES-2002",#N/A,FALSE,"BL2000";"A1-2002",#N/A,FALSE,"BL2000";"A2-2002",#N/A,FALSE,"BL2000"}</definedName>
    <definedName name="wrn.2002." hidden="1">{"RES-2002",#N/A,FALSE,"BL2000";"A1-2002",#N/A,FALSE,"BL2000";"A2-2002",#N/A,FALSE,"BL2000"}</definedName>
    <definedName name="wrn.2003." localSheetId="6" hidden="1">{"RES-2002",#N/A,FALSE,"BL2000";"A1-2002",#N/A,FALSE,"BL2000";"A2-2002",#N/A,FALSE,"BL2000"}</definedName>
    <definedName name="wrn.2003." hidden="1">{"RES-2002",#N/A,FALSE,"BL2000";"A1-2002",#N/A,FALSE,"BL2000";"A2-2002",#N/A,FALSE,"BL2000"}</definedName>
    <definedName name="wrn.3._.BOM._.Phase._.3A." localSheetId="6" hidden="1">{#N/A,#N/A,FALSE,"BOM 3A"}</definedName>
    <definedName name="wrn.3._.BOM._.Phase._.3A." hidden="1">{#N/A,#N/A,FALSE,"BOM 3A"}</definedName>
    <definedName name="wrn.4._.BOM._.Phase._.3B." localSheetId="6" hidden="1">{#N/A,#N/A,FALSE,"BOM 3B"}</definedName>
    <definedName name="wrn.4._.BOM._.Phase._.3B." hidden="1">{#N/A,#N/A,FALSE,"BOM 3B"}</definedName>
    <definedName name="wrn.5._.BOM._.Phase._.3C." localSheetId="6" hidden="1">{#N/A,#N/A,FALSE,"BOM 3C"}</definedName>
    <definedName name="wrn.5._.BOM._.Phase._.3C." hidden="1">{#N/A,#N/A,FALSE,"BOM 3C"}</definedName>
    <definedName name="wrn.6._.Testing._.Phase._.3A." localSheetId="6" hidden="1">{#N/A,#N/A,FALSE,"Testing 3A"}</definedName>
    <definedName name="wrn.6._.Testing._.Phase._.3A." hidden="1">{#N/A,#N/A,FALSE,"Testing 3A"}</definedName>
    <definedName name="wrn.7._.Testing._.Phase._.3B." localSheetId="6" hidden="1">{#N/A,#N/A,FALSE,"Testing 3B"}</definedName>
    <definedName name="wrn.7._.Testing._.Phase._.3B." hidden="1">{#N/A,#N/A,FALSE,"Testing 3B"}</definedName>
    <definedName name="wrn.8._.Testing._.Phase._.3C." localSheetId="6" hidden="1">{#N/A,#N/A,FALSE,"Testing 3C"}</definedName>
    <definedName name="wrn.8._.Testing._.Phase._.3C." hidden="1">{#N/A,#N/A,FALSE,"Testing 3C"}</definedName>
    <definedName name="wrn.9._.FEA." localSheetId="6" hidden="1">{#N/A,#N/A,FALSE,"FEA"}</definedName>
    <definedName name="wrn.9._.FEA." hidden="1">{#N/A,#N/A,FALSE,"FEA"}</definedName>
    <definedName name="wrn.ACL._.Summary." localSheetId="6" hidden="1">{#N/A,#N/A,FALSE,"122-123"}</definedName>
    <definedName name="wrn.ACL._.Summary." hidden="1">{#N/A,#N/A,FALSE,"122-123"}</definedName>
    <definedName name="wrn.ACUMULADOS." localSheetId="6" hidden="1">{"CTO ACUMULADO",#N/A,FALSE,"BASE ANEXOS";"VAR ACUMULADAS",#N/A,FALSE,"BASE ANEXOS"}</definedName>
    <definedName name="wrn.ACUMULADOS." hidden="1">{"CTO ACUMULADO",#N/A,FALSE,"BASE ANEXOS";"VAR ACUMULADAS",#N/A,FALSE,"BASE ANEXOS"}</definedName>
    <definedName name="wrn.Admin._.Allocation." localSheetId="6" hidden="1">{"Rates_Summ",#N/A,TRUE,"Rates";"I_Poriginal",#N/A,TRUE,"I_P";"Pctgs_original",#N/A,TRUE,"Pctgs";"Rates_Main",#N/A,TRUE,"Rates"}</definedName>
    <definedName name="wrn.Admin._.Allocation." hidden="1">{"Rates_Summ",#N/A,TRUE,"Rates";"I_Poriginal",#N/A,TRUE,"I_P";"Pctgs_original",#N/A,TRUE,"Pctgs";"Rates_Main",#N/A,TRUE,"Rates"}</definedName>
    <definedName name="wrn.Analisis._.Acumulado." localSheetId="6" hidden="1">{"Ana1",#N/A,FALSE,"AnalisisA";"Ana2",#N/A,FALSE,"AnalisisA";"Ana3",#N/A,FALSE,"AnalisisA"}</definedName>
    <definedName name="wrn.Analisis._.Acumulado." hidden="1">{"Ana1",#N/A,FALSE,"AnalisisA";"Ana2",#N/A,FALSE,"AnalisisA";"Ana3",#N/A,FALSE,"AnalisisA"}</definedName>
    <definedName name="wrn.Analisis._.Mensual." localSheetId="6" hidden="1">{"AnaM1",#N/A,FALSE,"AnalisisM";"AnaM2",#N/A,FALSE,"AnalisisM";"AnaM3",#N/A,FALSE,"AnalisisM"}</definedName>
    <definedName name="wrn.Analisis._.Mensual." hidden="1">{"AnaM1",#N/A,FALSE,"AnalisisM";"AnaM2",#N/A,FALSE,"AnalisisM";"AnaM3",#N/A,FALSE,"AnalisisM"}</definedName>
    <definedName name="wrn.AU._.검사성적서." localSheetId="6" hidden="1">{#N/A,#N/A,FALSE,"을지 (4)";#N/A,#N/A,FALSE,"을지 (5)";#N/A,#N/A,FALSE,"을지 (6)"}</definedName>
    <definedName name="wrn.AU._.검사성적서." hidden="1">{#N/A,#N/A,FALSE,"을지 (4)";#N/A,#N/A,FALSE,"을지 (5)";#N/A,#N/A,FALSE,"을지 (6)"}</definedName>
    <definedName name="wrn.AU._.초도품._.보증서." localSheetId="6" hidden="1">{#N/A,#N/A,FALSE,"초도품";#N/A,#N/A,FALSE,"초도품 (2)";#N/A,#N/A,FALSE,"초도품 (3)";#N/A,#N/A,FALSE,"초도품 (4)";#N/A,#N/A,FALSE,"초도품 (5)";#N/A,#N/A,FALSE,"초도품 (6)"}</definedName>
    <definedName name="wrn.AU._.초도품._.보증서." hidden="1">{#N/A,#N/A,FALSE,"초도품";#N/A,#N/A,FALSE,"초도품 (2)";#N/A,#N/A,FALSE,"초도품 (3)";#N/A,#N/A,FALSE,"초도품 (4)";#N/A,#N/A,FALSE,"초도품 (5)";#N/A,#N/A,FALSE,"초도품 (6)"}</definedName>
    <definedName name="wrn.B10." localSheetId="6" hidden="1">{"B10-2000",#N/A,FALSE,"BL2000"}</definedName>
    <definedName name="wrn.B10." hidden="1">{"B10-2000",#N/A,FALSE,"BL2000"}</definedName>
    <definedName name="wrn.BL." localSheetId="6" hidden="1">{"BL2000",#N/A,FALSE,"BL2000"}</definedName>
    <definedName name="wrn.BL." hidden="1">{"BL2000",#N/A,FALSE,"BL2000"}</definedName>
    <definedName name="wrn.BOMs." localSheetId="6" hidden="1">{#N/A,#N/A,FALSE,"BOM 3A";#N/A,#N/A,FALSE,"BOM 3B";#N/A,#N/A,FALSE,"BOM 3C"}</definedName>
    <definedName name="wrn.BOMs." hidden="1">{#N/A,#N/A,FALSE,"BOM 3A";#N/A,#N/A,FALSE,"BOM 3B";#N/A,#N/A,FALSE,"BOM 3C"}</definedName>
    <definedName name="wrn.Business._.Plan._.Gesamt." localSheetId="6" hidden="1">{#N/A,#N/A,FALSE,"Program Financial Data, Level 1";#N/A,#N/A,FALSE,"Input";#N/A,#N/A,FALSE,"ROA";#N/A,#N/A,FALSE,"FJS";#N/A,#N/A,FALSE,"Business Plan";#N/A,#N/A,FALSE,"Volume + Sales";#N/A,#N/A,FALSE,"Material Costs";#N/A,#N/A,FALSE,"Production Costs";#N/A,#N/A,FALSE,"Logistic";#N/A,#N/A,FALSE,"Other Product Costs";#N/A,#N/A,FALSE,"Eng.-Budg. Develop.";#N/A,#N/A,FALSE,"Prod.Kosten Entw.";#N/A,#N/A,FALSE,"HK-Kalkulation25-02-02";#N/A,#N/A,FALSE,"HK-Kalkulation 12-12-01";#N/A,#N/A,FALSE,"MMS";#N/A,#N/A,FALSE,"Invest Development Actual";#N/A,#N/A,FALSE,"Invest 25-02-01";#N/A,#N/A,FALSE,"BOM 310102";#N/A,#N/A,FALSE,"Total Project Cost Summary ";#N/A,#N/A,FALSE,"Status BP"}</definedName>
    <definedName name="wrn.Business._.Plan._.Gesamt." hidden="1">{#N/A,#N/A,FALSE,"Program Financial Data, Level 1";#N/A,#N/A,FALSE,"Input";#N/A,#N/A,FALSE,"ROA";#N/A,#N/A,FALSE,"FJS";#N/A,#N/A,FALSE,"Business Plan";#N/A,#N/A,FALSE,"Volume + Sales";#N/A,#N/A,FALSE,"Material Costs";#N/A,#N/A,FALSE,"Production Costs";#N/A,#N/A,FALSE,"Logistic";#N/A,#N/A,FALSE,"Other Product Costs";#N/A,#N/A,FALSE,"Eng.-Budg. Develop.";#N/A,#N/A,FALSE,"Prod.Kosten Entw.";#N/A,#N/A,FALSE,"HK-Kalkulation25-02-02";#N/A,#N/A,FALSE,"HK-Kalkulation 12-12-01";#N/A,#N/A,FALSE,"MMS";#N/A,#N/A,FALSE,"Invest Development Actual";#N/A,#N/A,FALSE,"Invest 25-02-01";#N/A,#N/A,FALSE,"BOM 310102";#N/A,#N/A,FALSE,"Total Project Cost Summary ";#N/A,#N/A,FALSE,"Status BP"}</definedName>
    <definedName name="wrn.BY._.COUNTRY._.BY._.ENGINE._.BY._.YEAR." localSheetId="6" hidden="1">{"SUM GER",#N/A,FALSE,"SUM GER";"SUM FRA",#N/A,FALSE,"SUM FRA";"SUM ITA",#N/A,FALSE,"SUM ITA";"SUM SPA",#N/A,FALSE,"SUM SPA";"SUM EGB",#N/A,FALSE,"SUM EGB";"SUM IND",#N/A,FALSE,"SUM IND"}</definedName>
    <definedName name="wrn.BY._.COUNTRY._.BY._.ENGINE._.BY._.YEAR." hidden="1">{"SUM GER",#N/A,FALSE,"SUM GER";"SUM FRA",#N/A,FALSE,"SUM FRA";"SUM ITA",#N/A,FALSE,"SUM ITA";"SUM SPA",#N/A,FALSE,"SUM SPA";"SUM EGB",#N/A,FALSE,"SUM EGB";"SUM IND",#N/A,FALSE,"SUM IND"}</definedName>
    <definedName name="wrn.BY._.YEAR._.BY._.COUNTRY." localSheetId="6" hidden="1">{"SUM ALL YR",#N/A,FALSE,"SUM ALL YR";"sum01",#N/A,FALSE,"SUM 01";"sumM2",#N/A,FALSE,"SUM M2";"sum02",#N/A,FALSE,"SUM 02";"sum03",#N/A,FALSE,"SUM 03";"sum04",#N/A,FALSE,"SUM 04";"sum05",#N/A,FALSE,"SUM 05"}</definedName>
    <definedName name="wrn.BY._.YEAR._.BY._.COUNTRY." hidden="1">{"SUM ALL YR",#N/A,FALSE,"SUM ALL YR";"sum01",#N/A,FALSE,"SUM 01";"sumM2",#N/A,FALSE,"SUM M2";"sum02",#N/A,FALSE,"SUM 02";"sum03",#N/A,FALSE,"SUM 03";"sum04",#N/A,FALSE,"SUM 04";"sum05",#N/A,FALSE,"SUM 05"}</definedName>
    <definedName name="wrn.Coiffe_E1Con." localSheetId="6" hidden="1">{#N/A,#N/A,FALSE,"2 mm";#N/A,#N/A,FALSE,"5 mm"}</definedName>
    <definedName name="wrn.Coiffe_E1Con." hidden="1">{#N/A,#N/A,FALSE,"2 mm";#N/A,#N/A,FALSE,"5 mm"}</definedName>
    <definedName name="wrn.COMNUS." localSheetId="6" hidden="1">{"COMNUS2000",#N/A,FALSE,"BL2000"}</definedName>
    <definedName name="wrn.COMNUS." hidden="1">{"COMNUS2000",#N/A,FALSE,"BL2000"}</definedName>
    <definedName name="wrn.COMPJPN." localSheetId="6" hidden="1">{"COMJPN2000",#N/A,FALSE,"BL2000"}</definedName>
    <definedName name="wrn.COMPJPN." hidden="1">{"COMJPN2000",#N/A,FALSE,"BL2000"}</definedName>
    <definedName name="wrn.COSTMODEL." localSheetId="6" hidden="1">{#N/A,#N/A,TRUE,"Main";#N/A,#N/A,TRUE,"Vehicle Costs";#N/A,#N/A,TRUE,"IT Hardware";#N/A,#N/A,TRUE,"Financial";#N/A,#N/A,TRUE,"Cost Break-down"}</definedName>
    <definedName name="wrn.COSTMODEL." hidden="1">{#N/A,#N/A,TRUE,"Main";#N/A,#N/A,TRUE,"Vehicle Costs";#N/A,#N/A,TRUE,"IT Hardware";#N/A,#N/A,TRUE,"Financial";#N/A,#N/A,TRUE,"Cost Break-down"}</definedName>
    <definedName name="wrn.Costos." localSheetId="6" hidden="1">{"Costo1",#N/A,FALSE,"Costo Estimado";"Costo2",#N/A,FALSE,"Costo Estimado";"Costos3",#N/A,FALSE,"Costo Estimado";"Costo4",#N/A,FALSE,"Costo Estimado"}</definedName>
    <definedName name="wrn.Costos." hidden="1">{"Costo1",#N/A,FALSE,"Costo Estimado";"Costo2",#N/A,FALSE,"Costo Estimado";"Costos3",#N/A,FALSE,"Costo Estimado";"Costo4",#N/A,FALSE,"Costo Estimado"}</definedName>
    <definedName name="wrn.devis." localSheetId="6" hidden="1">{#N/A,#N/A,FALSE,"CCxxxx P1";#N/A,#N/A,FALSE,"CCxxxx P2";#N/A,#N/A,FALSE,"CCxxxx NOM";#N/A,#N/A,FALSE,"CCxxxx Ligne";#N/A,#N/A,FALSE,"indus"}</definedName>
    <definedName name="wrn.devis." hidden="1">{#N/A,#N/A,FALSE,"CCxxxx P1";#N/A,#N/A,FALSE,"CCxxxx P2";#N/A,#N/A,FALSE,"CCxxxx NOM";#N/A,#N/A,FALSE,"CCxxxx Ligne";#N/A,#N/A,FALSE,"indus"}</definedName>
    <definedName name="wrn.DOM." localSheetId="6" hidden="1">{"DOM",#N/A,FALSE,"A8CONTENT"}</definedName>
    <definedName name="wrn.DOM." hidden="1">{"DOM",#N/A,FALSE,"A8CONTENT"}</definedName>
    <definedName name="wrn.Entire._.Workbk._.incl._.support._.pgs." localSheetId="6" hidden="1">{#N/A,#N/A,FALSE,"Program Deliverables";#N/A,#N/A,FALSE,"Labor Model";#N/A,#N/A,FALSE,"BOM 3A";#N/A,#N/A,FALSE,"BOM 3B";#N/A,#N/A,FALSE,"BOM 3C";#N/A,#N/A,FALSE,"FEA";#N/A,#N/A,FALSE,"Testing 3A";#N/A,#N/A,FALSE,"Testing 3B";#N/A,#N/A,FALSE,"Testing 3C";#N/A,#N/A,FALSE,"Summary";#N/A,#N/A,FALSE,"Instructions--&gt;";#N/A,#N/A,FALSE,"Approval Page";#N/A,#N/A,FALSE,"PD2 Cover Sheet";#N/A,#N/A,FALSE,"PD2";#N/A,#N/A,FALSE,"Recovery Support";#N/A,#N/A,FALSE,"Phase To Month";#N/A,#N/A,FALSE,"Cost per Month";#N/A,#N/A,FALSE,"Fiscal Calendar";#N/A,#N/A,FALSE,"Prototype Support";#N/A,#N/A,FALSE,"Labor Support";#N/A,#N/A,FALSE,"BOM Support";#N/A,#N/A,FALSE,"FEA,TEST Support"}</definedName>
    <definedName name="wrn.Entire._.Workbk._.incl._.support._.pgs." hidden="1">{#N/A,#N/A,FALSE,"Program Deliverables";#N/A,#N/A,FALSE,"Labor Model";#N/A,#N/A,FALSE,"BOM 3A";#N/A,#N/A,FALSE,"BOM 3B";#N/A,#N/A,FALSE,"BOM 3C";#N/A,#N/A,FALSE,"FEA";#N/A,#N/A,FALSE,"Testing 3A";#N/A,#N/A,FALSE,"Testing 3B";#N/A,#N/A,FALSE,"Testing 3C";#N/A,#N/A,FALSE,"Summary";#N/A,#N/A,FALSE,"Instructions--&gt;";#N/A,#N/A,FALSE,"Approval Page";#N/A,#N/A,FALSE,"PD2 Cover Sheet";#N/A,#N/A,FALSE,"PD2";#N/A,#N/A,FALSE,"Recovery Support";#N/A,#N/A,FALSE,"Phase To Month";#N/A,#N/A,FALSE,"Cost per Month";#N/A,#N/A,FALSE,"Fiscal Calendar";#N/A,#N/A,FALSE,"Prototype Support";#N/A,#N/A,FALSE,"Labor Support";#N/A,#N/A,FALSE,"BOM Support";#N/A,#N/A,FALSE,"FEA,TEST Support"}</definedName>
    <definedName name="wrn.EXPORT." localSheetId="6" hidden="1">{"EXPORT",#N/A,FALSE,"A8CONTENT"}</definedName>
    <definedName name="wrn.EXPORT." hidden="1">{"EXPORT",#N/A,FALSE,"A8CONTENT"}</definedName>
    <definedName name="wrn.FINAL._.RESUMO." localSheetId="6" hidden="1">{"CORSA",#N/A,FALSE,"RESUMO FINAL";"KADETT",#N/A,FALSE,"RESUMO FINAL";"VECTRA",#N/A,FALSE,"RESUMO FINAL";"OMEGA",#N/A,FALSE,"RESUMO FINAL";"S_10",#N/A,FALSE,"RESUMO FINAL";"BLAZER",#N/A,FALSE,"RESUMO FINAL"}</definedName>
    <definedName name="wrn.FINAL._.RESUMO." hidden="1">{"CORSA",#N/A,FALSE,"RESUMO FINAL";"KADETT",#N/A,FALSE,"RESUMO FINAL";"VECTRA",#N/A,FALSE,"RESUMO FINAL";"OMEGA",#N/A,FALSE,"RESUMO FINAL";"S_10",#N/A,FALSE,"RESUMO FINAL";"BLAZER",#N/A,FALSE,"RESUMO FINAL"}</definedName>
    <definedName name="wrn.habitac2A." localSheetId="6" hidden="1">{#N/A,#N/A,FALSE,"ligne";#N/A,#N/A,FALSE,"SERZ8GL";#N/A,#N/A,FALSE,"SERZ8L";#N/A,#N/A,FALSE,"SERZ8B";#N/A,#N/A,FALSE,"UW04794N1base";#N/A,#N/A,FALSE,"UW04795T5N1base";#N/A,#N/A,FALSE,"UW04796N3";#N/A,#N/A,FALSE,"UW04N3µC167";#N/A,#N/A,FALSE,"INDUS"}</definedName>
    <definedName name="wrn.habitac2A." hidden="1">{#N/A,#N/A,FALSE,"ligne";#N/A,#N/A,FALSE,"SERZ8GL";#N/A,#N/A,FALSE,"SERZ8L";#N/A,#N/A,FALSE,"SERZ8B";#N/A,#N/A,FALSE,"UW04794N1base";#N/A,#N/A,FALSE,"UW04795T5N1base";#N/A,#N/A,FALSE,"UW04796N3";#N/A,#N/A,FALSE,"UW04N3µC167";#N/A,#N/A,FALSE,"INDUS"}</definedName>
    <definedName name="wrn.HS_USA." localSheetId="6" hidden="1">{"HS_USA",#N/A,FALSE,"Base"}</definedName>
    <definedName name="wrn.HS_USA." hidden="1">{"HS_USA",#N/A,FALSE,"Base"}</definedName>
    <definedName name="wrn.Iden." localSheetId="6" hidden="1">{"motorola Iden",#N/A,FALSE,"RUNRATES"}</definedName>
    <definedName name="wrn.Iden." hidden="1">{"motorola Iden",#N/A,FALSE,"RUNRATES"}</definedName>
    <definedName name="wrn.INCPRE." localSheetId="6" hidden="1">{"INCPRE2000",#N/A,FALSE,"BL2000"}</definedName>
    <definedName name="wrn.INCPRE." hidden="1">{"INCPRE2000",#N/A,FALSE,"BL2000"}</definedName>
    <definedName name="wrn.ldj." localSheetId="6" hidden="1">{"compweek",#N/A,FALSE,"ban0930";"bankweek",#N/A,FALSE,"ban0930"}</definedName>
    <definedName name="wrn.ldj." hidden="1">{"compweek",#N/A,FALSE,"ban0930";"bankweek",#N/A,FALSE,"ban0930"}</definedName>
    <definedName name="wrn.ldj.1" localSheetId="6" hidden="1">{"compweek",#N/A,FALSE,"ban0930";"bankweek",#N/A,FALSE,"ban0930"}</definedName>
    <definedName name="wrn.ldj.1" hidden="1">{"compweek",#N/A,FALSE,"ban0930";"bankweek",#N/A,FALSE,"ban0930"}</definedName>
    <definedName name="wrn.MENSUALES." localSheetId="6" hidden="1">{"CTO MES ACTUAL",#N/A,FALSE,"BASE ANEXOS";"VAR MES ACT",#N/A,FALSE,"BASE ANEXOS"}</definedName>
    <definedName name="wrn.MENSUALES." hidden="1">{"CTO MES ACTUAL",#N/A,FALSE,"BASE ANEXOS";"VAR MES ACT",#N/A,FALSE,"BASE ANEXOS"}</definedName>
    <definedName name="wrn.NMMC._.RRFQ." localSheetId="6" hidden="1">{#N/A,#N/A,TRUE,"General";#N/A,#N/A,TRUE,"Labor &amp; Equipment";#N/A,#N/A,TRUE,"Raw Materials";#N/A,#N/A,TRUE,"Foreign Content"}</definedName>
    <definedName name="wrn.NMMC._.RRFQ." hidden="1">{#N/A,#N/A,TRUE,"General";#N/A,#N/A,TRUE,"Labor &amp; Equipment";#N/A,#N/A,TRUE,"Raw Materials";#N/A,#N/A,TRUE,"Foreign Content"}</definedName>
    <definedName name="wrn.PL." localSheetId="6" hidden="1">{"PL2000",#N/A,FALSE,"BL2000"}</definedName>
    <definedName name="wrn.PL." hidden="1">{"PL2000",#N/A,FALSE,"BL2000"}</definedName>
    <definedName name="wrn.PRINT2." localSheetId="6" hidden="1">{#N/A,#N/A,FALSE,"販売(CHARGE)";#N/A,#N/A,FALSE,"販売引当";#N/A,#N/A,FALSE,"請求書(HEAD)";#N/A,#N/A,FALSE,"請求書(LINE)";#N/A,#N/A,FALSE,"在庫切断(HEAD)";#N/A,#N/A,FALSE,"在庫切断(LINE)";#N/A,#N/A,FALSE,"在庫切断(BODY)";#N/A,#N/A,FALSE,"出庫(HEAD)";#N/A,#N/A,FALSE,"出庫帳票(HEAD)";#N/A,#N/A,FALSE,"出庫(LINE)";#N/A,#N/A,FALSE,"出庫(BODY)";#N/A,#N/A,FALSE,"返品入庫(HEAD)";#N/A,#N/A,FALSE,"返品入庫(LINE)";#N/A,#N/A,FALSE,"返品入庫(BODY)";#N/A,#N/A,FALSE,"ﾐﾙｼｰﾄ発行依頼(HEAD)";#N/A,#N/A,FALSE,"ﾐﾙｼｰﾄ発行依頼(LINE)";#N/A,#N/A,FALSE,"ﾐﾙｼｰﾄ発行依頼(BODY)"}</definedName>
    <definedName name="wrn.PRINT2." hidden="1">{#N/A,#N/A,FALSE,"販売(CHARGE)";#N/A,#N/A,FALSE,"販売引当";#N/A,#N/A,FALSE,"請求書(HEAD)";#N/A,#N/A,FALSE,"請求書(LINE)";#N/A,#N/A,FALSE,"在庫切断(HEAD)";#N/A,#N/A,FALSE,"在庫切断(LINE)";#N/A,#N/A,FALSE,"在庫切断(BODY)";#N/A,#N/A,FALSE,"出庫(HEAD)";#N/A,#N/A,FALSE,"出庫帳票(HEAD)";#N/A,#N/A,FALSE,"出庫(LINE)";#N/A,#N/A,FALSE,"出庫(BODY)";#N/A,#N/A,FALSE,"返品入庫(HEAD)";#N/A,#N/A,FALSE,"返品入庫(LINE)";#N/A,#N/A,FALSE,"返品入庫(BODY)";#N/A,#N/A,FALSE,"ﾐﾙｼｰﾄ発行依頼(HEAD)";#N/A,#N/A,FALSE,"ﾐﾙｼｰﾄ発行依頼(LINE)";#N/A,#N/A,FALSE,"ﾐﾙｼｰﾄ発行依頼(BODY)"}</definedName>
    <definedName name="wrn.PT." localSheetId="6" hidden="1">{"PT2000",#N/A,FALSE,"BL2000"}</definedName>
    <definedName name="wrn.PT." hidden="1">{"PT2000",#N/A,FALSE,"BL2000"}</definedName>
    <definedName name="wrn.RESUMENES." localSheetId="6" hidden="1">{"RESUMEN",#N/A,FALSE,"BASE ANEXOS";"ANEXO 1",#N/A,FALSE,"BASE ANEXOS";"ANEXO 2",#N/A,FALSE,"BASE ANEXOS"}</definedName>
    <definedName name="wrn.RESUMENES." hidden="1">{"RESUMEN",#N/A,FALSE,"BASE ANEXOS";"ANEXO 1",#N/A,FALSE,"BASE ANEXOS";"ANEXO 2",#N/A,FALSE,"BASE ANEXOS"}</definedName>
    <definedName name="wrn.RPT." localSheetId="6" hidden="1">{#N/A,#N/A,FALSE,"인원";#N/A,#N/A,FALSE,"비용2";#N/A,#N/A,FALSE,"비용1";#N/A,#N/A,FALSE,"비용";#N/A,#N/A,FALSE,"보증2";#N/A,#N/A,FALSE,"보증1";#N/A,#N/A,FALSE,"보증";#N/A,#N/A,FALSE,"손익1";#N/A,#N/A,FALSE,"손익";#N/A,#N/A,FALSE,"부서별매출";#N/A,#N/A,FALSE,"매출"}</definedName>
    <definedName name="wrn.RPT." hidden="1">{#N/A,#N/A,FALSE,"인원";#N/A,#N/A,FALSE,"비용2";#N/A,#N/A,FALSE,"비용1";#N/A,#N/A,FALSE,"비용";#N/A,#N/A,FALSE,"보증2";#N/A,#N/A,FALSE,"보증1";#N/A,#N/A,FALSE,"보증";#N/A,#N/A,FALSE,"손익1";#N/A,#N/A,FALSE,"손익";#N/A,#N/A,FALSE,"부서별매출";#N/A,#N/A,FALSE,"매출"}</definedName>
    <definedName name="wrn.singapore." localSheetId="6" hidden="1">{"one (KEY)",#N/A,FALSE,"P&amp;L"}</definedName>
    <definedName name="wrn.singapore." hidden="1">{"one (KEY)",#N/A,FALSE,"P&amp;L"}</definedName>
    <definedName name="wrn.Summary." localSheetId="6" hidden="1">{#N/A,#N/A,FALSE,"Change History";#N/A,#N/A,FALSE,"Approval Page";#N/A,#N/A,FALSE,"PD2 Cover Sheet";#N/A,#N/A,FALSE,"Summary"}</definedName>
    <definedName name="wrn.Summary." hidden="1">{#N/A,#N/A,FALSE,"Change History";#N/A,#N/A,FALSE,"Approval Page";#N/A,#N/A,FALSE,"PD2 Cover Sheet";#N/A,#N/A,FALSE,"Summary"}</definedName>
    <definedName name="wrn.Testing." localSheetId="6" hidden="1">{#N/A,#N/A,FALSE,"Testing 3A";#N/A,#N/A,FALSE,"Testing 3B";#N/A,#N/A,FALSE,"Testing 3C"}</definedName>
    <definedName name="wrn.Testing." hidden="1">{#N/A,#N/A,FALSE,"Testing 3A";#N/A,#N/A,FALSE,"Testing 3B";#N/A,#N/A,FALSE,"Testing 3C"}</definedName>
    <definedName name="wrn.tmjj." localSheetId="6" hidden="1">{"bbtday",#N/A,FALSE,"ban0930";"banksday",#N/A,FALSE,"ban0930";"compday",#N/A,FALSE,"ban0930"}</definedName>
    <definedName name="wrn.tmjj." hidden="1">{"bbtday",#N/A,FALSE,"ban0930";"banksday",#N/A,FALSE,"ban0930";"compday",#N/A,FALSE,"ban0930"}</definedName>
    <definedName name="wrn.tmjj.1" localSheetId="6" hidden="1">{"bbtday",#N/A,FALSE,"ban0930";"banksday",#N/A,FALSE,"ban0930";"compday",#N/A,FALSE,"ban0930"}</definedName>
    <definedName name="wrn.tmjj.1" hidden="1">{"bbtday",#N/A,FALSE,"ban0930";"banksday",#N/A,FALSE,"ban0930";"compday",#N/A,FALSE,"ban0930"}</definedName>
    <definedName name="wrn.VT_DSC." localSheetId="6" hidden="1">{#N/A,#N/A,TRUE,"VT Europe";#N/A,#N/A,TRUE,"VT par Fournisseur";#N/A,#N/A,TRUE,"Temps";#N/A,#N/A,TRUE,"Démarrage";#N/A,#N/A,TRUE,"Extinction";#N/A,#N/A,TRUE,"Données"}</definedName>
    <definedName name="wrn.VT_DSC." hidden="1">{#N/A,#N/A,TRUE,"VT Europe";#N/A,#N/A,TRUE,"VT par Fournisseur";#N/A,#N/A,TRUE,"Temps";#N/A,#N/A,TRUE,"Démarrage";#N/A,#N/A,TRUE,"Extinction";#N/A,#N/A,TRUE,"Données"}</definedName>
    <definedName name="wrn.VT_RSA." localSheetId="6" hidden="1">{#N/A,#N/A,TRUE,"VT Europe";#N/A,#N/A,TRUE,"VT par Fournisseur";#N/A,#N/A,TRUE,"Temps";#N/A,#N/A,TRUE,"Démarrage";#N/A,#N/A,TRUE,"Extinction"}</definedName>
    <definedName name="wrn.VT_RSA." hidden="1">{#N/A,#N/A,TRUE,"VT Europe";#N/A,#N/A,TRUE,"VT par Fournisseur";#N/A,#N/A,TRUE,"Temps";#N/A,#N/A,TRUE,"Démarrage";#N/A,#N/A,TRUE,"Extinction"}</definedName>
    <definedName name="wrn.Y차._.종합." localSheetId="6" hidden="1">{#N/A,#N/A,TRUE,"Y생산";#N/A,#N/A,TRUE,"Y판매";#N/A,#N/A,TRUE,"Y총물량";#N/A,#N/A,TRUE,"Y능력";#N/A,#N/A,TRUE,"YKD"}</definedName>
    <definedName name="wrn.Y차._.종합." hidden="1">{#N/A,#N/A,TRUE,"Y생산";#N/A,#N/A,TRUE,"Y판매";#N/A,#N/A,TRUE,"Y총물량";#N/A,#N/A,TRUE,"Y능력";#N/A,#N/A,TRUE,"YKD"}</definedName>
    <definedName name="wrn.신규dep._.full._.set." localSheetId="6" hidden="1">{#N/A,#N/A,FALSE,"신규dep";#N/A,#N/A,FALSE,"신규dep-금형상각후";#N/A,#N/A,FALSE,"신규dep-연구비상각후";#N/A,#N/A,FALSE,"신규dep-기계,공구상각후"}</definedName>
    <definedName name="wrn.신규dep._.full._.set." hidden="1">{#N/A,#N/A,FALSE,"신규dep";#N/A,#N/A,FALSE,"신규dep-금형상각후";#N/A,#N/A,FALSE,"신규dep-연구비상각후";#N/A,#N/A,FALSE,"신규dep-기계,공구상각후"}</definedName>
    <definedName name="wrn.자판정비._.월간회의자료."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자판정비._.월간회의자료."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wrn.전부인쇄." localSheetId="6" hidden="1">{#N/A,#N/A,FALSE,"단축1";#N/A,#N/A,FALSE,"단축2";#N/A,#N/A,FALSE,"단축3";#N/A,#N/A,FALSE,"장축";#N/A,#N/A,FALSE,"4WD"}</definedName>
    <definedName name="wrn.전부인쇄." hidden="1">{#N/A,#N/A,FALSE,"단축1";#N/A,#N/A,FALSE,"단축2";#N/A,#N/A,FALSE,"단축3";#N/A,#N/A,FALSE,"장축";#N/A,#N/A,FALSE,"4WD"}</definedName>
    <definedName name="wwwwww" localSheetId="6" hidden="1">{"INCPRE2000",#N/A,FALSE,"BL2000"}</definedName>
    <definedName name="wwwwww" hidden="1">{"INCPRE2000",#N/A,FALSE,"BL2000"}</definedName>
    <definedName name="wwwwwww" localSheetId="6" hidden="1">{"HS_USA",#N/A,FALSE,"Base"}</definedName>
    <definedName name="wwwwwww" hidden="1">{"HS_USA",#N/A,FALSE,"Base"}</definedName>
    <definedName name="wwwwwwwww" localSheetId="6" hidden="1">{"CTO MES ACTUAL",#N/A,FALSE,"BASE ANEXOS";"VAR MES ACT",#N/A,FALSE,"BASE ANEXOS"}</definedName>
    <definedName name="wwwwwwwww" hidden="1">{"CTO MES ACTUAL",#N/A,FALSE,"BASE ANEXOS";"VAR MES ACT",#N/A,FALSE,"BASE ANEXOS"}</definedName>
    <definedName name="wwwwwwwwww" localSheetId="6" hidden="1">{"PL2000",#N/A,FALSE,"BL2000"}</definedName>
    <definedName name="wwwwwwwwww" hidden="1">{"PL2000",#N/A,FALSE,"BL2000"}</definedName>
    <definedName name="WYU" localSheetId="6" hidden="1">{#N/A,#N/A,FALSE,"단축1";#N/A,#N/A,FALSE,"단축2";#N/A,#N/A,FALSE,"단축3";#N/A,#N/A,FALSE,"장축";#N/A,#N/A,FALSE,"4WD"}</definedName>
    <definedName name="WYU" hidden="1">{#N/A,#N/A,FALSE,"단축1";#N/A,#N/A,FALSE,"단축2";#N/A,#N/A,FALSE,"단축3";#N/A,#N/A,FALSE,"장축";#N/A,#N/A,FALSE,"4WD"}</definedName>
    <definedName name="XD개선" localSheetId="6" hidden="1">{#N/A,#N/A,FALSE,"단축1";#N/A,#N/A,FALSE,"단축2";#N/A,#N/A,FALSE,"단축3";#N/A,#N/A,FALSE,"장축";#N/A,#N/A,FALSE,"4WD"}</definedName>
    <definedName name="XD개선" hidden="1">{#N/A,#N/A,FALSE,"단축1";#N/A,#N/A,FALSE,"단축2";#N/A,#N/A,FALSE,"단축3";#N/A,#N/A,FALSE,"장축";#N/A,#N/A,FALSE,"4WD"}</definedName>
    <definedName name="XD설문" localSheetId="6" hidden="1">{#N/A,#N/A,FALSE,"단축1";#N/A,#N/A,FALSE,"단축2";#N/A,#N/A,FALSE,"단축3";#N/A,#N/A,FALSE,"장축";#N/A,#N/A,FALSE,"4WD"}</definedName>
    <definedName name="XD설문" hidden="1">{#N/A,#N/A,FALSE,"단축1";#N/A,#N/A,FALSE,"단축2";#N/A,#N/A,FALSE,"단축3";#N/A,#N/A,FALSE,"장축";#N/A,#N/A,FALSE,"4WD"}</definedName>
    <definedName name="xd품확일정" localSheetId="6" hidden="1">{#N/A,#N/A,FALSE,"단축1";#N/A,#N/A,FALSE,"단축2";#N/A,#N/A,FALSE,"단축3";#N/A,#N/A,FALSE,"장축";#N/A,#N/A,FALSE,"4WD"}</definedName>
    <definedName name="xd품확일정" hidden="1">{#N/A,#N/A,FALSE,"단축1";#N/A,#N/A,FALSE,"단축2";#N/A,#N/A,FALSE,"단축3";#N/A,#N/A,FALSE,"장축";#N/A,#N/A,FALSE,"4WD"}</definedName>
    <definedName name="XG개" localSheetId="6" hidden="1">{#N/A,#N/A,FALSE,"단축1";#N/A,#N/A,FALSE,"단축2";#N/A,#N/A,FALSE,"단축3";#N/A,#N/A,FALSE,"장축";#N/A,#N/A,FALSE,"4WD"}</definedName>
    <definedName name="XG개" hidden="1">{#N/A,#N/A,FALSE,"단축1";#N/A,#N/A,FALSE,"단축2";#N/A,#N/A,FALSE,"단축3";#N/A,#N/A,FALSE,"장축";#N/A,#N/A,FALSE,"4WD"}</definedName>
    <definedName name="XG개선" localSheetId="6" hidden="1">{#N/A,#N/A,FALSE,"단축1";#N/A,#N/A,FALSE,"단축2";#N/A,#N/A,FALSE,"단축3";#N/A,#N/A,FALSE,"장축";#N/A,#N/A,FALSE,"4WD"}</definedName>
    <definedName name="XG개선" hidden="1">{#N/A,#N/A,FALSE,"단축1";#N/A,#N/A,FALSE,"단축2";#N/A,#N/A,FALSE,"단축3";#N/A,#N/A,FALSE,"장축";#N/A,#N/A,FALSE,"4WD"}</definedName>
    <definedName name="xx" localSheetId="4" hidden="1">#REF!</definedName>
    <definedName name="xx" localSheetId="0" hidden="1">#REF!</definedName>
    <definedName name="xx" localSheetId="2" hidden="1">#REF!</definedName>
    <definedName name="xx" hidden="1">#REF!</definedName>
    <definedName name="xxx1" localSheetId="6" hidden="1">{"compweek",#N/A,FALSE,"ban0930";"bankweek",#N/A,FALSE,"ban0930"}</definedName>
    <definedName name="xxx1" hidden="1">{"compweek",#N/A,FALSE,"ban0930";"bankweek",#N/A,FALSE,"ban0930"}</definedName>
    <definedName name="XXXXX" localSheetId="6" hidden="1">{#N/A,#N/A,FALSE,"단축1";#N/A,#N/A,FALSE,"단축2";#N/A,#N/A,FALSE,"단축3";#N/A,#N/A,FALSE,"장축";#N/A,#N/A,FALSE,"4WD"}</definedName>
    <definedName name="XXXXX" hidden="1">{#N/A,#N/A,FALSE,"단축1";#N/A,#N/A,FALSE,"단축2";#N/A,#N/A,FALSE,"단축3";#N/A,#N/A,FALSE,"장축";#N/A,#N/A,FALSE,"4WD"}</definedName>
    <definedName name="xxxxxx" localSheetId="4" hidden="1">#REF!</definedName>
    <definedName name="xxxxxx" localSheetId="0" hidden="1">#REF!</definedName>
    <definedName name="xxxxxx" localSheetId="2" hidden="1">#REF!</definedName>
    <definedName name="xxxxxx" hidden="1">#REF!</definedName>
    <definedName name="XZZ" localSheetId="6" hidden="1">{"bbtday",#N/A,FALSE,"ban0930";"banksday",#N/A,FALSE,"ban0930";"compday",#N/A,FALSE,"ban0930"}</definedName>
    <definedName name="XZZ" hidden="1">{"bbtday",#N/A,FALSE,"ban0930";"banksday",#N/A,FALSE,"ban0930";"compday",#N/A,FALSE,"ban0930"}</definedName>
    <definedName name="xzz1" localSheetId="6" hidden="1">{"bbtday",#N/A,FALSE,"ban0930";"banksday",#N/A,FALSE,"ban0930";"compday",#N/A,FALSE,"ban0930"}</definedName>
    <definedName name="xzz1" hidden="1">{"bbtday",#N/A,FALSE,"ban0930";"banksday",#N/A,FALSE,"ban0930";"compday",#N/A,FALSE,"ban0930"}</definedName>
    <definedName name="YYHY" localSheetId="6" hidden="1">{#N/A,#N/A,FALSE,"단축1";#N/A,#N/A,FALSE,"단축2";#N/A,#N/A,FALSE,"단축3";#N/A,#N/A,FALSE,"장축";#N/A,#N/A,FALSE,"4WD"}</definedName>
    <definedName name="YYHY" hidden="1">{#N/A,#N/A,FALSE,"단축1";#N/A,#N/A,FALSE,"단축2";#N/A,#N/A,FALSE,"단축3";#N/A,#N/A,FALSE,"장축";#N/A,#N/A,FALSE,"4WD"}</definedName>
    <definedName name="yyy" localSheetId="6" hidden="1">{"compweek",#N/A,FALSE,"ban0930";"bankweek",#N/A,FALSE,"ban0930"}</definedName>
    <definedName name="yyy" hidden="1">{"compweek",#N/A,FALSE,"ban0930";"bankweek",#N/A,FALSE,"ban0930"}</definedName>
    <definedName name="yyy1" localSheetId="6" hidden="1">{"compweek",#N/A,FALSE,"ban0930";"bankweek",#N/A,FALSE,"ban0930"}</definedName>
    <definedName name="yyy1" hidden="1">{"compweek",#N/A,FALSE,"ban0930";"bankweek",#N/A,FALSE,"ban0930"}</definedName>
    <definedName name="Z_030BCFA9_A76B_11D1_B759_08000E21FF8D_.wvu.Cols" localSheetId="4" hidden="1">#REF!,#REF!,#REF!</definedName>
    <definedName name="Z_030BCFA9_A76B_11D1_B759_08000E21FF8D_.wvu.Cols" localSheetId="0" hidden="1">#REF!,#REF!,#REF!</definedName>
    <definedName name="Z_030BCFA9_A76B_11D1_B759_08000E21FF8D_.wvu.Cols" localSheetId="2" hidden="1">#REF!,#REF!,#REF!</definedName>
    <definedName name="Z_030BCFA9_A76B_11D1_B759_08000E21FF8D_.wvu.Cols" hidden="1">#REF!,#REF!,#REF!</definedName>
    <definedName name="Z_030BCFA9_A76B_11D1_B759_08000E21FF8D_.wvu.FilterData" localSheetId="4" hidden="1">#REF!</definedName>
    <definedName name="Z_030BCFA9_A76B_11D1_B759_08000E21FF8D_.wvu.FilterData" localSheetId="0" hidden="1">#REF!</definedName>
    <definedName name="Z_030BCFA9_A76B_11D1_B759_08000E21FF8D_.wvu.FilterData" localSheetId="2" hidden="1">#REF!</definedName>
    <definedName name="Z_030BCFA9_A76B_11D1_B759_08000E21FF8D_.wvu.FilterData" hidden="1">#REF!</definedName>
    <definedName name="Z_030BCFA9_A76B_11D1_B759_08000E21FF8D_.wvu.PrintArea" localSheetId="4" hidden="1">#REF!</definedName>
    <definedName name="Z_030BCFA9_A76B_11D1_B759_08000E21FF8D_.wvu.PrintArea" localSheetId="0" hidden="1">#REF!</definedName>
    <definedName name="Z_030BCFA9_A76B_11D1_B759_08000E21FF8D_.wvu.PrintArea" localSheetId="2" hidden="1">#REF!</definedName>
    <definedName name="Z_030BCFA9_A76B_11D1_B759_08000E21FF8D_.wvu.PrintArea" hidden="1">#REF!</definedName>
    <definedName name="Z_030BCFA9_A76B_11D1_B759_08000E21FF8D_.wvu.PrintTitles" localSheetId="4" hidden="1">#REF!</definedName>
    <definedName name="Z_030BCFA9_A76B_11D1_B759_08000E21FF8D_.wvu.PrintTitles" localSheetId="0" hidden="1">#REF!</definedName>
    <definedName name="Z_030BCFA9_A76B_11D1_B759_08000E21FF8D_.wvu.PrintTitles" localSheetId="2" hidden="1">#REF!</definedName>
    <definedName name="Z_030BCFA9_A76B_11D1_B759_08000E21FF8D_.wvu.PrintTitles" hidden="1">#REF!</definedName>
    <definedName name="Z_0F587A09_3B67_42BA_B531_8AE439C30BBB_.wvu.Cols" localSheetId="4" hidden="1">#REF!,#REF!,#REF!</definedName>
    <definedName name="Z_0F587A09_3B67_42BA_B531_8AE439C30BBB_.wvu.Cols" localSheetId="0" hidden="1">#REF!,#REF!,#REF!</definedName>
    <definedName name="Z_0F587A09_3B67_42BA_B531_8AE439C30BBB_.wvu.Cols" localSheetId="2" hidden="1">#REF!,#REF!,#REF!</definedName>
    <definedName name="Z_0F587A09_3B67_42BA_B531_8AE439C30BBB_.wvu.Cols" hidden="1">#REF!,#REF!,#REF!</definedName>
    <definedName name="Z_0F587A09_3B67_42BA_B531_8AE439C30BBB_.wvu.PrintArea" localSheetId="4" hidden="1">#REF!</definedName>
    <definedName name="Z_0F587A09_3B67_42BA_B531_8AE439C30BBB_.wvu.PrintArea" localSheetId="0" hidden="1">#REF!</definedName>
    <definedName name="Z_0F587A09_3B67_42BA_B531_8AE439C30BBB_.wvu.PrintArea" localSheetId="2" hidden="1">#REF!</definedName>
    <definedName name="Z_0F587A09_3B67_42BA_B531_8AE439C30BBB_.wvu.PrintArea" hidden="1">#REF!</definedName>
    <definedName name="Z_0F587A09_3B67_42BA_B531_8AE439C30BBB_.wvu.PrintTitles" localSheetId="4" hidden="1">#REF!</definedName>
    <definedName name="Z_0F587A09_3B67_42BA_B531_8AE439C30BBB_.wvu.PrintTitles" localSheetId="0" hidden="1">#REF!</definedName>
    <definedName name="Z_0F587A09_3B67_42BA_B531_8AE439C30BBB_.wvu.PrintTitles" localSheetId="2" hidden="1">#REF!</definedName>
    <definedName name="Z_0F587A09_3B67_42BA_B531_8AE439C30BBB_.wvu.PrintTitles" hidden="1">#REF!</definedName>
    <definedName name="Z_243188E0_F983_4507_93AD_B7EA4368FB27_.wvu.Cols" localSheetId="4" hidden="1">#REF!</definedName>
    <definedName name="Z_243188E0_F983_4507_93AD_B7EA4368FB27_.wvu.Cols" localSheetId="0" hidden="1">#REF!</definedName>
    <definedName name="Z_243188E0_F983_4507_93AD_B7EA4368FB27_.wvu.Cols" localSheetId="2" hidden="1">#REF!</definedName>
    <definedName name="Z_243188E0_F983_4507_93AD_B7EA4368FB27_.wvu.Cols" hidden="1">#REF!</definedName>
    <definedName name="Z_6993EFB0_1B89_4ECB_AA37_844F342C516A_.wvu.FilterData" localSheetId="4" hidden="1">#REF!</definedName>
    <definedName name="Z_6993EFB0_1B89_4ECB_AA37_844F342C516A_.wvu.FilterData" localSheetId="0" hidden="1">#REF!</definedName>
    <definedName name="Z_6993EFB0_1B89_4ECB_AA37_844F342C516A_.wvu.FilterData" localSheetId="2" hidden="1">#REF!</definedName>
    <definedName name="Z_6993EFB0_1B89_4ECB_AA37_844F342C516A_.wvu.FilterData" hidden="1">#REF!</definedName>
    <definedName name="Z_BD1B612E_7EB1_4E19_920D_D886E886B084_.wvu.Cols" localSheetId="4" hidden="1">#REF!</definedName>
    <definedName name="Z_BD1B612E_7EB1_4E19_920D_D886E886B084_.wvu.Cols" localSheetId="0" hidden="1">#REF!</definedName>
    <definedName name="Z_BD1B612E_7EB1_4E19_920D_D886E886B084_.wvu.Cols" localSheetId="2" hidden="1">#REF!</definedName>
    <definedName name="Z_BD1B612E_7EB1_4E19_920D_D886E886B084_.wvu.Cols" hidden="1">#REF!</definedName>
    <definedName name="ZDHGKSDLG" localSheetId="6" hidden="1">{#N/A,#N/A,FALSE,"인원";#N/A,#N/A,FALSE,"비용2";#N/A,#N/A,FALSE,"비용1";#N/A,#N/A,FALSE,"비용";#N/A,#N/A,FALSE,"보증2";#N/A,#N/A,FALSE,"보증1";#N/A,#N/A,FALSE,"보증";#N/A,#N/A,FALSE,"손익1";#N/A,#N/A,FALSE,"손익";#N/A,#N/A,FALSE,"부서별매출";#N/A,#N/A,FALSE,"매출"}</definedName>
    <definedName name="ZDHGKSDLG" hidden="1">{#N/A,#N/A,FALSE,"인원";#N/A,#N/A,FALSE,"비용2";#N/A,#N/A,FALSE,"비용1";#N/A,#N/A,FALSE,"비용";#N/A,#N/A,FALSE,"보증2";#N/A,#N/A,FALSE,"보증1";#N/A,#N/A,FALSE,"보증";#N/A,#N/A,FALSE,"손익1";#N/A,#N/A,FALSE,"손익";#N/A,#N/A,FALSE,"부서별매출";#N/A,#N/A,FALSE,"매출"}</definedName>
    <definedName name="zzz" localSheetId="6" hidden="1">{"EXPORT",#N/A,FALSE,"A8CONTENT"}</definedName>
    <definedName name="zzz" hidden="1">{"EXPORT",#N/A,FALSE,"A8CONTENT"}</definedName>
    <definedName name="zzzzzz" localSheetId="6" hidden="1">{#N/A,#N/A,FALSE,"단축1";#N/A,#N/A,FALSE,"단축2";#N/A,#N/A,FALSE,"단축3";#N/A,#N/A,FALSE,"장축";#N/A,#N/A,FALSE,"4WD"}</definedName>
    <definedName name="zzzzzz" hidden="1">{#N/A,#N/A,FALSE,"단축1";#N/A,#N/A,FALSE,"단축2";#N/A,#N/A,FALSE,"단축3";#N/A,#N/A,FALSE,"장축";#N/A,#N/A,FALSE,"4WD"}</definedName>
    <definedName name="あああ" localSheetId="6" hidden="1">{"SUM GER",#N/A,FALSE,"SUM GER";"SUM FRA",#N/A,FALSE,"SUM FRA";"SUM ITA",#N/A,FALSE,"SUM ITA";"SUM SPA",#N/A,FALSE,"SUM SPA";"SUM EGB",#N/A,FALSE,"SUM EGB";"SUM IND",#N/A,FALSE,"SUM IND"}</definedName>
    <definedName name="あああ" hidden="1">{"SUM GER",#N/A,FALSE,"SUM GER";"SUM FRA",#N/A,FALSE,"SUM FRA";"SUM ITA",#N/A,FALSE,"SUM ITA";"SUM SPA",#N/A,FALSE,"SUM SPA";"SUM EGB",#N/A,FALSE,"SUM EGB";"SUM IND",#N/A,FALSE,"SUM IND"}</definedName>
    <definedName name="っＫ" localSheetId="4" hidden="1">#REF!</definedName>
    <definedName name="っＫ" localSheetId="0" hidden="1">#REF!</definedName>
    <definedName name="っＫ" localSheetId="2" hidden="1">#REF!</definedName>
    <definedName name="っＫ" hidden="1">#REF!</definedName>
    <definedName name="わあわ" localSheetId="6" hidden="1">{"CTO ACUMULADO",#N/A,FALSE,"BASE ANEXOS";"VAR ACUMULADAS",#N/A,FALSE,"BASE ANEXOS"}</definedName>
    <definedName name="わあわ" hidden="1">{"CTO ACUMULADO",#N/A,FALSE,"BASE ANEXOS";"VAR ACUMULADAS",#N/A,FALSE,"BASE ANEXOS"}</definedName>
    <definedName name="ㄱ" localSheetId="6" hidden="1">{#N/A,#N/A,FALSE,"단축1";#N/A,#N/A,FALSE,"단축2";#N/A,#N/A,FALSE,"단축3";#N/A,#N/A,FALSE,"장축";#N/A,#N/A,FALSE,"4WD"}</definedName>
    <definedName name="ㄱ" hidden="1">{#N/A,#N/A,FALSE,"단축1";#N/A,#N/A,FALSE,"단축2";#N/A,#N/A,FALSE,"단축3";#N/A,#N/A,FALSE,"장축";#N/A,#N/A,FALSE,"4WD"}</definedName>
    <definedName name="ㄱㅇ" localSheetId="6" hidden="1">{#N/A,#N/A,FALSE,"단축1";#N/A,#N/A,FALSE,"단축2";#N/A,#N/A,FALSE,"단축3";#N/A,#N/A,FALSE,"장축";#N/A,#N/A,FALSE,"4WD"}</definedName>
    <definedName name="ㄱㅇ" hidden="1">{#N/A,#N/A,FALSE,"단축1";#N/A,#N/A,FALSE,"단축2";#N/A,#N/A,FALSE,"단축3";#N/A,#N/A,FALSE,"장축";#N/A,#N/A,FALSE,"4WD"}</definedName>
    <definedName name="가동비" localSheetId="4" hidden="1">#REF!</definedName>
    <definedName name="가동비" localSheetId="0" hidden="1">#REF!</definedName>
    <definedName name="가동비" localSheetId="2" hidden="1">#REF!</definedName>
    <definedName name="가동비" hidden="1">#REF!</definedName>
    <definedName name="각방안" localSheetId="6" hidden="1">{#N/A,#N/A,FALSE,"단축1";#N/A,#N/A,FALSE,"단축2";#N/A,#N/A,FALSE,"단축3";#N/A,#N/A,FALSE,"장축";#N/A,#N/A,FALSE,"4WD"}</definedName>
    <definedName name="각방안" hidden="1">{#N/A,#N/A,FALSE,"단축1";#N/A,#N/A,FALSE,"단축2";#N/A,#N/A,FALSE,"단축3";#N/A,#N/A,FALSE,"장축";#N/A,#N/A,FALSE,"4WD"}</definedName>
    <definedName name="개발시험종합" localSheetId="4" hidden="1">#REF!</definedName>
    <definedName name="개발시험종합" localSheetId="0" hidden="1">#REF!</definedName>
    <definedName name="개발시험종합" localSheetId="2" hidden="1">#REF!</definedName>
    <definedName name="개발시험종합" hidden="1">#REF!</definedName>
    <definedName name="개발일정수정" localSheetId="6" hidden="1">{#N/A,#N/A,FALSE,"단축1";#N/A,#N/A,FALSE,"단축2";#N/A,#N/A,FALSE,"단축3";#N/A,#N/A,FALSE,"장축";#N/A,#N/A,FALSE,"4WD"}</definedName>
    <definedName name="개발일정수정" hidden="1">{#N/A,#N/A,FALSE,"단축1";#N/A,#N/A,FALSE,"단축2";#N/A,#N/A,FALSE,"단축3";#N/A,#N/A,FALSE,"장축";#N/A,#N/A,FALSE,"4WD"}</definedName>
    <definedName name="개선" localSheetId="6" hidden="1">{#N/A,#N/A,FALSE,"단축1";#N/A,#N/A,FALSE,"단축2";#N/A,#N/A,FALSE,"단축3";#N/A,#N/A,FALSE,"장축";#N/A,#N/A,FALSE,"4WD"}</definedName>
    <definedName name="개선" hidden="1">{#N/A,#N/A,FALSE,"단축1";#N/A,#N/A,FALSE,"단축2";#N/A,#N/A,FALSE,"단축3";#N/A,#N/A,FALSE,"장축";#N/A,#N/A,FALSE,"4WD"}</definedName>
    <definedName name="구매품목" localSheetId="6" hidden="1">{#N/A,#N/A,FALSE,"단축1";#N/A,#N/A,FALSE,"단축2";#N/A,#N/A,FALSE,"단축3";#N/A,#N/A,FALSE,"장축";#N/A,#N/A,FALSE,"4WD"}</definedName>
    <definedName name="구매품목" hidden="1">{#N/A,#N/A,FALSE,"단축1";#N/A,#N/A,FALSE,"단축2";#N/A,#N/A,FALSE,"단축3";#N/A,#N/A,FALSE,"장축";#N/A,#N/A,FALSE,"4WD"}</definedName>
    <definedName name="근거2" localSheetId="6" hidden="1">{#N/A,#N/A,FALSE,"단축1";#N/A,#N/A,FALSE,"단축2";#N/A,#N/A,FALSE,"단축3";#N/A,#N/A,FALSE,"장축";#N/A,#N/A,FALSE,"4WD"}</definedName>
    <definedName name="근거2" hidden="1">{#N/A,#N/A,FALSE,"단축1";#N/A,#N/A,FALSE,"단축2";#N/A,#N/A,FALSE,"단축3";#N/A,#N/A,FALSE,"장축";#N/A,#N/A,FALSE,"4WD"}</definedName>
    <definedName name="기준"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기준"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ㄴㄴㅁ" localSheetId="4" hidden="1">#REF!</definedName>
    <definedName name="ㄴㄴㅁ" localSheetId="0" hidden="1">#REF!</definedName>
    <definedName name="ㄴㄴㅁ" localSheetId="2" hidden="1">#REF!</definedName>
    <definedName name="ㄴㄴㅁ" hidden="1">#REF!</definedName>
    <definedName name="ㄴㄹ" localSheetId="6" hidden="1">{#N/A,#N/A,FALSE,"단축1";#N/A,#N/A,FALSE,"단축2";#N/A,#N/A,FALSE,"단축3";#N/A,#N/A,FALSE,"장축";#N/A,#N/A,FALSE,"4WD"}</definedName>
    <definedName name="ㄴㄹ" hidden="1">{#N/A,#N/A,FALSE,"단축1";#N/A,#N/A,FALSE,"단축2";#N/A,#N/A,FALSE,"단축3";#N/A,#N/A,FALSE,"장축";#N/A,#N/A,FALSE,"4WD"}</definedName>
    <definedName name="ㄴㅇ" localSheetId="6" hidden="1">{#N/A,#N/A,TRUE,"Y생산";#N/A,#N/A,TRUE,"Y판매";#N/A,#N/A,TRUE,"Y총물량";#N/A,#N/A,TRUE,"Y능력";#N/A,#N/A,TRUE,"YKD"}</definedName>
    <definedName name="ㄴㅇ" hidden="1">{#N/A,#N/A,TRUE,"Y생산";#N/A,#N/A,TRUE,"Y판매";#N/A,#N/A,TRUE,"Y총물량";#N/A,#N/A,TRUE,"Y능력";#N/A,#N/A,TRUE,"YKD"}</definedName>
    <definedName name="ㄷㅇ" localSheetId="6" hidden="1">{#N/A,#N/A,TRUE,"Y생산";#N/A,#N/A,TRUE,"Y판매";#N/A,#N/A,TRUE,"Y총물량";#N/A,#N/A,TRUE,"Y능력";#N/A,#N/A,TRUE,"YKD"}</definedName>
    <definedName name="ㄷㅇ" hidden="1">{#N/A,#N/A,TRUE,"Y생산";#N/A,#N/A,TRUE,"Y판매";#N/A,#N/A,TRUE,"Y총물량";#N/A,#N/A,TRUE,"Y능력";#N/A,#N/A,TRUE,"YKD"}</definedName>
    <definedName name="단가기준" localSheetId="6" hidden="1">{#N/A,#N/A,TRUE,"Y생산";#N/A,#N/A,TRUE,"Y판매";#N/A,#N/A,TRUE,"Y총물량";#N/A,#N/A,TRUE,"Y능력";#N/A,#N/A,TRUE,"YKD"}</definedName>
    <definedName name="단가기준" hidden="1">{#N/A,#N/A,TRUE,"Y생산";#N/A,#N/A,TRUE,"Y판매";#N/A,#N/A,TRUE,"Y총물량";#N/A,#N/A,TRUE,"Y능력";#N/A,#N/A,TRUE,"YKD"}</definedName>
    <definedName name="단기" localSheetId="6" hidden="1">{#N/A,#N/A,TRUE,"Y생산";#N/A,#N/A,TRUE,"Y판매";#N/A,#N/A,TRUE,"Y총물량";#N/A,#N/A,TRUE,"Y능력";#N/A,#N/A,TRUE,"YKD"}</definedName>
    <definedName name="단기" hidden="1">{#N/A,#N/A,TRUE,"Y생산";#N/A,#N/A,TRUE,"Y판매";#N/A,#N/A,TRUE,"Y총물량";#N/A,#N/A,TRUE,"Y능력";#N/A,#N/A,TRUE,"YKD"}</definedName>
    <definedName name="대부" localSheetId="6" hidden="1">{#N/A,#N/A,FALSE,"단축1";#N/A,#N/A,FALSE,"단축2";#N/A,#N/A,FALSE,"단축3";#N/A,#N/A,FALSE,"장축";#N/A,#N/A,FALSE,"4WD"}</definedName>
    <definedName name="대부" hidden="1">{#N/A,#N/A,FALSE,"단축1";#N/A,#N/A,FALSE,"단축2";#N/A,#N/A,FALSE,"단축3";#N/A,#N/A,FALSE,"장축";#N/A,#N/A,FALSE,"4WD"}</definedName>
    <definedName name="대원" localSheetId="4" hidden="1">#REF!</definedName>
    <definedName name="대원" localSheetId="0" hidden="1">#REF!</definedName>
    <definedName name="대원" localSheetId="2" hidden="1">#REF!</definedName>
    <definedName name="대원" hidden="1">#REF!</definedName>
    <definedName name="대원3" localSheetId="4" hidden="1">#REF!</definedName>
    <definedName name="대원3" localSheetId="0" hidden="1">#REF!</definedName>
    <definedName name="대원3" localSheetId="2" hidden="1">#REF!</definedName>
    <definedName name="대원3" hidden="1">#REF!</definedName>
    <definedName name="대원4" localSheetId="4" hidden="1">#REF!</definedName>
    <definedName name="대원4" localSheetId="0" hidden="1">#REF!</definedName>
    <definedName name="대원4" localSheetId="2" hidden="1">#REF!</definedName>
    <definedName name="대원4" hidden="1">#REF!</definedName>
    <definedName name="대책서" localSheetId="6" hidden="1">{#N/A,#N/A,FALSE,"단축1";#N/A,#N/A,FALSE,"단축2";#N/A,#N/A,FALSE,"단축3";#N/A,#N/A,FALSE,"장축";#N/A,#N/A,FALSE,"4WD"}</definedName>
    <definedName name="대책서" hidden="1">{#N/A,#N/A,FALSE,"단축1";#N/A,#N/A,FALSE,"단축2";#N/A,#N/A,FALSE,"단축3";#N/A,#N/A,FALSE,"장축";#N/A,#N/A,FALSE,"4WD"}</definedName>
    <definedName name="ㄹㅇㅀ" localSheetId="6" hidden="1">{#N/A,#N/A,FALSE,"단축1";#N/A,#N/A,FALSE,"단축2";#N/A,#N/A,FALSE,"단축3";#N/A,#N/A,FALSE,"장축";#N/A,#N/A,FALSE,"4WD"}</definedName>
    <definedName name="ㄹㅇㅀ" hidden="1">{#N/A,#N/A,FALSE,"단축1";#N/A,#N/A,FALSE,"단축2";#N/A,#N/A,FALSE,"단축3";#N/A,#N/A,FALSE,"장축";#N/A,#N/A,FALSE,"4WD"}</definedName>
    <definedName name="로커카바문제점" localSheetId="6" hidden="1">{#N/A,#N/A,FALSE,"단축1";#N/A,#N/A,FALSE,"단축2";#N/A,#N/A,FALSE,"단축3";#N/A,#N/A,FALSE,"장축";#N/A,#N/A,FALSE,"4WD"}</definedName>
    <definedName name="로커카바문제점" hidden="1">{#N/A,#N/A,FALSE,"단축1";#N/A,#N/A,FALSE,"단축2";#N/A,#N/A,FALSE,"단축3";#N/A,#N/A,FALSE,"장축";#N/A,#N/A,FALSE,"4WD"}</definedName>
    <definedName name="로커카바일정" localSheetId="6" hidden="1">{#N/A,#N/A,FALSE,"단축1";#N/A,#N/A,FALSE,"단축2";#N/A,#N/A,FALSE,"단축3";#N/A,#N/A,FALSE,"장축";#N/A,#N/A,FALSE,"4WD"}</definedName>
    <definedName name="로커카바일정" hidden="1">{#N/A,#N/A,FALSE,"단축1";#N/A,#N/A,FALSE,"단축2";#N/A,#N/A,FALSE,"단축3";#N/A,#N/A,FALSE,"장축";#N/A,#N/A,FALSE,"4WD"}</definedName>
    <definedName name="로커커버" localSheetId="6" hidden="1">{#N/A,#N/A,FALSE,"단축1";#N/A,#N/A,FALSE,"단축2";#N/A,#N/A,FALSE,"단축3";#N/A,#N/A,FALSE,"장축";#N/A,#N/A,FALSE,"4WD"}</definedName>
    <definedName name="로커커버" hidden="1">{#N/A,#N/A,FALSE,"단축1";#N/A,#N/A,FALSE,"단축2";#N/A,#N/A,FALSE,"단축3";#N/A,#N/A,FALSE,"장축";#N/A,#N/A,FALSE,"4WD"}</definedName>
    <definedName name="ㅁㄴ" localSheetId="6" hidden="1">{#N/A,#N/A,FALSE,"단축1";#N/A,#N/A,FALSE,"단축2";#N/A,#N/A,FALSE,"단축3";#N/A,#N/A,FALSE,"장축";#N/A,#N/A,FALSE,"4WD"}</definedName>
    <definedName name="ㅁㄴ" hidden="1">{#N/A,#N/A,FALSE,"단축1";#N/A,#N/A,FALSE,"단축2";#N/A,#N/A,FALSE,"단축3";#N/A,#N/A,FALSE,"장축";#N/A,#N/A,FALSE,"4WD"}</definedName>
    <definedName name="ㅁㄴㅇ" localSheetId="6" hidden="1">{#N/A,#N/A,FALSE,"단축1";#N/A,#N/A,FALSE,"단축2";#N/A,#N/A,FALSE,"단축3";#N/A,#N/A,FALSE,"장축";#N/A,#N/A,FALSE,"4WD"}</definedName>
    <definedName name="ㅁㄴㅇ" hidden="1">{#N/A,#N/A,FALSE,"단축1";#N/A,#N/A,FALSE,"단축2";#N/A,#N/A,FALSE,"단축3";#N/A,#N/A,FALSE,"장축";#N/A,#N/A,FALSE,"4WD"}</definedName>
    <definedName name="ㅁㄴㅇㄹ" localSheetId="6" hidden="1">{#N/A,#N/A,FALSE,"단축1";#N/A,#N/A,FALSE,"단축2";#N/A,#N/A,FALSE,"단축3";#N/A,#N/A,FALSE,"장축";#N/A,#N/A,FALSE,"4WD"}</definedName>
    <definedName name="ㅁㄴㅇㄹ" hidden="1">{#N/A,#N/A,FALSE,"단축1";#N/A,#N/A,FALSE,"단축2";#N/A,#N/A,FALSE,"단축3";#N/A,#N/A,FALSE,"장축";#N/A,#N/A,FALSE,"4WD"}</definedName>
    <definedName name="ㅁㄹㅇ" localSheetId="6" hidden="1">{#N/A,#N/A,FALSE,"단축1";#N/A,#N/A,FALSE,"단축2";#N/A,#N/A,FALSE,"단축3";#N/A,#N/A,FALSE,"장축";#N/A,#N/A,FALSE,"4WD"}</definedName>
    <definedName name="ㅁㄹㅇ" hidden="1">{#N/A,#N/A,FALSE,"단축1";#N/A,#N/A,FALSE,"단축2";#N/A,#N/A,FALSE,"단축3";#N/A,#N/A,FALSE,"장축";#N/A,#N/A,FALSE,"4WD"}</definedName>
    <definedName name="ㅁㅁㅁ" localSheetId="4" hidden="1">#REF!</definedName>
    <definedName name="ㅁㅁㅁ" localSheetId="0" hidden="1">#REF!</definedName>
    <definedName name="ㅁㅁㅁ" localSheetId="2" hidden="1">#REF!</definedName>
    <definedName name="ㅁㅁㅁ" hidden="1">#REF!</definedName>
    <definedName name="ㅁㅇㄱㅎ" localSheetId="6" hidden="1">{#N/A,#N/A,FALSE,"단축1";#N/A,#N/A,FALSE,"단축2";#N/A,#N/A,FALSE,"단축3";#N/A,#N/A,FALSE,"장축";#N/A,#N/A,FALSE,"4WD"}</definedName>
    <definedName name="ㅁㅇㄱㅎ" hidden="1">{#N/A,#N/A,FALSE,"단축1";#N/A,#N/A,FALSE,"단축2";#N/A,#N/A,FALSE,"단축3";#N/A,#N/A,FALSE,"장축";#N/A,#N/A,FALSE,"4WD"}</definedName>
    <definedName name="ㅁㅇㄹ" localSheetId="6" hidden="1">{#N/A,#N/A,FALSE,"단축1";#N/A,#N/A,FALSE,"단축2";#N/A,#N/A,FALSE,"단축3";#N/A,#N/A,FALSE,"장축";#N/A,#N/A,FALSE,"4WD"}</definedName>
    <definedName name="ㅁㅇㄹ" hidden="1">{#N/A,#N/A,FALSE,"단축1";#N/A,#N/A,FALSE,"단축2";#N/A,#N/A,FALSE,"단축3";#N/A,#N/A,FALSE,"장축";#N/A,#N/A,FALSE,"4WD"}</definedName>
    <definedName name="ㅁㅇㅂㅈㄷㄹㅇ" localSheetId="6" hidden="1">{#N/A,#N/A,FALSE,"단축1";#N/A,#N/A,FALSE,"단축2";#N/A,#N/A,FALSE,"단축3";#N/A,#N/A,FALSE,"장축";#N/A,#N/A,FALSE,"4WD"}</definedName>
    <definedName name="ㅁㅇㅂㅈㄷㄹㅇ" hidden="1">{#N/A,#N/A,FALSE,"단축1";#N/A,#N/A,FALSE,"단축2";#N/A,#N/A,FALSE,"단축3";#N/A,#N/A,FALSE,"장축";#N/A,#N/A,FALSE,"4WD"}</definedName>
    <definedName name="ㅁㅈㅂㅈㅂ" localSheetId="4" hidden="1">#REF!</definedName>
    <definedName name="ㅁㅈㅂㅈㅂ" localSheetId="0" hidden="1">#REF!</definedName>
    <definedName name="ㅁㅈㅂㅈㅂ" localSheetId="2" hidden="1">#REF!</definedName>
    <definedName name="ㅁㅈㅂㅈㅂ" hidden="1">#REF!</definedName>
    <definedName name="목차" localSheetId="6" hidden="1">{#N/A,#N/A,FALSE,"단축1";#N/A,#N/A,FALSE,"단축2";#N/A,#N/A,FALSE,"단축3";#N/A,#N/A,FALSE,"장축";#N/A,#N/A,FALSE,"4WD"}</definedName>
    <definedName name="목차" hidden="1">{#N/A,#N/A,FALSE,"단축1";#N/A,#N/A,FALSE,"단축2";#N/A,#N/A,FALSE,"단축3";#N/A,#N/A,FALSE,"장축";#N/A,#N/A,FALSE,"4WD"}</definedName>
    <definedName name="물랴자" localSheetId="6" hidden="1">{#N/A,#N/A,TRUE,"Y생산";#N/A,#N/A,TRUE,"Y판매";#N/A,#N/A,TRUE,"Y총물량";#N/A,#N/A,TRUE,"Y능력";#N/A,#N/A,TRUE,"YKD"}</definedName>
    <definedName name="물랴자" hidden="1">{#N/A,#N/A,TRUE,"Y생산";#N/A,#N/A,TRUE,"Y판매";#N/A,#N/A,TRUE,"Y총물량";#N/A,#N/A,TRUE,"Y능력";#N/A,#N/A,TRUE,"YKD"}</definedName>
    <definedName name="물량수" localSheetId="6" hidden="1">{#N/A,#N/A,TRUE,"Y생산";#N/A,#N/A,TRUE,"Y판매";#N/A,#N/A,TRUE,"Y총물량";#N/A,#N/A,TRUE,"Y능력";#N/A,#N/A,TRUE,"YKD"}</definedName>
    <definedName name="물량수" hidden="1">{#N/A,#N/A,TRUE,"Y생산";#N/A,#N/A,TRUE,"Y판매";#N/A,#N/A,TRUE,"Y총물량";#N/A,#N/A,TRUE,"Y능력";#N/A,#N/A,TRUE,"YKD"}</definedName>
    <definedName name="물량수정" localSheetId="6" hidden="1">{#N/A,#N/A,TRUE,"Y생산";#N/A,#N/A,TRUE,"Y판매";#N/A,#N/A,TRUE,"Y총물량";#N/A,#N/A,TRUE,"Y능력";#N/A,#N/A,TRUE,"YKD"}</definedName>
    <definedName name="물량수정" hidden="1">{#N/A,#N/A,TRUE,"Y생산";#N/A,#N/A,TRUE,"Y판매";#N/A,#N/A,TRUE,"Y총물량";#N/A,#N/A,TRUE,"Y능력";#N/A,#N/A,TRUE,"YKD"}</definedName>
    <definedName name="물량수정1" localSheetId="6" hidden="1">{#N/A,#N/A,TRUE,"Y생산";#N/A,#N/A,TRUE,"Y판매";#N/A,#N/A,TRUE,"Y총물량";#N/A,#N/A,TRUE,"Y능력";#N/A,#N/A,TRUE,"YKD"}</definedName>
    <definedName name="물량수정1" hidden="1">{#N/A,#N/A,TRUE,"Y생산";#N/A,#N/A,TRUE,"Y판매";#N/A,#N/A,TRUE,"Y총물량";#N/A,#N/A,TRUE,"Y능력";#N/A,#N/A,TRUE,"YKD"}</definedName>
    <definedName name="물량수정2" localSheetId="6" hidden="1">{#N/A,#N/A,TRUE,"Y생산";#N/A,#N/A,TRUE,"Y판매";#N/A,#N/A,TRUE,"Y총물량";#N/A,#N/A,TRUE,"Y능력";#N/A,#N/A,TRUE,"YKD"}</definedName>
    <definedName name="물량수정2" hidden="1">{#N/A,#N/A,TRUE,"Y생산";#N/A,#N/A,TRUE,"Y판매";#N/A,#N/A,TRUE,"Y총물량";#N/A,#N/A,TRUE,"Y능력";#N/A,#N/A,TRUE,"YKD"}</definedName>
    <definedName name="물량정" localSheetId="6" hidden="1">{#N/A,#N/A,TRUE,"Y생산";#N/A,#N/A,TRUE,"Y판매";#N/A,#N/A,TRUE,"Y총물량";#N/A,#N/A,TRUE,"Y능력";#N/A,#N/A,TRUE,"YKD"}</definedName>
    <definedName name="물량정" hidden="1">{#N/A,#N/A,TRUE,"Y생산";#N/A,#N/A,TRUE,"Y판매";#N/A,#N/A,TRUE,"Y총물량";#N/A,#N/A,TRUE,"Y능력";#N/A,#N/A,TRUE,"YKD"}</definedName>
    <definedName name="물량조정" localSheetId="6" hidden="1">{#N/A,#N/A,TRUE,"Y생산";#N/A,#N/A,TRUE,"Y판매";#N/A,#N/A,TRUE,"Y총물량";#N/A,#N/A,TRUE,"Y능력";#N/A,#N/A,TRUE,"YKD"}</definedName>
    <definedName name="물량조정" hidden="1">{#N/A,#N/A,TRUE,"Y생산";#N/A,#N/A,TRUE,"Y판매";#N/A,#N/A,TRUE,"Y총물량";#N/A,#N/A,TRUE,"Y능력";#N/A,#N/A,TRUE,"YKD"}</definedName>
    <definedName name="물수" localSheetId="6" hidden="1">{#N/A,#N/A,TRUE,"Y생산";#N/A,#N/A,TRUE,"Y판매";#N/A,#N/A,TRUE,"Y총물량";#N/A,#N/A,TRUE,"Y능력";#N/A,#N/A,TRUE,"YKD"}</definedName>
    <definedName name="물수" hidden="1">{#N/A,#N/A,TRUE,"Y생산";#N/A,#N/A,TRUE,"Y판매";#N/A,#N/A,TRUE,"Y총물량";#N/A,#N/A,TRUE,"Y능력";#N/A,#N/A,TRUE,"YKD"}</definedName>
    <definedName name="ㅂ" localSheetId="6" hidden="1">{#N/A,#N/A,FALSE,"단축1";#N/A,#N/A,FALSE,"단축2";#N/A,#N/A,FALSE,"단축3";#N/A,#N/A,FALSE,"장축";#N/A,#N/A,FALSE,"4WD"}</definedName>
    <definedName name="ㅂ" hidden="1">{#N/A,#N/A,FALSE,"단축1";#N/A,#N/A,FALSE,"단축2";#N/A,#N/A,FALSE,"단축3";#N/A,#N/A,FALSE,"장축";#N/A,#N/A,FALSE,"4WD"}</definedName>
    <definedName name="ㅂㅂㅂ" localSheetId="6" hidden="1">{#N/A,#N/A,FALSE,"단축1";#N/A,#N/A,FALSE,"단축2";#N/A,#N/A,FALSE,"단축3";#N/A,#N/A,FALSE,"장축";#N/A,#N/A,FALSE,"4WD"}</definedName>
    <definedName name="ㅂㅂㅂ" hidden="1">{#N/A,#N/A,FALSE,"단축1";#N/A,#N/A,FALSE,"단축2";#N/A,#N/A,FALSE,"단축3";#N/A,#N/A,FALSE,"장축";#N/A,#N/A,FALSE,"4WD"}</definedName>
    <definedName name="바로가기" localSheetId="6" hidden="1">{#N/A,#N/A,FALSE,"단축1";#N/A,#N/A,FALSE,"단축2";#N/A,#N/A,FALSE,"단축3";#N/A,#N/A,FALSE,"장축";#N/A,#N/A,FALSE,"4WD"}</definedName>
    <definedName name="바로가기" hidden="1">{#N/A,#N/A,FALSE,"단축1";#N/A,#N/A,FALSE,"단축2";#N/A,#N/A,FALSE,"단축3";#N/A,#N/A,FALSE,"장축";#N/A,#N/A,FALSE,"4WD"}</definedName>
    <definedName name="바바라" localSheetId="6" hidden="1">{#N/A,#N/A,TRUE,"Y생산";#N/A,#N/A,TRUE,"Y판매";#N/A,#N/A,TRUE,"Y총물량";#N/A,#N/A,TRUE,"Y능력";#N/A,#N/A,TRUE,"YKD"}</definedName>
    <definedName name="바바라" hidden="1">{#N/A,#N/A,TRUE,"Y생산";#N/A,#N/A,TRUE,"Y판매";#N/A,#N/A,TRUE,"Y총물량";#N/A,#N/A,TRUE,"Y능력";#N/A,#N/A,TRUE,"YKD"}</definedName>
    <definedName name="방진고무" localSheetId="6" hidden="1">{#N/A,#N/A,FALSE,"단축1";#N/A,#N/A,FALSE,"단축2";#N/A,#N/A,FALSE,"단축3";#N/A,#N/A,FALSE,"장축";#N/A,#N/A,FALSE,"4WD"}</definedName>
    <definedName name="방진고무" hidden="1">{#N/A,#N/A,FALSE,"단축1";#N/A,#N/A,FALSE,"단축2";#N/A,#N/A,FALSE,"단축3";#N/A,#N/A,FALSE,"장축";#N/A,#N/A,FALSE,"4WD"}</definedName>
    <definedName name="변경목차" localSheetId="6" hidden="1">{#N/A,#N/A,FALSE,"단축1";#N/A,#N/A,FALSE,"단축2";#N/A,#N/A,FALSE,"단축3";#N/A,#N/A,FALSE,"장축";#N/A,#N/A,FALSE,"4WD"}</definedName>
    <definedName name="변경목차" hidden="1">{#N/A,#N/A,FALSE,"단축1";#N/A,#N/A,FALSE,"단축2";#N/A,#N/A,FALSE,"단축3";#N/A,#N/A,FALSE,"장축";#N/A,#N/A,FALSE,"4WD"}</definedName>
    <definedName name="보고" localSheetId="6" hidden="1">{#N/A,#N/A,FALSE,"단축1";#N/A,#N/A,FALSE,"단축2";#N/A,#N/A,FALSE,"단축3";#N/A,#N/A,FALSE,"장축";#N/A,#N/A,FALSE,"4WD"}</definedName>
    <definedName name="보고" hidden="1">{#N/A,#N/A,FALSE,"단축1";#N/A,#N/A,FALSE,"단축2";#N/A,#N/A,FALSE,"단축3";#N/A,#N/A,FALSE,"장축";#N/A,#N/A,FALSE,"4WD"}</definedName>
    <definedName name="볼트수정" localSheetId="6" hidden="1">{#N/A,#N/A,FALSE,"단축1";#N/A,#N/A,FALSE,"단축2";#N/A,#N/A,FALSE,"단축3";#N/A,#N/A,FALSE,"장축";#N/A,#N/A,FALSE,"4WD"}</definedName>
    <definedName name="볼트수정" hidden="1">{#N/A,#N/A,FALSE,"단축1";#N/A,#N/A,FALSE,"단축2";#N/A,#N/A,FALSE,"단축3";#N/A,#N/A,FALSE,"장축";#N/A,#N/A,FALSE,"4WD"}</definedName>
    <definedName name="분기별" localSheetId="6" hidden="1">{#N/A,#N/A,TRUE,"Y생산";#N/A,#N/A,TRUE,"Y판매";#N/A,#N/A,TRUE,"Y총물량";#N/A,#N/A,TRUE,"Y능력";#N/A,#N/A,TRUE,"YKD"}</definedName>
    <definedName name="분기별" hidden="1">{#N/A,#N/A,TRUE,"Y생산";#N/A,#N/A,TRUE,"Y판매";#N/A,#N/A,TRUE,"Y총물량";#N/A,#N/A,TRUE,"Y능력";#N/A,#N/A,TRUE,"YKD"}</definedName>
    <definedName name="세왕123" localSheetId="6" hidden="1">{#N/A,#N/A,FALSE,"단축1";#N/A,#N/A,FALSE,"단축2";#N/A,#N/A,FALSE,"단축3";#N/A,#N/A,FALSE,"장축";#N/A,#N/A,FALSE,"4WD"}</definedName>
    <definedName name="세왕123" hidden="1">{#N/A,#N/A,FALSE,"단축1";#N/A,#N/A,FALSE,"단축2";#N/A,#N/A,FALSE,"단축3";#N/A,#N/A,FALSE,"장축";#N/A,#N/A,FALSE,"4WD"}</definedName>
    <definedName name="셀리카" localSheetId="4" hidden="1">#REF!</definedName>
    <definedName name="셀리카" localSheetId="0" hidden="1">#REF!</definedName>
    <definedName name="셀리카" localSheetId="2" hidden="1">#REF!</definedName>
    <definedName name="셀리카" hidden="1">#REF!</definedName>
    <definedName name="소뮨" localSheetId="6" hidden="1">{#N/A,#N/A,FALSE,"단축1";#N/A,#N/A,FALSE,"단축2";#N/A,#N/A,FALSE,"단축3";#N/A,#N/A,FALSE,"장축";#N/A,#N/A,FALSE,"4WD"}</definedName>
    <definedName name="소뮨" hidden="1">{#N/A,#N/A,FALSE,"단축1";#N/A,#N/A,FALSE,"단축2";#N/A,#N/A,FALSE,"단축3";#N/A,#N/A,FALSE,"장축";#N/A,#N/A,FALSE,"4WD"}</definedName>
    <definedName name="쇼바2" localSheetId="6" hidden="1">{#N/A,#N/A,FALSE,"단축1";#N/A,#N/A,FALSE,"단축2";#N/A,#N/A,FALSE,"단축3";#N/A,#N/A,FALSE,"장축";#N/A,#N/A,FALSE,"4WD"}</definedName>
    <definedName name="쇼바2" hidden="1">{#N/A,#N/A,FALSE,"단축1";#N/A,#N/A,FALSE,"단축2";#N/A,#N/A,FALSE,"단축3";#N/A,#N/A,FALSE,"장축";#N/A,#N/A,FALSE,"4WD"}</definedName>
    <definedName name="수정물량" localSheetId="6" hidden="1">{#N/A,#N/A,TRUE,"Y생산";#N/A,#N/A,TRUE,"Y판매";#N/A,#N/A,TRUE,"Y총물량";#N/A,#N/A,TRUE,"Y능력";#N/A,#N/A,TRUE,"YKD"}</definedName>
    <definedName name="수정물량" hidden="1">{#N/A,#N/A,TRUE,"Y생산";#N/A,#N/A,TRUE,"Y판매";#N/A,#N/A,TRUE,"Y총물량";#N/A,#N/A,TRUE,"Y능력";#N/A,#N/A,TRUE,"YKD"}</definedName>
    <definedName name="수통" localSheetId="6" hidden="1">{#N/A,#N/A,FALSE,"단축1";#N/A,#N/A,FALSE,"단축2";#N/A,#N/A,FALSE,"단축3";#N/A,#N/A,FALSE,"장축";#N/A,#N/A,FALSE,"4WD"}</definedName>
    <definedName name="수통" hidden="1">{#N/A,#N/A,FALSE,"단축1";#N/A,#N/A,FALSE,"단축2";#N/A,#N/A,FALSE,"단축3";#N/A,#N/A,FALSE,"장축";#N/A,#N/A,FALSE,"4WD"}</definedName>
    <definedName name="신기술_신공법" localSheetId="6" hidden="1">{#N/A,#N/A,FALSE,"단축1";#N/A,#N/A,FALSE,"단축2";#N/A,#N/A,FALSE,"단축3";#N/A,#N/A,FALSE,"장축";#N/A,#N/A,FALSE,"4WD"}</definedName>
    <definedName name="신기술_신공법" hidden="1">{#N/A,#N/A,FALSE,"단축1";#N/A,#N/A,FALSE,"단축2";#N/A,#N/A,FALSE,"단축3";#N/A,#N/A,FALSE,"장축";#N/A,#N/A,FALSE,"4WD"}</definedName>
    <definedName name="신용" localSheetId="6" hidden="1">{#N/A,#N/A,FALSE,"인원";#N/A,#N/A,FALSE,"비용2";#N/A,#N/A,FALSE,"비용1";#N/A,#N/A,FALSE,"비용";#N/A,#N/A,FALSE,"보증2";#N/A,#N/A,FALSE,"보증1";#N/A,#N/A,FALSE,"보증";#N/A,#N/A,FALSE,"손익1";#N/A,#N/A,FALSE,"손익";#N/A,#N/A,FALSE,"부서별매출";#N/A,#N/A,FALSE,"매출"}</definedName>
    <definedName name="신용" hidden="1">{#N/A,#N/A,FALSE,"인원";#N/A,#N/A,FALSE,"비용2";#N/A,#N/A,FALSE,"비용1";#N/A,#N/A,FALSE,"비용";#N/A,#N/A,FALSE,"보증2";#N/A,#N/A,FALSE,"보증1";#N/A,#N/A,FALSE,"보증";#N/A,#N/A,FALSE,"손익1";#N/A,#N/A,FALSE,"손익";#N/A,#N/A,FALSE,"부서별매출";#N/A,#N/A,FALSE,"매출"}</definedName>
    <definedName name="신용1" localSheetId="6" hidden="1">{#N/A,#N/A,FALSE,"인원";#N/A,#N/A,FALSE,"비용2";#N/A,#N/A,FALSE,"비용1";#N/A,#N/A,FALSE,"비용";#N/A,#N/A,FALSE,"보증2";#N/A,#N/A,FALSE,"보증1";#N/A,#N/A,FALSE,"보증";#N/A,#N/A,FALSE,"손익1";#N/A,#N/A,FALSE,"손익";#N/A,#N/A,FALSE,"부서별매출";#N/A,#N/A,FALSE,"매출"}</definedName>
    <definedName name="신용1" hidden="1">{#N/A,#N/A,FALSE,"인원";#N/A,#N/A,FALSE,"비용2";#N/A,#N/A,FALSE,"비용1";#N/A,#N/A,FALSE,"비용";#N/A,#N/A,FALSE,"보증2";#N/A,#N/A,FALSE,"보증1";#N/A,#N/A,FALSE,"보증";#N/A,#N/A,FALSE,"손익1";#N/A,#N/A,FALSE,"손익";#N/A,#N/A,FALSE,"부서별매출";#N/A,#N/A,FALSE,"매출"}</definedName>
    <definedName name="신차품질일정" localSheetId="6" hidden="1">{#N/A,#N/A,FALSE,"단축1";#N/A,#N/A,FALSE,"단축2";#N/A,#N/A,FALSE,"단축3";#N/A,#N/A,FALSE,"장축";#N/A,#N/A,FALSE,"4WD"}</definedName>
    <definedName name="신차품질일정" hidden="1">{#N/A,#N/A,FALSE,"단축1";#N/A,#N/A,FALSE,"단축2";#N/A,#N/A,FALSE,"단축3";#N/A,#N/A,FALSE,"장축";#N/A,#N/A,FALSE,"4WD"}</definedName>
    <definedName name="실적집계" localSheetId="6" hidden="1">{#N/A,#N/A,FALSE,"단축1";#N/A,#N/A,FALSE,"단축2";#N/A,#N/A,FALSE,"단축3";#N/A,#N/A,FALSE,"장축";#N/A,#N/A,FALSE,"4WD"}</definedName>
    <definedName name="실적집계" hidden="1">{#N/A,#N/A,FALSE,"단축1";#N/A,#N/A,FALSE,"단축2";#N/A,#N/A,FALSE,"단축3";#N/A,#N/A,FALSE,"장축";#N/A,#N/A,FALSE,"4WD"}</definedName>
    <definedName name="ㅇㄹ" localSheetId="6" hidden="1">{#N/A,#N/A,FALSE,"단축1";#N/A,#N/A,FALSE,"단축2";#N/A,#N/A,FALSE,"단축3";#N/A,#N/A,FALSE,"장축";#N/A,#N/A,FALSE,"4WD"}</definedName>
    <definedName name="ㅇㄹ" hidden="1">{#N/A,#N/A,FALSE,"단축1";#N/A,#N/A,FALSE,"단축2";#N/A,#N/A,FALSE,"단축3";#N/A,#N/A,FALSE,"장축";#N/A,#N/A,FALSE,"4WD"}</definedName>
    <definedName name="ㅇㄹㄴ" localSheetId="6" hidden="1">{#N/A,#N/A,FALSE,"단축1";#N/A,#N/A,FALSE,"단축2";#N/A,#N/A,FALSE,"단축3";#N/A,#N/A,FALSE,"장축";#N/A,#N/A,FALSE,"4WD"}</definedName>
    <definedName name="ㅇㄹㄴ" hidden="1">{#N/A,#N/A,FALSE,"단축1";#N/A,#N/A,FALSE,"단축2";#N/A,#N/A,FALSE,"단축3";#N/A,#N/A,FALSE,"장축";#N/A,#N/A,FALSE,"4WD"}</definedName>
    <definedName name="ㅇ롱" localSheetId="6" hidden="1">{#N/A,#N/A,FALSE,"단축1";#N/A,#N/A,FALSE,"단축2";#N/A,#N/A,FALSE,"단축3";#N/A,#N/A,FALSE,"장축";#N/A,#N/A,FALSE,"4WD"}</definedName>
    <definedName name="ㅇ롱" hidden="1">{#N/A,#N/A,FALSE,"단축1";#N/A,#N/A,FALSE,"단축2";#N/A,#N/A,FALSE,"단축3";#N/A,#N/A,FALSE,"장축";#N/A,#N/A,FALSE,"4WD"}</definedName>
    <definedName name="ㅇ류" localSheetId="6" hidden="1">{#N/A,#N/A,FALSE,"단축1";#N/A,#N/A,FALSE,"단축2";#N/A,#N/A,FALSE,"단축3";#N/A,#N/A,FALSE,"장축";#N/A,#N/A,FALSE,"4WD"}</definedName>
    <definedName name="ㅇ류" hidden="1">{#N/A,#N/A,FALSE,"단축1";#N/A,#N/A,FALSE,"단축2";#N/A,#N/A,FALSE,"단축3";#N/A,#N/A,FALSE,"장축";#N/A,#N/A,FALSE,"4WD"}</definedName>
    <definedName name="ㅇ륭" localSheetId="6" hidden="1">{#N/A,#N/A,FALSE,"단축1";#N/A,#N/A,FALSE,"단축2";#N/A,#N/A,FALSE,"단축3";#N/A,#N/A,FALSE,"장축";#N/A,#N/A,FALSE,"4WD"}</definedName>
    <definedName name="ㅇ륭" hidden="1">{#N/A,#N/A,FALSE,"단축1";#N/A,#N/A,FALSE,"단축2";#N/A,#N/A,FALSE,"단축3";#N/A,#N/A,FALSE,"장축";#N/A,#N/A,FALSE,"4WD"}</definedName>
    <definedName name="ㅇㅀ호" localSheetId="6" hidden="1">{#N/A,#N/A,FALSE,"단축1";#N/A,#N/A,FALSE,"단축2";#N/A,#N/A,FALSE,"단축3";#N/A,#N/A,FALSE,"장축";#N/A,#N/A,FALSE,"4WD"}</definedName>
    <definedName name="ㅇㅀ호" hidden="1">{#N/A,#N/A,FALSE,"단축1";#N/A,#N/A,FALSE,"단축2";#N/A,#N/A,FALSE,"단축3";#N/A,#N/A,FALSE,"장축";#N/A,#N/A,FALSE,"4WD"}</definedName>
    <definedName name="ㅇㅇ" localSheetId="6" hidden="1">{#N/A,#N/A,FALSE,"단축1";#N/A,#N/A,FALSE,"단축2";#N/A,#N/A,FALSE,"단축3";#N/A,#N/A,FALSE,"장축";#N/A,#N/A,FALSE,"4WD"}</definedName>
    <definedName name="ㅇㅇ" hidden="1">{#N/A,#N/A,FALSE,"단축1";#N/A,#N/A,FALSE,"단축2";#N/A,#N/A,FALSE,"단축3";#N/A,#N/A,FALSE,"장축";#N/A,#N/A,FALSE,"4WD"}</definedName>
    <definedName name="ㅇㅎㄹ" localSheetId="6" hidden="1">{#N/A,#N/A,FALSE,"단축1";#N/A,#N/A,FALSE,"단축2";#N/A,#N/A,FALSE,"단축3";#N/A,#N/A,FALSE,"장축";#N/A,#N/A,FALSE,"4WD"}</definedName>
    <definedName name="ㅇㅎㄹ" hidden="1">{#N/A,#N/A,FALSE,"단축1";#N/A,#N/A,FALSE,"단축2";#N/A,#N/A,FALSE,"단축3";#N/A,#N/A,FALSE,"장축";#N/A,#N/A,FALSE,"4WD"}</definedName>
    <definedName name="안현모" localSheetId="6" hidden="1">{#N/A,#N/A,FALSE,"단축1";#N/A,#N/A,FALSE,"단축2";#N/A,#N/A,FALSE,"단축3";#N/A,#N/A,FALSE,"장축";#N/A,#N/A,FALSE,"4WD"}</definedName>
    <definedName name="안현모" hidden="1">{#N/A,#N/A,FALSE,"단축1";#N/A,#N/A,FALSE,"단축2";#N/A,#N/A,FALSE,"단축3";#N/A,#N/A,FALSE,"장축";#N/A,#N/A,FALSE,"4WD"}</definedName>
    <definedName name="액슬" localSheetId="6" hidden="1">{#N/A,#N/A,FALSE,"단축1";#N/A,#N/A,FALSE,"단축2";#N/A,#N/A,FALSE,"단축3";#N/A,#N/A,FALSE,"장축";#N/A,#N/A,FALSE,"4WD"}</definedName>
    <definedName name="액슬" hidden="1">{#N/A,#N/A,FALSE,"단축1";#N/A,#N/A,FALSE,"단축2";#N/A,#N/A,FALSE,"단축3";#N/A,#N/A,FALSE,"장축";#N/A,#N/A,FALSE,"4WD"}</definedName>
    <definedName name="양대호" localSheetId="6" hidden="1">{#N/A,#N/A,FALSE,"단축1";#N/A,#N/A,FALSE,"단축2";#N/A,#N/A,FALSE,"단축3";#N/A,#N/A,FALSE,"장축";#N/A,#N/A,FALSE,"4WD"}</definedName>
    <definedName name="양대호" hidden="1">{#N/A,#N/A,FALSE,"단축1";#N/A,#N/A,FALSE,"단축2";#N/A,#N/A,FALSE,"단축3";#N/A,#N/A,FALSE,"장축";#N/A,#N/A,FALSE,"4WD"}</definedName>
    <definedName name="양식" localSheetId="6" hidden="1">{#N/A,#N/A,FALSE,"단축1";#N/A,#N/A,FALSE,"단축2";#N/A,#N/A,FALSE,"단축3";#N/A,#N/A,FALSE,"장축";#N/A,#N/A,FALSE,"4WD"}</definedName>
    <definedName name="양식" hidden="1">{#N/A,#N/A,FALSE,"단축1";#N/A,#N/A,FALSE,"단축2";#N/A,#N/A,FALSE,"단축3";#N/A,#N/A,FALSE,"장축";#N/A,#N/A,FALSE,"4WD"}</definedName>
    <definedName name="양식1" localSheetId="6" hidden="1">{#N/A,#N/A,FALSE,"단축1";#N/A,#N/A,FALSE,"단축2";#N/A,#N/A,FALSE,"단축3";#N/A,#N/A,FALSE,"장축";#N/A,#N/A,FALSE,"4WD"}</definedName>
    <definedName name="양식1" hidden="1">{#N/A,#N/A,FALSE,"단축1";#N/A,#N/A,FALSE,"단축2";#N/A,#N/A,FALSE,"단축3";#N/A,#N/A,FALSE,"장축";#N/A,#N/A,FALSE,"4WD"}</definedName>
    <definedName name="양식4" localSheetId="6"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양식4" hidden="1">{#N/A,#N/A,FALSE,"총매출,이익";#N/A,#N/A,FALSE,"사업소계";#N/A,#N/A,FALSE,"남대구";#N/A,#N/A,FALSE,"평촌";#N/A,#N/A,FALSE,"사상";#N/A,#N/A,FALSE,"이리";#N/A,#N/A,FALSE,"수원";#N/A,#N/A,FALSE,"남부산";#N/A,#N/A,FALSE,"김해";#N/A,#N/A,FALSE,"일산";#N/A,#N/A,FALSE,"포항";#N/A,#N/A,FALSE,"청주";#N/A,#N/A,FALSE,"요약손익";#N/A,#N/A,FALSE,"요약손익누계";#N/A,#N/A,FALSE,"당월누계"}</definedName>
    <definedName name="업체" localSheetId="6" hidden="1">{#N/A,#N/A,FALSE,"단축1";#N/A,#N/A,FALSE,"단축2";#N/A,#N/A,FALSE,"단축3";#N/A,#N/A,FALSE,"장축";#N/A,#N/A,FALSE,"4WD"}</definedName>
    <definedName name="업체" hidden="1">{#N/A,#N/A,FALSE,"단축1";#N/A,#N/A,FALSE,"단축2";#N/A,#N/A,FALSE,"단축3";#N/A,#N/A,FALSE,"장축";#N/A,#N/A,FALSE,"4WD"}</definedName>
    <definedName name="업체방문" localSheetId="6" hidden="1">{#N/A,#N/A,FALSE,"단축1";#N/A,#N/A,FALSE,"단축2";#N/A,#N/A,FALSE,"단축3";#N/A,#N/A,FALSE,"장축";#N/A,#N/A,FALSE,"4WD"}</definedName>
    <definedName name="업체방문" hidden="1">{#N/A,#N/A,FALSE,"단축1";#N/A,#N/A,FALSE,"단축2";#N/A,#N/A,FALSE,"단축3";#N/A,#N/A,FALSE,"장축";#N/A,#N/A,FALSE,"4WD"}</definedName>
    <definedName name="에어벤트" localSheetId="6" hidden="1">{#N/A,#N/A,FALSE,"단축1";#N/A,#N/A,FALSE,"단축2";#N/A,#N/A,FALSE,"단축3";#N/A,#N/A,FALSE,"장축";#N/A,#N/A,FALSE,"4WD"}</definedName>
    <definedName name="에어벤트" hidden="1">{#N/A,#N/A,FALSE,"단축1";#N/A,#N/A,FALSE,"단축2";#N/A,#N/A,FALSE,"단축3";#N/A,#N/A,FALSE,"장축";#N/A,#N/A,FALSE,"4WD"}</definedName>
    <definedName name="오" localSheetId="6" hidden="1">{#N/A,#N/A,FALSE,"단축1";#N/A,#N/A,FALSE,"단축2";#N/A,#N/A,FALSE,"단축3";#N/A,#N/A,FALSE,"장축";#N/A,#N/A,FALSE,"4WD"}</definedName>
    <definedName name="오" hidden="1">{#N/A,#N/A,FALSE,"단축1";#N/A,#N/A,FALSE,"단축2";#N/A,#N/A,FALSE,"단축3";#N/A,#N/A,FALSE,"장축";#N/A,#N/A,FALSE,"4WD"}</definedName>
    <definedName name="원자재종합" localSheetId="6" hidden="1">{#N/A,#N/A,FALSE,"단축1";#N/A,#N/A,FALSE,"단축2";#N/A,#N/A,FALSE,"단축3";#N/A,#N/A,FALSE,"장축";#N/A,#N/A,FALSE,"4WD"}</definedName>
    <definedName name="원자재종합" hidden="1">{#N/A,#N/A,FALSE,"단축1";#N/A,#N/A,FALSE,"단축2";#N/A,#N/A,FALSE,"단축3";#N/A,#N/A,FALSE,"장축";#N/A,#N/A,FALSE,"4WD"}</definedName>
    <definedName name="유형" localSheetId="6" hidden="1">{#N/A,#N/A,TRUE,"Y생산";#N/A,#N/A,TRUE,"Y판매";#N/A,#N/A,TRUE,"Y총물량";#N/A,#N/A,TRUE,"Y능력";#N/A,#N/A,TRUE,"YKD"}</definedName>
    <definedName name="유형" hidden="1">{#N/A,#N/A,TRUE,"Y생산";#N/A,#N/A,TRUE,"Y판매";#N/A,#N/A,TRUE,"Y총물량";#N/A,#N/A,TRUE,"Y능력";#N/A,#N/A,TRUE,"YKD"}</definedName>
    <definedName name="이란" localSheetId="6" hidden="1">{#N/A,#N/A,FALSE,"단축1";#N/A,#N/A,FALSE,"단축2";#N/A,#N/A,FALSE,"단축3";#N/A,#N/A,FALSE,"장축";#N/A,#N/A,FALSE,"4WD"}</definedName>
    <definedName name="이란" hidden="1">{#N/A,#N/A,FALSE,"단축1";#N/A,#N/A,FALSE,"단축2";#N/A,#N/A,FALSE,"단축3";#N/A,#N/A,FALSE,"장축";#N/A,#N/A,FALSE,"4WD"}</definedName>
    <definedName name="이혁준" localSheetId="6" hidden="1">{#N/A,#N/A,FALSE,"단축1";#N/A,#N/A,FALSE,"단축2";#N/A,#N/A,FALSE,"단축3";#N/A,#N/A,FALSE,"장축";#N/A,#N/A,FALSE,"4WD"}</definedName>
    <definedName name="이혁준" hidden="1">{#N/A,#N/A,FALSE,"단축1";#N/A,#N/A,FALSE,"단축2";#N/A,#N/A,FALSE,"단축3";#N/A,#N/A,FALSE,"장축";#N/A,#N/A,FALSE,"4WD"}</definedName>
    <definedName name="인몰드2" localSheetId="6" hidden="1">{#N/A,#N/A,FALSE,"단축1";#N/A,#N/A,FALSE,"단축2";#N/A,#N/A,FALSE,"단축3";#N/A,#N/A,FALSE,"장축";#N/A,#N/A,FALSE,"4WD"}</definedName>
    <definedName name="인몰드2" hidden="1">{#N/A,#N/A,FALSE,"단축1";#N/A,#N/A,FALSE,"단축2";#N/A,#N/A,FALSE,"단축3";#N/A,#N/A,FALSE,"장축";#N/A,#N/A,FALSE,"4WD"}</definedName>
    <definedName name="인몰드성형" localSheetId="6" hidden="1">{#N/A,#N/A,FALSE,"단축1";#N/A,#N/A,FALSE,"단축2";#N/A,#N/A,FALSE,"단축3";#N/A,#N/A,FALSE,"장축";#N/A,#N/A,FALSE,"4WD"}</definedName>
    <definedName name="인몰드성형" hidden="1">{#N/A,#N/A,FALSE,"단축1";#N/A,#N/A,FALSE,"단축2";#N/A,#N/A,FALSE,"단축3";#N/A,#N/A,FALSE,"장축";#N/A,#N/A,FALSE,"4WD"}</definedName>
    <definedName name="ㅈㄷㄴ" localSheetId="6" hidden="1">{#N/A,#N/A,FALSE,"단축1";#N/A,#N/A,FALSE,"단축2";#N/A,#N/A,FALSE,"단축3";#N/A,#N/A,FALSE,"장축";#N/A,#N/A,FALSE,"4WD"}</definedName>
    <definedName name="ㅈㄷㄴ" hidden="1">{#N/A,#N/A,FALSE,"단축1";#N/A,#N/A,FALSE,"단축2";#N/A,#N/A,FALSE,"단축3";#N/A,#N/A,FALSE,"장축";#N/A,#N/A,FALSE,"4WD"}</definedName>
    <definedName name="ㅈㄹ" localSheetId="6" hidden="1">{#N/A,#N/A,FALSE,"단축1";#N/A,#N/A,FALSE,"단축2";#N/A,#N/A,FALSE,"단축3";#N/A,#N/A,FALSE,"장축";#N/A,#N/A,FALSE,"4WD"}</definedName>
    <definedName name="ㅈㄹ" hidden="1">{#N/A,#N/A,FALSE,"단축1";#N/A,#N/A,FALSE,"단축2";#N/A,#N/A,FALSE,"단축3";#N/A,#N/A,FALSE,"장축";#N/A,#N/A,FALSE,"4WD"}</definedName>
    <definedName name="ㅈㅈㅈ" localSheetId="6" hidden="1">{#N/A,#N/A,FALSE,"단축1";#N/A,#N/A,FALSE,"단축2";#N/A,#N/A,FALSE,"단축3";#N/A,#N/A,FALSE,"장축";#N/A,#N/A,FALSE,"4WD"}</definedName>
    <definedName name="ㅈㅈㅈ" hidden="1">{#N/A,#N/A,FALSE,"단축1";#N/A,#N/A,FALSE,"단축2";#N/A,#N/A,FALSE,"단축3";#N/A,#N/A,FALSE,"장축";#N/A,#N/A,FALSE,"4WD"}</definedName>
    <definedName name="자료정리" localSheetId="6" hidden="1">{#N/A,#N/A,FALSE,"단축1";#N/A,#N/A,FALSE,"단축2";#N/A,#N/A,FALSE,"단축3";#N/A,#N/A,FALSE,"장축";#N/A,#N/A,FALSE,"4WD"}</definedName>
    <definedName name="자료정리" hidden="1">{#N/A,#N/A,FALSE,"단축1";#N/A,#N/A,FALSE,"단축2";#N/A,#N/A,FALSE,"단축3";#N/A,#N/A,FALSE,"장축";#N/A,#N/A,FALSE,"4WD"}</definedName>
    <definedName name="전체현황" localSheetId="6" hidden="1">{#N/A,#N/A,FALSE,"단축1";#N/A,#N/A,FALSE,"단축2";#N/A,#N/A,FALSE,"단축3";#N/A,#N/A,FALSE,"장축";#N/A,#N/A,FALSE,"4WD"}</definedName>
    <definedName name="전체현황" hidden="1">{#N/A,#N/A,FALSE,"단축1";#N/A,#N/A,FALSE,"단축2";#N/A,#N/A,FALSE,"단축3";#N/A,#N/A,FALSE,"장축";#N/A,#N/A,FALSE,"4WD"}</definedName>
    <definedName name="정비대수" localSheetId="6" hidden="1">{#N/A,#N/A,FALSE,"인원";#N/A,#N/A,FALSE,"비용2";#N/A,#N/A,FALSE,"비용1";#N/A,#N/A,FALSE,"비용";#N/A,#N/A,FALSE,"보증2";#N/A,#N/A,FALSE,"보증1";#N/A,#N/A,FALSE,"보증";#N/A,#N/A,FALSE,"손익1";#N/A,#N/A,FALSE,"손익";#N/A,#N/A,FALSE,"부서별매출";#N/A,#N/A,FALSE,"매출"}</definedName>
    <definedName name="정비대수" hidden="1">{#N/A,#N/A,FALSE,"인원";#N/A,#N/A,FALSE,"비용2";#N/A,#N/A,FALSE,"비용1";#N/A,#N/A,FALSE,"비용";#N/A,#N/A,FALSE,"보증2";#N/A,#N/A,FALSE,"보증1";#N/A,#N/A,FALSE,"보증";#N/A,#N/A,FALSE,"손익1";#N/A,#N/A,FALSE,"손익";#N/A,#N/A,FALSE,"부서별매출";#N/A,#N/A,FALSE,"매출"}</definedName>
    <definedName name="제원종합" localSheetId="4" hidden="1">#REF!</definedName>
    <definedName name="제원종합" localSheetId="0" hidden="1">#REF!</definedName>
    <definedName name="제원종합" localSheetId="2" hidden="1">#REF!</definedName>
    <definedName name="제원종합" hidden="1">#REF!</definedName>
    <definedName name="제작현황" localSheetId="6" hidden="1">{#N/A,#N/A,FALSE,"단축1";#N/A,#N/A,FALSE,"단축2";#N/A,#N/A,FALSE,"단축3";#N/A,#N/A,FALSE,"장축";#N/A,#N/A,FALSE,"4WD"}</definedName>
    <definedName name="제작현황" hidden="1">{#N/A,#N/A,FALSE,"단축1";#N/A,#N/A,FALSE,"단축2";#N/A,#N/A,FALSE,"단축3";#N/A,#N/A,FALSE,"장축";#N/A,#N/A,FALSE,"4WD"}</definedName>
    <definedName name="중앙" localSheetId="6" hidden="1">{#N/A,#N/A,FALSE,"단축1";#N/A,#N/A,FALSE,"단축2";#N/A,#N/A,FALSE,"단축3";#N/A,#N/A,FALSE,"장축";#N/A,#N/A,FALSE,"4WD"}</definedName>
    <definedName name="중앙" hidden="1">{#N/A,#N/A,FALSE,"단축1";#N/A,#N/A,FALSE,"단축2";#N/A,#N/A,FALSE,"단축3";#N/A,#N/A,FALSE,"장축";#N/A,#N/A,FALSE,"4WD"}</definedName>
    <definedName name="진출의사보유" localSheetId="6" hidden="1">{#N/A,#N/A,FALSE,"단축1";#N/A,#N/A,FALSE,"단축2";#N/A,#N/A,FALSE,"단축3";#N/A,#N/A,FALSE,"장축";#N/A,#N/A,FALSE,"4WD"}</definedName>
    <definedName name="진출의사보유" hidden="1">{#N/A,#N/A,FALSE,"단축1";#N/A,#N/A,FALSE,"단축2";#N/A,#N/A,FALSE,"단축3";#N/A,#N/A,FALSE,"장축";#N/A,#N/A,FALSE,"4WD"}</definedName>
    <definedName name="진행현황" localSheetId="6" hidden="1">{#N/A,#N/A,FALSE,"단축1";#N/A,#N/A,FALSE,"단축2";#N/A,#N/A,FALSE,"단축3";#N/A,#N/A,FALSE,"장축";#N/A,#N/A,FALSE,"4WD"}</definedName>
    <definedName name="진행현황" hidden="1">{#N/A,#N/A,FALSE,"단축1";#N/A,#N/A,FALSE,"단축2";#N/A,#N/A,FALSE,"단축3";#N/A,#N/A,FALSE,"장축";#N/A,#N/A,FALSE,"4WD"}</definedName>
    <definedName name="첨" localSheetId="6" hidden="1">{#N/A,#N/A,FALSE,"단축1";#N/A,#N/A,FALSE,"단축2";#N/A,#N/A,FALSE,"단축3";#N/A,#N/A,FALSE,"장축";#N/A,#N/A,FALSE,"4WD"}</definedName>
    <definedName name="첨" hidden="1">{#N/A,#N/A,FALSE,"단축1";#N/A,#N/A,FALSE,"단축2";#N/A,#N/A,FALSE,"단축3";#N/A,#N/A,FALSE,"장축";#N/A,#N/A,FALSE,"4WD"}</definedName>
    <definedName name="ㅋㅇㅍ" localSheetId="6" hidden="1">{#N/A,#N/A,FALSE,"단축1";#N/A,#N/A,FALSE,"단축2";#N/A,#N/A,FALSE,"단축3";#N/A,#N/A,FALSE,"장축";#N/A,#N/A,FALSE,"4WD"}</definedName>
    <definedName name="ㅋㅇㅍ" hidden="1">{#N/A,#N/A,FALSE,"단축1";#N/A,#N/A,FALSE,"단축2";#N/A,#N/A,FALSE,"단축3";#N/A,#N/A,FALSE,"장축";#N/A,#N/A,FALSE,"4WD"}</definedName>
    <definedName name="카메라" localSheetId="6" hidden="1">{#N/A,#N/A,FALSE,"단축1";#N/A,#N/A,FALSE,"단축2";#N/A,#N/A,FALSE,"단축3";#N/A,#N/A,FALSE,"장축";#N/A,#N/A,FALSE,"4WD"}</definedName>
    <definedName name="카메라" hidden="1">{#N/A,#N/A,FALSE,"단축1";#N/A,#N/A,FALSE,"단축2";#N/A,#N/A,FALSE,"단축3";#N/A,#N/A,FALSE,"장축";#N/A,#N/A,FALSE,"4WD"}</definedName>
    <definedName name="크랑" localSheetId="6" hidden="1">{#N/A,#N/A,FALSE,"단축1";#N/A,#N/A,FALSE,"단축2";#N/A,#N/A,FALSE,"단축3";#N/A,#N/A,FALSE,"장축";#N/A,#N/A,FALSE,"4WD"}</definedName>
    <definedName name="크랑" hidden="1">{#N/A,#N/A,FALSE,"단축1";#N/A,#N/A,FALSE,"단축2";#N/A,#N/A,FALSE,"단축3";#N/A,#N/A,FALSE,"장축";#N/A,#N/A,FALSE,"4WD"}</definedName>
    <definedName name="키프코" localSheetId="6" hidden="1">{#N/A,#N/A,FALSE,"을지 (4)";#N/A,#N/A,FALSE,"을지 (5)";#N/A,#N/A,FALSE,"을지 (6)"}</definedName>
    <definedName name="키프코" hidden="1">{#N/A,#N/A,FALSE,"을지 (4)";#N/A,#N/A,FALSE,"을지 (5)";#N/A,#N/A,FALSE,"을지 (6)"}</definedName>
    <definedName name="ㅌㅊ" localSheetId="6" hidden="1">{#N/A,#N/A,FALSE,"단축1";#N/A,#N/A,FALSE,"단축2";#N/A,#N/A,FALSE,"단축3";#N/A,#N/A,FALSE,"장축";#N/A,#N/A,FALSE,"4WD"}</definedName>
    <definedName name="ㅌㅊ" hidden="1">{#N/A,#N/A,FALSE,"단축1";#N/A,#N/A,FALSE,"단축2";#N/A,#N/A,FALSE,"단축3";#N/A,#N/A,FALSE,"장축";#N/A,#N/A,FALSE,"4WD"}</definedName>
    <definedName name="통합1장" localSheetId="6" hidden="1">{#N/A,#N/A,FALSE,"단축1";#N/A,#N/A,FALSE,"단축2";#N/A,#N/A,FALSE,"단축3";#N/A,#N/A,FALSE,"장축";#N/A,#N/A,FALSE,"4WD"}</definedName>
    <definedName name="통합1장" hidden="1">{#N/A,#N/A,FALSE,"단축1";#N/A,#N/A,FALSE,"단축2";#N/A,#N/A,FALSE,"단축3";#N/A,#N/A,FALSE,"장축";#N/A,#N/A,FALSE,"4WD"}</definedName>
    <definedName name="투자비실적" localSheetId="6" hidden="1">{#N/A,#N/A,FALSE,"단축1";#N/A,#N/A,FALSE,"단축2";#N/A,#N/A,FALSE,"단축3";#N/A,#N/A,FALSE,"장축";#N/A,#N/A,FALSE,"4WD"}</definedName>
    <definedName name="투자비실적" hidden="1">{#N/A,#N/A,FALSE,"단축1";#N/A,#N/A,FALSE,"단축2";#N/A,#N/A,FALSE,"단축3";#N/A,#N/A,FALSE,"장축";#N/A,#N/A,FALSE,"4WD"}</definedName>
    <definedName name="판매보증" localSheetId="6" hidden="1">{#N/A,#N/A,FALSE,"인원";#N/A,#N/A,FALSE,"비용2";#N/A,#N/A,FALSE,"비용1";#N/A,#N/A,FALSE,"비용";#N/A,#N/A,FALSE,"보증2";#N/A,#N/A,FALSE,"보증1";#N/A,#N/A,FALSE,"보증";#N/A,#N/A,FALSE,"손익1";#N/A,#N/A,FALSE,"손익";#N/A,#N/A,FALSE,"부서별매출";#N/A,#N/A,FALSE,"매출"}</definedName>
    <definedName name="판매보증" hidden="1">{#N/A,#N/A,FALSE,"인원";#N/A,#N/A,FALSE,"비용2";#N/A,#N/A,FALSE,"비용1";#N/A,#N/A,FALSE,"비용";#N/A,#N/A,FALSE,"보증2";#N/A,#N/A,FALSE,"보증1";#N/A,#N/A,FALSE,"보증";#N/A,#N/A,FALSE,"손익1";#N/A,#N/A,FALSE,"손익";#N/A,#N/A,FALSE,"부서별매출";#N/A,#N/A,FALSE,"매출"}</definedName>
    <definedName name="표준화실적99" localSheetId="6" hidden="1">{#N/A,#N/A,FALSE,"단축1";#N/A,#N/A,FALSE,"단축2";#N/A,#N/A,FALSE,"단축3";#N/A,#N/A,FALSE,"장축";#N/A,#N/A,FALSE,"4WD"}</definedName>
    <definedName name="표준화실적99" hidden="1">{#N/A,#N/A,FALSE,"단축1";#N/A,#N/A,FALSE,"단축2";#N/A,#N/A,FALSE,"단축3";#N/A,#N/A,FALSE,"장축";#N/A,#N/A,FALSE,"4WD"}</definedName>
    <definedName name="표지" localSheetId="6" hidden="1">{#N/A,#N/A,FALSE,"단축1";#N/A,#N/A,FALSE,"단축2";#N/A,#N/A,FALSE,"단축3";#N/A,#N/A,FALSE,"장축";#N/A,#N/A,FALSE,"4WD"}</definedName>
    <definedName name="표지" hidden="1">{#N/A,#N/A,FALSE,"단축1";#N/A,#N/A,FALSE,"단축2";#N/A,#N/A,FALSE,"단축3";#N/A,#N/A,FALSE,"장축";#N/A,#N/A,FALSE,"4WD"}</definedName>
    <definedName name="표지1" localSheetId="4" hidden="1">#REF!</definedName>
    <definedName name="표지1" localSheetId="0" hidden="1">#REF!</definedName>
    <definedName name="표지1" localSheetId="2" hidden="1">#REF!</definedName>
    <definedName name="표지1" hidden="1">#REF!</definedName>
    <definedName name="품확" localSheetId="6" hidden="1">{#N/A,#N/A,FALSE,"단축1";#N/A,#N/A,FALSE,"단축2";#N/A,#N/A,FALSE,"단축3";#N/A,#N/A,FALSE,"장축";#N/A,#N/A,FALSE,"4WD"}</definedName>
    <definedName name="품확" hidden="1">{#N/A,#N/A,FALSE,"단축1";#N/A,#N/A,FALSE,"단축2";#N/A,#N/A,FALSE,"단축3";#N/A,#N/A,FALSE,"장축";#N/A,#N/A,FALSE,"4WD"}</definedName>
    <definedName name="프렌지" localSheetId="6" hidden="1">{#N/A,#N/A,FALSE,"단축1";#N/A,#N/A,FALSE,"단축2";#N/A,#N/A,FALSE,"단축3";#N/A,#N/A,FALSE,"장축";#N/A,#N/A,FALSE,"4WD"}</definedName>
    <definedName name="프렌지" hidden="1">{#N/A,#N/A,FALSE,"단축1";#N/A,#N/A,FALSE,"단축2";#N/A,#N/A,FALSE,"단축3";#N/A,#N/A,FALSE,"장축";#N/A,#N/A,FALSE,"4WD"}</definedName>
    <definedName name="ㅎ호ㅓㅓㅗ" localSheetId="6" hidden="1">{#N/A,#N/A,FALSE,"단축1";#N/A,#N/A,FALSE,"단축2";#N/A,#N/A,FALSE,"단축3";#N/A,#N/A,FALSE,"장축";#N/A,#N/A,FALSE,"4WD"}</definedName>
    <definedName name="ㅎ호ㅓㅓㅗ" hidden="1">{#N/A,#N/A,FALSE,"단축1";#N/A,#N/A,FALSE,"단축2";#N/A,#N/A,FALSE,"단축3";#N/A,#N/A,FALSE,"장축";#N/A,#N/A,FALSE,"4WD"}</definedName>
    <definedName name="한영사전" localSheetId="6" hidden="1">{#N/A,#N/A,TRUE,"Y생산";#N/A,#N/A,TRUE,"Y판매";#N/A,#N/A,TRUE,"Y총물량";#N/A,#N/A,TRUE,"Y능력";#N/A,#N/A,TRUE,"YKD"}</definedName>
    <definedName name="한영사전" hidden="1">{#N/A,#N/A,TRUE,"Y생산";#N/A,#N/A,TRUE,"Y판매";#N/A,#N/A,TRUE,"Y총물량";#N/A,#N/A,TRUE,"Y능력";#N/A,#N/A,TRUE,"YKD"}</definedName>
    <definedName name="회장1" localSheetId="6" hidden="1">{#N/A,#N/A,FALSE,"단축1";#N/A,#N/A,FALSE,"단축2";#N/A,#N/A,FALSE,"단축3";#N/A,#N/A,FALSE,"장축";#N/A,#N/A,FALSE,"4WD"}</definedName>
    <definedName name="회장1" hidden="1">{#N/A,#N/A,FALSE,"단축1";#N/A,#N/A,FALSE,"단축2";#N/A,#N/A,FALSE,"단축3";#N/A,#N/A,FALSE,"장축";#N/A,#N/A,FALSE,"4WD"}</definedName>
    <definedName name="회장님" localSheetId="6" hidden="1">{#N/A,#N/A,FALSE,"단축1";#N/A,#N/A,FALSE,"단축2";#N/A,#N/A,FALSE,"단축3";#N/A,#N/A,FALSE,"장축";#N/A,#N/A,FALSE,"4WD"}</definedName>
    <definedName name="회장님" hidden="1">{#N/A,#N/A,FALSE,"단축1";#N/A,#N/A,FALSE,"단축2";#N/A,#N/A,FALSE,"단축3";#N/A,#N/A,FALSE,"장축";#N/A,#N/A,FALSE,"4WD"}</definedName>
    <definedName name="ㅏ휴" localSheetId="6" hidden="1">{#N/A,#N/A,FALSE,"초도품";#N/A,#N/A,FALSE,"초도품 (2)";#N/A,#N/A,FALSE,"초도품 (3)";#N/A,#N/A,FALSE,"초도품 (4)";#N/A,#N/A,FALSE,"초도품 (5)";#N/A,#N/A,FALSE,"초도품 (6)"}</definedName>
    <definedName name="ㅏ휴" hidden="1">{#N/A,#N/A,FALSE,"초도품";#N/A,#N/A,FALSE,"초도품 (2)";#N/A,#N/A,FALSE,"초도품 (3)";#N/A,#N/A,FALSE,"초도품 (4)";#N/A,#N/A,FALSE,"초도품 (5)";#N/A,#N/A,FALSE,"초도품 (6)"}</definedName>
    <definedName name="ㅏㅏㅏ" localSheetId="6" hidden="1">{#N/A,#N/A,FALSE,"단축1";#N/A,#N/A,FALSE,"단축2";#N/A,#N/A,FALSE,"단축3";#N/A,#N/A,FALSE,"장축";#N/A,#N/A,FALSE,"4WD"}</definedName>
    <definedName name="ㅏㅏㅏ" hidden="1">{#N/A,#N/A,FALSE,"단축1";#N/A,#N/A,FALSE,"단축2";#N/A,#N/A,FALSE,"단축3";#N/A,#N/A,FALSE,"장축";#N/A,#N/A,FALSE,"4WD"}</definedName>
    <definedName name="ㅏㅣㅣㅣ" localSheetId="6" hidden="1">{#N/A,#N/A,FALSE,"단축1";#N/A,#N/A,FALSE,"단축2";#N/A,#N/A,FALSE,"단축3";#N/A,#N/A,FALSE,"장축";#N/A,#N/A,FALSE,"4WD"}</definedName>
    <definedName name="ㅏㅣㅣㅣ" hidden="1">{#N/A,#N/A,FALSE,"단축1";#N/A,#N/A,FALSE,"단축2";#N/A,#N/A,FALSE,"단축3";#N/A,#N/A,FALSE,"장축";#N/A,#N/A,FALSE,"4WD"}</definedName>
    <definedName name="ㅓㅏㅗ" localSheetId="6" hidden="1">{#N/A,#N/A,FALSE,"초도품";#N/A,#N/A,FALSE,"초도품 (2)";#N/A,#N/A,FALSE,"초도품 (3)";#N/A,#N/A,FALSE,"초도품 (4)";#N/A,#N/A,FALSE,"초도품 (5)";#N/A,#N/A,FALSE,"초도품 (6)"}</definedName>
    <definedName name="ㅓㅏㅗ" hidden="1">{#N/A,#N/A,FALSE,"초도품";#N/A,#N/A,FALSE,"초도품 (2)";#N/A,#N/A,FALSE,"초도품 (3)";#N/A,#N/A,FALSE,"초도품 (4)";#N/A,#N/A,FALSE,"초도품 (5)";#N/A,#N/A,FALSE,"초도품 (6)"}</definedName>
    <definedName name="ㅓㅏㅣㅕㅑㅔ" localSheetId="6" hidden="1">{#N/A,#N/A,FALSE,"단축1";#N/A,#N/A,FALSE,"단축2";#N/A,#N/A,FALSE,"단축3";#N/A,#N/A,FALSE,"장축";#N/A,#N/A,FALSE,"4WD"}</definedName>
    <definedName name="ㅓㅏㅣㅕㅑㅔ" hidden="1">{#N/A,#N/A,FALSE,"단축1";#N/A,#N/A,FALSE,"단축2";#N/A,#N/A,FALSE,"단축3";#N/A,#N/A,FALSE,"장축";#N/A,#N/A,FALSE,"4WD"}</definedName>
    <definedName name="ㅔㅔㅔ" localSheetId="4" hidden="1">#REF!</definedName>
    <definedName name="ㅔㅔㅔ" localSheetId="0" hidden="1">#REF!</definedName>
    <definedName name="ㅔㅔㅔ" localSheetId="2" hidden="1">#REF!</definedName>
    <definedName name="ㅔㅔㅔ" hidden="1">#REF!</definedName>
    <definedName name="ㅕㅕ" localSheetId="6" hidden="1">{#N/A,#N/A,FALSE,"단축1";#N/A,#N/A,FALSE,"단축2";#N/A,#N/A,FALSE,"단축3";#N/A,#N/A,FALSE,"장축";#N/A,#N/A,FALSE,"4WD"}</definedName>
    <definedName name="ㅕㅕ" hidden="1">{#N/A,#N/A,FALSE,"단축1";#N/A,#N/A,FALSE,"단축2";#N/A,#N/A,FALSE,"단축3";#N/A,#N/A,FALSE,"장축";#N/A,#N/A,FALSE,"4WD"}</definedName>
    <definedName name="ㅗㅓㅏㅣ" localSheetId="6" hidden="1">{#N/A,#N/A,FALSE,"단축1";#N/A,#N/A,FALSE,"단축2";#N/A,#N/A,FALSE,"단축3";#N/A,#N/A,FALSE,"장축";#N/A,#N/A,FALSE,"4WD"}</definedName>
    <definedName name="ㅗㅓㅏㅣ" hidden="1">{#N/A,#N/A,FALSE,"단축1";#N/A,#N/A,FALSE,"단축2";#N/A,#N/A,FALSE,"단축3";#N/A,#N/A,FALSE,"장축";#N/A,#N/A,FALSE,"4WD"}</definedName>
    <definedName name="ㅗㅓㅐㅓㅐ" localSheetId="4" hidden="1">#REF!</definedName>
    <definedName name="ㅗㅓㅐㅓㅐ" localSheetId="0" hidden="1">#REF!</definedName>
    <definedName name="ㅗㅓㅐㅓㅐ" localSheetId="2" hidden="1">#REF!</definedName>
    <definedName name="ㅗㅓㅐㅓㅐ" hidden="1">#REF!</definedName>
    <definedName name="ㅠㅍㅇㅌㄹ" localSheetId="6" hidden="1">{#N/A,#N/A,FALSE,"단축1";#N/A,#N/A,FALSE,"단축2";#N/A,#N/A,FALSE,"단축3";#N/A,#N/A,FALSE,"장축";#N/A,#N/A,FALSE,"4WD"}</definedName>
    <definedName name="ㅠㅍㅇㅌㄹ" hidden="1">{#N/A,#N/A,FALSE,"단축1";#N/A,#N/A,FALSE,"단축2";#N/A,#N/A,FALSE,"단축3";#N/A,#N/A,FALSE,"장축";#N/A,#N/A,FALSE,"4WD"}</definedName>
    <definedName name="ㅡㅡㅡ" localSheetId="4" hidden="1">#REF!</definedName>
    <definedName name="ㅡㅡㅡ" localSheetId="0" hidden="1">#REF!</definedName>
    <definedName name="ㅡㅡㅡ" localSheetId="2" hidden="1">#REF!</definedName>
    <definedName name="ㅡㅡㅡ" hidden="1">#REF!</definedName>
    <definedName name="ㅣ" localSheetId="4" hidden="1">#REF!</definedName>
    <definedName name="ㅣ" localSheetId="0" hidden="1">#REF!</definedName>
    <definedName name="ㅣ" localSheetId="2" hidden="1">#REF!</definedName>
    <definedName name="ㅣ" hidden="1">#REF!</definedName>
    <definedName name="ㅣㅏㅡ" localSheetId="6" hidden="1">{#N/A,#N/A,FALSE,"을지 (4)";#N/A,#N/A,FALSE,"을지 (5)";#N/A,#N/A,FALSE,"을지 (6)"}</definedName>
    <definedName name="ㅣㅏㅡ" hidden="1">{#N/A,#N/A,FALSE,"을지 (4)";#N/A,#N/A,FALSE,"을지 (5)";#N/A,#N/A,FALSE,"을지 (6)"}</definedName>
    <definedName name="南ア新設に伴う変更" localSheetId="4" hidden="1">#REF!</definedName>
    <definedName name="南ア新設に伴う変更" localSheetId="0" hidden="1">#REF!</definedName>
    <definedName name="南ア新設に伴う変更" localSheetId="2" hidden="1">#REF!</definedName>
    <definedName name="南ア新設に伴う変更" hidden="1">#REF!</definedName>
    <definedName name="方針書" localSheetId="6" hidden="1">{"PL2000",#N/A,FALSE,"BL2000"}</definedName>
    <definedName name="方針書" hidden="1">{"PL2000",#N/A,FALSE,"BL2000"}</definedName>
    <definedName name="方針書A" localSheetId="6" hidden="1">{"RES-2001",#N/A,FALSE,"BL2000";"A1-2001",#N/A,FALSE,"BL2000";"A2-2001",#N/A,FALSE,"BL2000"}</definedName>
    <definedName name="方針書A" hidden="1">{"RES-2001",#N/A,FALSE,"BL2000";"A1-2001",#N/A,FALSE,"BL2000";"A2-2001",#N/A,FALSE,"BL2000"}</definedName>
    <definedName name="方針書Attachment" localSheetId="6" hidden="1">{"RES-2000",#N/A,FALSE,"BL2000";"A1-2000",#N/A,FALSE,"BL2000";"A2-2000",#N/A,FALSE,"BL2000"}</definedName>
    <definedName name="方針書Attachment" hidden="1">{"RES-2000",#N/A,FALSE,"BL2000";"A1-2000",#N/A,FALSE,"BL2000";"A2-2000",#N/A,FALSE,"BL2000"}</definedName>
    <definedName name="比例費" hidden="1">255</definedName>
    <definedName name="直接固定費" localSheetId="6" hidden="1">{"COMNUS2000",#N/A,FALSE,"BL2000"}</definedName>
    <definedName name="直接固定費" hidden="1">{"COMNUS2000",#N/A,FALSE,"BL2000"}</definedName>
  </definedNames>
  <calcPr calcId="191029" iterate="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Q114" i="37" l="1"/>
  <c r="AQ113" i="37"/>
  <c r="AQ112" i="37"/>
  <c r="AQ111" i="37"/>
  <c r="AQ110" i="37"/>
  <c r="AQ109" i="37"/>
  <c r="AQ108" i="37"/>
  <c r="AQ107" i="37"/>
  <c r="AQ106" i="37"/>
  <c r="AQ105" i="37"/>
  <c r="AQ104" i="37"/>
  <c r="AQ103" i="37"/>
  <c r="AQ102" i="37"/>
  <c r="AQ101" i="37"/>
  <c r="AQ100" i="37"/>
  <c r="AQ99" i="37"/>
  <c r="AQ98" i="37"/>
  <c r="AQ97" i="37"/>
  <c r="AQ96" i="37"/>
  <c r="AQ95" i="37"/>
  <c r="AQ94" i="37"/>
  <c r="AQ93" i="37"/>
  <c r="AQ92" i="37"/>
  <c r="AQ91" i="37"/>
  <c r="AQ90" i="37"/>
  <c r="AQ89" i="37"/>
  <c r="AQ88" i="37"/>
  <c r="AQ87" i="37"/>
  <c r="AQ86" i="37"/>
  <c r="AQ85" i="37"/>
  <c r="AQ84" i="37"/>
  <c r="AQ83" i="37"/>
  <c r="AQ82" i="37"/>
  <c r="AQ81" i="37"/>
  <c r="AQ80" i="37"/>
  <c r="AQ79" i="37"/>
  <c r="AQ78" i="37"/>
  <c r="AQ77" i="37"/>
  <c r="AQ76" i="37"/>
  <c r="AQ75" i="37"/>
  <c r="AQ74" i="37"/>
  <c r="AQ73" i="37"/>
  <c r="AQ72" i="37"/>
  <c r="AQ71" i="37"/>
  <c r="AQ70" i="37"/>
  <c r="AQ69" i="37"/>
  <c r="AQ68" i="37"/>
  <c r="AQ67" i="37"/>
  <c r="AQ66" i="37"/>
  <c r="AQ65" i="37"/>
  <c r="AQ64" i="37"/>
  <c r="AQ63" i="37"/>
  <c r="AQ62" i="37"/>
  <c r="AQ61" i="37"/>
  <c r="AQ60" i="37"/>
  <c r="AQ59" i="37"/>
  <c r="AQ58" i="37"/>
  <c r="AQ57" i="37"/>
  <c r="AQ56" i="37"/>
  <c r="AQ55" i="37"/>
  <c r="AQ54" i="37"/>
  <c r="AQ53" i="37"/>
  <c r="AQ52" i="37"/>
  <c r="AQ51" i="37"/>
  <c r="AQ50" i="37"/>
  <c r="AQ49" i="37"/>
  <c r="AQ48" i="37"/>
  <c r="AQ47" i="37"/>
  <c r="AQ46" i="37"/>
  <c r="AQ45" i="37"/>
  <c r="AQ44" i="37"/>
  <c r="AP68" i="37"/>
  <c r="G134" i="37"/>
  <c r="AO67" i="37"/>
  <c r="AO66" i="37"/>
  <c r="AO65" i="37"/>
  <c r="AO64" i="37"/>
  <c r="AM68" i="37"/>
  <c r="AP67" i="37"/>
  <c r="AP66" i="37"/>
  <c r="AP65" i="37"/>
  <c r="AP64" i="37"/>
  <c r="G132" i="37"/>
  <c r="G131" i="37"/>
  <c r="G130" i="37"/>
  <c r="G129" i="37"/>
  <c r="AP62" i="37" s="1"/>
  <c r="G128" i="37"/>
  <c r="AP63" i="37" s="1"/>
  <c r="AM66" i="37"/>
  <c r="AM67" i="37" s="1"/>
  <c r="AM64" i="37"/>
  <c r="AM65" i="37" s="1"/>
  <c r="AM62" i="37"/>
  <c r="AM63" i="37" s="1"/>
  <c r="G127" i="37"/>
  <c r="AP60" i="37" s="1"/>
  <c r="G126" i="37"/>
  <c r="AP61" i="37" s="1"/>
  <c r="N124" i="32" l="1"/>
  <c r="AM61" i="37"/>
  <c r="AM60" i="37"/>
  <c r="AJ60" i="37"/>
  <c r="AJ61" i="37" s="1"/>
  <c r="G124" i="37"/>
  <c r="AO58" i="37"/>
  <c r="AO57" i="37"/>
  <c r="AM59" i="37"/>
  <c r="AJ59" i="37"/>
  <c r="AM58" i="37"/>
  <c r="AJ58" i="37"/>
  <c r="G105" i="37"/>
  <c r="AP57" i="37"/>
  <c r="AP59" i="37" s="1"/>
  <c r="AM57" i="37"/>
  <c r="AJ57" i="37"/>
  <c r="AP56" i="37"/>
  <c r="AM56" i="37"/>
  <c r="AJ56" i="37"/>
  <c r="AM55" i="37"/>
  <c r="G122" i="37"/>
  <c r="AP54" i="37" s="1"/>
  <c r="AM54" i="37"/>
  <c r="AJ54" i="37"/>
  <c r="AP55" i="37"/>
  <c r="AP53" i="37"/>
  <c r="AP52" i="37"/>
  <c r="G121" i="37"/>
  <c r="AJ53" i="37"/>
  <c r="AM53" i="37"/>
  <c r="AM52" i="37"/>
  <c r="AJ52" i="37"/>
  <c r="AP51" i="37"/>
  <c r="AP50" i="37"/>
  <c r="G120" i="37"/>
  <c r="G119" i="37"/>
  <c r="G118" i="37"/>
  <c r="AM51" i="37"/>
  <c r="AJ51" i="37"/>
  <c r="J200" i="32"/>
  <c r="J208" i="32" s="1"/>
  <c r="K208" i="32" s="1"/>
  <c r="I200" i="32"/>
  <c r="H200" i="32"/>
  <c r="J199" i="32"/>
  <c r="I199" i="32"/>
  <c r="H199" i="32"/>
  <c r="J198" i="32"/>
  <c r="I198" i="32"/>
  <c r="H198" i="32"/>
  <c r="J197" i="32"/>
  <c r="J205" i="32" s="1"/>
  <c r="I197" i="32"/>
  <c r="H197" i="32"/>
  <c r="H205" i="32" s="1"/>
  <c r="K205" i="32" s="1"/>
  <c r="J196" i="32"/>
  <c r="J204" i="32" s="1"/>
  <c r="I196" i="32"/>
  <c r="H196" i="32"/>
  <c r="H204" i="32" s="1"/>
  <c r="H114" i="32"/>
  <c r="AM50" i="37"/>
  <c r="AJ50" i="37"/>
  <c r="AM48" i="37"/>
  <c r="AM49" i="37" s="1"/>
  <c r="AM47" i="37"/>
  <c r="G117" i="37"/>
  <c r="AP49" i="37" s="1"/>
  <c r="I208" i="32"/>
  <c r="H208" i="32"/>
  <c r="J207" i="32"/>
  <c r="I207" i="32"/>
  <c r="H207" i="32"/>
  <c r="K207" i="32" s="1"/>
  <c r="J206" i="32"/>
  <c r="I206" i="32"/>
  <c r="H206" i="32"/>
  <c r="K206" i="32" s="1"/>
  <c r="I205" i="32"/>
  <c r="I210" i="32" s="1"/>
  <c r="I204" i="32"/>
  <c r="AP58" i="37" l="1"/>
  <c r="J210" i="32"/>
  <c r="AP47" i="37"/>
  <c r="AP48" i="37" s="1"/>
  <c r="H209" i="32"/>
  <c r="K204" i="32"/>
  <c r="I209" i="32"/>
  <c r="J209" i="32"/>
  <c r="H210" i="32"/>
  <c r="AM46" i="37"/>
  <c r="AM45" i="37"/>
  <c r="Z85" i="37"/>
  <c r="Z86" i="37"/>
  <c r="Z87" i="37"/>
  <c r="Z88" i="37"/>
  <c r="Z89" i="37"/>
  <c r="Z90" i="37"/>
  <c r="Z91" i="37"/>
  <c r="Z92" i="37"/>
  <c r="Z93" i="37"/>
  <c r="Z94" i="37"/>
  <c r="Z95" i="37"/>
  <c r="Z96" i="37"/>
  <c r="Z97" i="37"/>
  <c r="Z98" i="37"/>
  <c r="Z99" i="37"/>
  <c r="Z100" i="37"/>
  <c r="Z101" i="37"/>
  <c r="Z102" i="37"/>
  <c r="Z103" i="37"/>
  <c r="Z104" i="37"/>
  <c r="Z105" i="37"/>
  <c r="Z106" i="37"/>
  <c r="Z107" i="37"/>
  <c r="Z108" i="37"/>
  <c r="Z109" i="37"/>
  <c r="Z110" i="37"/>
  <c r="Z111" i="37"/>
  <c r="AD158" i="39"/>
  <c r="Z158" i="39"/>
  <c r="AF157" i="39"/>
  <c r="AE157" i="39"/>
  <c r="AD157" i="39"/>
  <c r="AG157" i="39" s="1"/>
  <c r="AC157" i="39"/>
  <c r="AB157" i="39"/>
  <c r="AA157" i="39"/>
  <c r="Z157" i="39"/>
  <c r="AD156" i="39"/>
  <c r="P156" i="39" s="1"/>
  <c r="AE156" i="39" s="1"/>
  <c r="AG156" i="39" s="1"/>
  <c r="Z156" i="39"/>
  <c r="E156" i="39" s="1"/>
  <c r="AA156" i="39" s="1"/>
  <c r="AB156" i="39" s="1"/>
  <c r="AD155" i="39"/>
  <c r="Z155" i="39"/>
  <c r="AD154" i="39"/>
  <c r="Z154" i="39"/>
  <c r="AD153" i="39"/>
  <c r="Z153" i="39"/>
  <c r="AD152" i="39"/>
  <c r="AG152" i="39" s="1"/>
  <c r="Z152" i="39"/>
  <c r="P152" i="39"/>
  <c r="AE152" i="39" s="1"/>
  <c r="AF152" i="39" s="1"/>
  <c r="E152" i="39"/>
  <c r="AA152" i="39" s="1"/>
  <c r="AD151" i="39"/>
  <c r="Z151" i="39"/>
  <c r="AD150" i="39"/>
  <c r="Z150" i="39"/>
  <c r="AE149" i="39"/>
  <c r="AD149" i="39"/>
  <c r="AG149" i="39" s="1"/>
  <c r="AA149" i="39"/>
  <c r="Z149" i="39"/>
  <c r="AC149" i="39" s="1"/>
  <c r="AD148" i="39"/>
  <c r="Z148" i="39"/>
  <c r="W148" i="39"/>
  <c r="V148" i="39"/>
  <c r="T148" i="39"/>
  <c r="R148" i="39"/>
  <c r="Q148" i="39"/>
  <c r="J148" i="39"/>
  <c r="I148" i="39"/>
  <c r="G148" i="39"/>
  <c r="E148" i="39"/>
  <c r="AD147" i="39"/>
  <c r="Z147" i="39"/>
  <c r="Y147" i="39"/>
  <c r="Y148" i="39" s="1"/>
  <c r="X147" i="39"/>
  <c r="X148" i="39" s="1"/>
  <c r="W147" i="39"/>
  <c r="V147" i="39"/>
  <c r="U147" i="39"/>
  <c r="U148" i="39" s="1"/>
  <c r="T147" i="39"/>
  <c r="S147" i="39"/>
  <c r="S148" i="39" s="1"/>
  <c r="R147" i="39"/>
  <c r="Q147" i="39"/>
  <c r="P147" i="39"/>
  <c r="P148" i="39" s="1"/>
  <c r="N147" i="39"/>
  <c r="N148" i="39" s="1"/>
  <c r="M147" i="39"/>
  <c r="M148" i="39" s="1"/>
  <c r="L147" i="39"/>
  <c r="L148" i="39" s="1"/>
  <c r="K147" i="39"/>
  <c r="K148" i="39" s="1"/>
  <c r="J147" i="39"/>
  <c r="I147" i="39"/>
  <c r="H147" i="39"/>
  <c r="H148" i="39" s="1"/>
  <c r="G147" i="39"/>
  <c r="F147" i="39"/>
  <c r="F148" i="39" s="1"/>
  <c r="E147" i="39"/>
  <c r="AD145" i="39"/>
  <c r="Z145" i="39"/>
  <c r="AD144" i="39"/>
  <c r="Z144" i="39"/>
  <c r="AD143" i="39"/>
  <c r="Z143" i="39"/>
  <c r="AD142" i="39"/>
  <c r="Z142" i="39"/>
  <c r="AD141" i="39"/>
  <c r="Z141" i="39"/>
  <c r="AD140" i="39"/>
  <c r="Z140" i="39"/>
  <c r="AD139" i="39"/>
  <c r="Z139" i="39"/>
  <c r="AD138" i="39"/>
  <c r="AA138" i="39"/>
  <c r="Z138" i="39"/>
  <c r="AC138" i="39" s="1"/>
  <c r="P138" i="39"/>
  <c r="AE138" i="39" s="1"/>
  <c r="E138" i="39"/>
  <c r="AD137" i="39"/>
  <c r="Z137" i="39"/>
  <c r="AD136" i="39"/>
  <c r="Z136" i="39"/>
  <c r="AD135" i="39"/>
  <c r="Z135" i="39"/>
  <c r="AD133" i="39"/>
  <c r="Z133" i="39"/>
  <c r="AD132" i="39"/>
  <c r="Z132" i="39"/>
  <c r="E132" i="39"/>
  <c r="AA132" i="39" s="1"/>
  <c r="P130" i="39"/>
  <c r="P133" i="39" s="1"/>
  <c r="AE133" i="39" s="1"/>
  <c r="E130" i="39"/>
  <c r="E133" i="39" s="1"/>
  <c r="AA133" i="39" s="1"/>
  <c r="AD125" i="39"/>
  <c r="Z125" i="39"/>
  <c r="AB125" i="39" s="1"/>
  <c r="P125" i="39"/>
  <c r="AE125" i="39" s="1"/>
  <c r="E125" i="39"/>
  <c r="AA125" i="39" s="1"/>
  <c r="AC125" i="39" s="1"/>
  <c r="AD119" i="39"/>
  <c r="Z119" i="39"/>
  <c r="AD118" i="39"/>
  <c r="Z118" i="39"/>
  <c r="AE117" i="39"/>
  <c r="AD117" i="39"/>
  <c r="AG117" i="39" s="1"/>
  <c r="Z117" i="39"/>
  <c r="AC117" i="39" s="1"/>
  <c r="P117" i="39"/>
  <c r="E117" i="39"/>
  <c r="AA117" i="39" s="1"/>
  <c r="AD116" i="39"/>
  <c r="Z116" i="39"/>
  <c r="AD115" i="39"/>
  <c r="Z115" i="39"/>
  <c r="AD114" i="39"/>
  <c r="Z114" i="39"/>
  <c r="AD113" i="39"/>
  <c r="Z113" i="39"/>
  <c r="AD112" i="39"/>
  <c r="Z112" i="39"/>
  <c r="AD111" i="39"/>
  <c r="AG111" i="39" s="1"/>
  <c r="Z111" i="39"/>
  <c r="AC111" i="39" s="1"/>
  <c r="Q111" i="39"/>
  <c r="P111" i="39"/>
  <c r="AE111" i="39" s="1"/>
  <c r="F111" i="39"/>
  <c r="E111" i="39"/>
  <c r="AA111" i="39" s="1"/>
  <c r="AD110" i="39"/>
  <c r="AG110" i="39" s="1"/>
  <c r="Z110" i="39"/>
  <c r="AC110" i="39" s="1"/>
  <c r="Q110" i="39"/>
  <c r="P110" i="39"/>
  <c r="AE110" i="39" s="1"/>
  <c r="F110" i="39"/>
  <c r="E110" i="39"/>
  <c r="AA110" i="39" s="1"/>
  <c r="AD109" i="39"/>
  <c r="AA109" i="39"/>
  <c r="Z109" i="39"/>
  <c r="AC109" i="39" s="1"/>
  <c r="AD108" i="39"/>
  <c r="Z108" i="39"/>
  <c r="AD107" i="39"/>
  <c r="Z107" i="39"/>
  <c r="Q107" i="39"/>
  <c r="P107" i="39"/>
  <c r="AE109" i="39" s="1"/>
  <c r="F107" i="39"/>
  <c r="E107" i="39"/>
  <c r="AD106" i="39"/>
  <c r="Z106" i="39"/>
  <c r="AD105" i="39"/>
  <c r="Z105" i="39"/>
  <c r="AD104" i="39"/>
  <c r="Z104" i="39"/>
  <c r="AD103" i="39"/>
  <c r="Z103" i="39"/>
  <c r="AD102" i="39"/>
  <c r="Z102" i="39"/>
  <c r="AD101" i="39"/>
  <c r="Z101" i="39"/>
  <c r="AD100" i="39"/>
  <c r="Z100" i="39"/>
  <c r="AG99" i="39"/>
  <c r="AF99" i="39"/>
  <c r="AE99" i="39"/>
  <c r="AD99" i="39"/>
  <c r="AB99" i="39"/>
  <c r="Z99" i="39"/>
  <c r="AC99" i="39" s="1"/>
  <c r="E99" i="39"/>
  <c r="AA99" i="39" s="1"/>
  <c r="AE98" i="39"/>
  <c r="AD98" i="39"/>
  <c r="AG98" i="39" s="1"/>
  <c r="AC98" i="39"/>
  <c r="AB98" i="39"/>
  <c r="Z98" i="39"/>
  <c r="E98" i="39"/>
  <c r="AA98" i="39" s="1"/>
  <c r="AE97" i="39"/>
  <c r="AD97" i="39"/>
  <c r="AG97" i="39" s="1"/>
  <c r="AA97" i="39"/>
  <c r="Z97" i="39"/>
  <c r="AC97" i="39" s="1"/>
  <c r="AE96" i="39"/>
  <c r="AD96" i="39"/>
  <c r="AG96" i="39" s="1"/>
  <c r="AA96" i="39"/>
  <c r="Z96" i="39"/>
  <c r="AC96" i="39" s="1"/>
  <c r="AE95" i="39"/>
  <c r="AD95" i="39"/>
  <c r="AG95" i="39" s="1"/>
  <c r="AA95" i="39"/>
  <c r="Z95" i="39"/>
  <c r="AC95" i="39" s="1"/>
  <c r="AE94" i="39"/>
  <c r="AD94" i="39"/>
  <c r="AG94" i="39" s="1"/>
  <c r="AA94" i="39"/>
  <c r="Z94" i="39"/>
  <c r="AC94" i="39" s="1"/>
  <c r="AE93" i="39"/>
  <c r="AD93" i="39"/>
  <c r="AG93" i="39" s="1"/>
  <c r="AA93" i="39"/>
  <c r="Z93" i="39"/>
  <c r="AC93" i="39" s="1"/>
  <c r="E93" i="39"/>
  <c r="AF92" i="39"/>
  <c r="AE92" i="39"/>
  <c r="AD92" i="39"/>
  <c r="AG92" i="39" s="1"/>
  <c r="AA92" i="39"/>
  <c r="AC92" i="39" s="1"/>
  <c r="Z92" i="39"/>
  <c r="AB92" i="39" s="1"/>
  <c r="AE91" i="39"/>
  <c r="AG91" i="39" s="1"/>
  <c r="AD91" i="39"/>
  <c r="AB91" i="39"/>
  <c r="AA91" i="39"/>
  <c r="Z91" i="39"/>
  <c r="AC91" i="39" s="1"/>
  <c r="AG90" i="39"/>
  <c r="AD90" i="39"/>
  <c r="AF90" i="39" s="1"/>
  <c r="AC90" i="39"/>
  <c r="AB90" i="39"/>
  <c r="Z90" i="39"/>
  <c r="Y90" i="39"/>
  <c r="X90" i="39"/>
  <c r="W90" i="39"/>
  <c r="V90" i="39"/>
  <c r="U90" i="39"/>
  <c r="T90" i="39"/>
  <c r="S90" i="39"/>
  <c r="AE90" i="39" s="1"/>
  <c r="R90" i="39"/>
  <c r="Q90" i="39"/>
  <c r="P90" i="39"/>
  <c r="N90" i="39"/>
  <c r="AA90" i="39" s="1"/>
  <c r="M90" i="39"/>
  <c r="L90" i="39"/>
  <c r="K90" i="39"/>
  <c r="J90" i="39"/>
  <c r="I90" i="39"/>
  <c r="H90" i="39"/>
  <c r="G90" i="39"/>
  <c r="F90" i="39"/>
  <c r="E90" i="39"/>
  <c r="AG89" i="39"/>
  <c r="AF89" i="39"/>
  <c r="AD89" i="39"/>
  <c r="AB89" i="39"/>
  <c r="Z89" i="39"/>
  <c r="AC89" i="39" s="1"/>
  <c r="Y89" i="39"/>
  <c r="X89" i="39"/>
  <c r="W89" i="39"/>
  <c r="V89" i="39"/>
  <c r="U89" i="39"/>
  <c r="T89" i="39"/>
  <c r="S89" i="39"/>
  <c r="AE89" i="39" s="1"/>
  <c r="R89" i="39"/>
  <c r="Q89" i="39"/>
  <c r="P89" i="39"/>
  <c r="N89" i="39"/>
  <c r="M89" i="39"/>
  <c r="L89" i="39"/>
  <c r="K89" i="39"/>
  <c r="J89" i="39"/>
  <c r="I89" i="39"/>
  <c r="H89" i="39"/>
  <c r="G89" i="39"/>
  <c r="F89" i="39"/>
  <c r="AA89" i="39" s="1"/>
  <c r="E89" i="39"/>
  <c r="AF88" i="39"/>
  <c r="AE88" i="39"/>
  <c r="AD88" i="39"/>
  <c r="AG88" i="39" s="1"/>
  <c r="AA88" i="39"/>
  <c r="AC88" i="39" s="1"/>
  <c r="Z88" i="39"/>
  <c r="AB88" i="39" s="1"/>
  <c r="AG87" i="39"/>
  <c r="AF87" i="39"/>
  <c r="AE87" i="39"/>
  <c r="AD87" i="39"/>
  <c r="AB87" i="39"/>
  <c r="AA87" i="39"/>
  <c r="Z87" i="39"/>
  <c r="AC87" i="39" s="1"/>
  <c r="AE86" i="39"/>
  <c r="AD86" i="39"/>
  <c r="AG86" i="39" s="1"/>
  <c r="AC86" i="39"/>
  <c r="AB86" i="39"/>
  <c r="AA86" i="39"/>
  <c r="Z86" i="39"/>
  <c r="E86" i="39"/>
  <c r="AG85" i="39"/>
  <c r="AF85" i="39"/>
  <c r="AE85" i="39"/>
  <c r="AD85" i="39"/>
  <c r="AB85" i="39"/>
  <c r="AA85" i="39"/>
  <c r="Z85" i="39"/>
  <c r="AC85" i="39" s="1"/>
  <c r="AG84" i="39"/>
  <c r="AF84" i="39"/>
  <c r="AE84" i="39"/>
  <c r="AD84" i="39"/>
  <c r="AC84" i="39"/>
  <c r="AB84" i="39"/>
  <c r="AA84" i="39"/>
  <c r="Z84" i="39"/>
  <c r="AF83" i="39"/>
  <c r="AE83" i="39"/>
  <c r="AD83" i="39"/>
  <c r="AG83" i="39" s="1"/>
  <c r="AC83" i="39"/>
  <c r="AB83" i="39"/>
  <c r="AA83" i="39"/>
  <c r="Z83" i="39"/>
  <c r="AD82" i="39"/>
  <c r="Z82" i="39"/>
  <c r="AD81" i="39"/>
  <c r="Z81" i="39"/>
  <c r="AD80" i="39"/>
  <c r="Z80" i="39"/>
  <c r="AD79" i="39"/>
  <c r="Z79" i="39"/>
  <c r="AD78" i="39"/>
  <c r="Z78" i="39"/>
  <c r="AE77" i="39"/>
  <c r="AD77" i="39"/>
  <c r="AG77" i="39" s="1"/>
  <c r="AA77" i="39"/>
  <c r="Z77" i="39"/>
  <c r="AC77" i="39" s="1"/>
  <c r="AD76" i="39"/>
  <c r="Z76" i="39"/>
  <c r="V76" i="39"/>
  <c r="U76" i="39"/>
  <c r="R76" i="39"/>
  <c r="N76" i="39"/>
  <c r="M76" i="39"/>
  <c r="I76" i="39"/>
  <c r="H76" i="39"/>
  <c r="E76" i="39"/>
  <c r="AA76" i="39" s="1"/>
  <c r="AD75" i="39"/>
  <c r="Z75" i="39"/>
  <c r="Y75" i="39"/>
  <c r="Y76" i="39" s="1"/>
  <c r="X75" i="39"/>
  <c r="X76" i="39" s="1"/>
  <c r="W75" i="39"/>
  <c r="W76" i="39" s="1"/>
  <c r="V75" i="39"/>
  <c r="U75" i="39"/>
  <c r="T75" i="39"/>
  <c r="T76" i="39" s="1"/>
  <c r="S75" i="39"/>
  <c r="S76" i="39" s="1"/>
  <c r="R75" i="39"/>
  <c r="Q75" i="39"/>
  <c r="Q76" i="39" s="1"/>
  <c r="P75" i="39"/>
  <c r="P76" i="39" s="1"/>
  <c r="AE76" i="39" s="1"/>
  <c r="N75" i="39"/>
  <c r="M75" i="39"/>
  <c r="L75" i="39"/>
  <c r="L76" i="39" s="1"/>
  <c r="K75" i="39"/>
  <c r="K76" i="39" s="1"/>
  <c r="J75" i="39"/>
  <c r="J76" i="39" s="1"/>
  <c r="I75" i="39"/>
  <c r="H75" i="39"/>
  <c r="G75" i="39"/>
  <c r="G76" i="39" s="1"/>
  <c r="F75" i="39"/>
  <c r="F76" i="39" s="1"/>
  <c r="E75" i="39"/>
  <c r="AD74" i="39"/>
  <c r="Z74" i="39"/>
  <c r="AD73" i="39"/>
  <c r="Z73" i="39"/>
  <c r="AD72" i="39"/>
  <c r="Z72" i="39"/>
  <c r="AD71" i="39"/>
  <c r="Z71" i="39"/>
  <c r="AD70" i="39"/>
  <c r="Z70" i="39"/>
  <c r="AD69" i="39"/>
  <c r="Z69" i="39"/>
  <c r="AD68" i="39"/>
  <c r="Z68" i="39"/>
  <c r="AD67" i="39"/>
  <c r="Z67" i="39"/>
  <c r="AD66" i="39"/>
  <c r="Z66" i="39"/>
  <c r="AD65" i="39"/>
  <c r="Z65" i="39"/>
  <c r="W65" i="39"/>
  <c r="V65" i="39"/>
  <c r="R65" i="39"/>
  <c r="Q65" i="39"/>
  <c r="M65" i="39"/>
  <c r="J65" i="39"/>
  <c r="I65" i="39"/>
  <c r="E65" i="39"/>
  <c r="AD64" i="39"/>
  <c r="Z64" i="39"/>
  <c r="Y64" i="39"/>
  <c r="Y65" i="39" s="1"/>
  <c r="X64" i="39"/>
  <c r="X65" i="39" s="1"/>
  <c r="W64" i="39"/>
  <c r="V64" i="39"/>
  <c r="U64" i="39"/>
  <c r="U65" i="39" s="1"/>
  <c r="T64" i="39"/>
  <c r="T65" i="39" s="1"/>
  <c r="S64" i="39"/>
  <c r="S65" i="39" s="1"/>
  <c r="R64" i="39"/>
  <c r="Q64" i="39"/>
  <c r="P64" i="39"/>
  <c r="P65" i="39" s="1"/>
  <c r="N64" i="39"/>
  <c r="N65" i="39" s="1"/>
  <c r="M64" i="39"/>
  <c r="L64" i="39"/>
  <c r="L65" i="39" s="1"/>
  <c r="K64" i="39"/>
  <c r="K65" i="39" s="1"/>
  <c r="J64" i="39"/>
  <c r="I64" i="39"/>
  <c r="H64" i="39"/>
  <c r="H65" i="39" s="1"/>
  <c r="G64" i="39"/>
  <c r="G65" i="39" s="1"/>
  <c r="F64" i="39"/>
  <c r="F65" i="39" s="1"/>
  <c r="E64" i="39"/>
  <c r="AD63" i="39"/>
  <c r="Z63" i="39"/>
  <c r="AD62" i="39"/>
  <c r="Z62" i="39"/>
  <c r="AD61" i="39"/>
  <c r="Z61" i="39"/>
  <c r="AD60" i="39"/>
  <c r="Z60" i="39"/>
  <c r="AD59" i="39"/>
  <c r="Z59" i="39"/>
  <c r="AD58" i="39"/>
  <c r="Z58" i="39"/>
  <c r="AD57" i="39"/>
  <c r="Z57" i="39"/>
  <c r="AD56" i="39"/>
  <c r="Z56" i="39"/>
  <c r="AD55" i="39"/>
  <c r="Z55" i="39"/>
  <c r="AD54" i="39"/>
  <c r="Z54" i="39"/>
  <c r="AD53" i="39"/>
  <c r="Z53" i="39"/>
  <c r="AD52" i="39"/>
  <c r="Z52" i="39"/>
  <c r="X52" i="39"/>
  <c r="T52" i="39"/>
  <c r="S52" i="39"/>
  <c r="R52" i="39"/>
  <c r="N52" i="39"/>
  <c r="K52" i="39"/>
  <c r="G52" i="39"/>
  <c r="F52" i="39"/>
  <c r="E52" i="39"/>
  <c r="AD51" i="39"/>
  <c r="Z51" i="39"/>
  <c r="Y51" i="39"/>
  <c r="Y52" i="39" s="1"/>
  <c r="X51" i="39"/>
  <c r="W51" i="39"/>
  <c r="W52" i="39" s="1"/>
  <c r="V51" i="39"/>
  <c r="V52" i="39" s="1"/>
  <c r="U51" i="39"/>
  <c r="U52" i="39" s="1"/>
  <c r="T51" i="39"/>
  <c r="S51" i="39"/>
  <c r="R51" i="39"/>
  <c r="Q51" i="39"/>
  <c r="Q52" i="39" s="1"/>
  <c r="P51" i="39"/>
  <c r="P52" i="39" s="1"/>
  <c r="N51" i="39"/>
  <c r="M51" i="39"/>
  <c r="M52" i="39" s="1"/>
  <c r="L51" i="39"/>
  <c r="L52" i="39" s="1"/>
  <c r="K51" i="39"/>
  <c r="J51" i="39"/>
  <c r="J52" i="39" s="1"/>
  <c r="I51" i="39"/>
  <c r="I52" i="39" s="1"/>
  <c r="H51" i="39"/>
  <c r="H52" i="39" s="1"/>
  <c r="G51" i="39"/>
  <c r="F51" i="39"/>
  <c r="E51" i="39"/>
  <c r="AD50" i="39"/>
  <c r="Z50" i="39"/>
  <c r="AD49" i="39"/>
  <c r="Z49" i="39"/>
  <c r="AE48" i="39"/>
  <c r="AD48" i="39"/>
  <c r="AG48" i="39" s="1"/>
  <c r="AA48" i="39"/>
  <c r="Z48" i="39"/>
  <c r="AC48" i="39" s="1"/>
  <c r="AD47" i="39"/>
  <c r="Z47" i="39"/>
  <c r="AD46" i="39"/>
  <c r="Z46" i="39"/>
  <c r="AD45" i="39"/>
  <c r="Z45" i="39"/>
  <c r="AD44" i="39"/>
  <c r="Z44" i="39"/>
  <c r="AD43" i="39"/>
  <c r="Z43" i="39"/>
  <c r="AE42" i="39"/>
  <c r="AD42" i="39"/>
  <c r="AG42" i="39" s="1"/>
  <c r="AB42" i="39"/>
  <c r="AA42" i="39"/>
  <c r="Z42" i="39"/>
  <c r="AC42" i="39" s="1"/>
  <c r="AE41" i="39"/>
  <c r="AD41" i="39"/>
  <c r="AF41" i="39" s="1"/>
  <c r="AA41" i="39"/>
  <c r="Z41" i="39"/>
  <c r="AC41" i="39" s="1"/>
  <c r="AF40" i="39"/>
  <c r="AE40" i="39"/>
  <c r="AD40" i="39"/>
  <c r="AG40" i="39" s="1"/>
  <c r="AA40" i="39"/>
  <c r="Z40" i="39"/>
  <c r="AB40" i="39" s="1"/>
  <c r="AE39" i="39"/>
  <c r="AD39" i="39"/>
  <c r="AG39" i="39" s="1"/>
  <c r="AB39" i="39"/>
  <c r="AA39" i="39"/>
  <c r="Z39" i="39"/>
  <c r="AC39" i="39" s="1"/>
  <c r="AE38" i="39"/>
  <c r="AD38" i="39"/>
  <c r="AF38" i="39" s="1"/>
  <c r="AA38" i="39"/>
  <c r="Z38" i="39"/>
  <c r="AC38" i="39" s="1"/>
  <c r="AF37" i="39"/>
  <c r="AE37" i="39"/>
  <c r="AD37" i="39"/>
  <c r="AG37" i="39" s="1"/>
  <c r="AA37" i="39"/>
  <c r="Z37" i="39"/>
  <c r="AB37" i="39" s="1"/>
  <c r="AE36" i="39"/>
  <c r="AD36" i="39"/>
  <c r="AG36" i="39" s="1"/>
  <c r="AB36" i="39"/>
  <c r="AA36" i="39"/>
  <c r="Z36" i="39"/>
  <c r="AC36" i="39" s="1"/>
  <c r="AE35" i="39"/>
  <c r="AD35" i="39"/>
  <c r="AF35" i="39" s="1"/>
  <c r="AA35" i="39"/>
  <c r="Z35" i="39"/>
  <c r="AC35" i="39" s="1"/>
  <c r="AF34" i="39"/>
  <c r="AE34" i="39"/>
  <c r="AD34" i="39"/>
  <c r="AG34" i="39" s="1"/>
  <c r="AA34" i="39"/>
  <c r="Z34" i="39"/>
  <c r="AB34" i="39" s="1"/>
  <c r="AD33" i="39"/>
  <c r="AG33" i="39" s="1"/>
  <c r="AB33" i="39"/>
  <c r="Z33" i="39"/>
  <c r="AC33" i="39" s="1"/>
  <c r="Y33" i="39"/>
  <c r="X33" i="39"/>
  <c r="W33" i="39"/>
  <c r="V33" i="39"/>
  <c r="U33" i="39"/>
  <c r="T33" i="39"/>
  <c r="S33" i="39"/>
  <c r="R33" i="39"/>
  <c r="AE33" i="39" s="1"/>
  <c r="Q33" i="39"/>
  <c r="P33" i="39"/>
  <c r="N33" i="39"/>
  <c r="M33" i="39"/>
  <c r="L33" i="39"/>
  <c r="K33" i="39"/>
  <c r="J33" i="39"/>
  <c r="I33" i="39"/>
  <c r="H33" i="39"/>
  <c r="G33" i="39"/>
  <c r="F33" i="39"/>
  <c r="E33" i="39"/>
  <c r="AA33" i="39" s="1"/>
  <c r="AE32" i="39"/>
  <c r="AF32" i="39" s="1"/>
  <c r="AD32" i="39"/>
  <c r="AG32" i="39" s="1"/>
  <c r="AA32" i="39"/>
  <c r="Z32" i="39"/>
  <c r="AB32" i="39" s="1"/>
  <c r="AE31" i="39"/>
  <c r="AD31" i="39"/>
  <c r="AG31" i="39" s="1"/>
  <c r="AB31" i="39"/>
  <c r="AA31" i="39"/>
  <c r="Z31" i="39"/>
  <c r="AC31" i="39" s="1"/>
  <c r="AD30" i="39"/>
  <c r="AF30" i="39" s="1"/>
  <c r="Z30" i="39"/>
  <c r="AB30" i="39" s="1"/>
  <c r="Y30" i="39"/>
  <c r="X30" i="39"/>
  <c r="W30" i="39"/>
  <c r="V30" i="39"/>
  <c r="U30" i="39"/>
  <c r="T30" i="39"/>
  <c r="S30" i="39"/>
  <c r="R30" i="39"/>
  <c r="Q30" i="39"/>
  <c r="P30" i="39"/>
  <c r="AE30" i="39" s="1"/>
  <c r="N30" i="39"/>
  <c r="M30" i="39"/>
  <c r="AA30" i="39" s="1"/>
  <c r="L30" i="39"/>
  <c r="K30" i="39"/>
  <c r="J30" i="39"/>
  <c r="I30" i="39"/>
  <c r="H30" i="39"/>
  <c r="G30" i="39"/>
  <c r="F30" i="39"/>
  <c r="E30" i="39"/>
  <c r="AE29" i="39"/>
  <c r="AD29" i="39"/>
  <c r="AG29" i="39" s="1"/>
  <c r="AA29" i="39"/>
  <c r="AB29" i="39" s="1"/>
  <c r="Z29" i="39"/>
  <c r="AC29" i="39" s="1"/>
  <c r="AD28" i="39"/>
  <c r="AF28" i="39" s="1"/>
  <c r="Z28" i="39"/>
  <c r="AB28" i="39" s="1"/>
  <c r="Y28" i="39"/>
  <c r="X28" i="39"/>
  <c r="W28" i="39"/>
  <c r="V28" i="39"/>
  <c r="U28" i="39"/>
  <c r="T28" i="39"/>
  <c r="S28" i="39"/>
  <c r="R28" i="39"/>
  <c r="Q28" i="39"/>
  <c r="P28" i="39"/>
  <c r="AE28" i="39" s="1"/>
  <c r="N28" i="39"/>
  <c r="M28" i="39"/>
  <c r="AA28" i="39" s="1"/>
  <c r="L28" i="39"/>
  <c r="K28" i="39"/>
  <c r="J28" i="39"/>
  <c r="I28" i="39"/>
  <c r="H28" i="39"/>
  <c r="G28" i="39"/>
  <c r="F28" i="39"/>
  <c r="E28" i="39"/>
  <c r="AE27" i="39"/>
  <c r="AD27" i="39"/>
  <c r="AF27" i="39" s="1"/>
  <c r="AA27" i="39"/>
  <c r="AB27" i="39" s="1"/>
  <c r="Z27" i="39"/>
  <c r="AC27" i="39" s="1"/>
  <c r="AE26" i="39"/>
  <c r="AD26" i="39"/>
  <c r="AF26" i="39" s="1"/>
  <c r="AA26" i="39"/>
  <c r="Z26" i="39"/>
  <c r="AC26" i="39" s="1"/>
  <c r="AD25" i="39"/>
  <c r="Z25" i="39"/>
  <c r="AD24" i="39"/>
  <c r="Z24" i="39"/>
  <c r="AD23" i="39"/>
  <c r="Z23" i="39"/>
  <c r="AD22" i="39"/>
  <c r="Z22" i="39"/>
  <c r="AD21" i="39"/>
  <c r="Z21" i="39"/>
  <c r="AD20" i="39"/>
  <c r="Z20" i="39"/>
  <c r="AD19" i="39"/>
  <c r="Z19" i="39"/>
  <c r="AD18" i="39"/>
  <c r="Z18" i="39"/>
  <c r="AD17" i="39"/>
  <c r="Z17" i="39"/>
  <c r="AD16" i="39"/>
  <c r="Z16" i="39"/>
  <c r="AD15" i="39"/>
  <c r="AG15" i="39" s="1"/>
  <c r="AC15" i="39"/>
  <c r="AB15" i="39"/>
  <c r="AA15" i="39"/>
  <c r="Z15" i="39"/>
  <c r="E15" i="39"/>
  <c r="AD14" i="39"/>
  <c r="AG14" i="39" s="1"/>
  <c r="AC14" i="39"/>
  <c r="AB14" i="39"/>
  <c r="AA14" i="39"/>
  <c r="Z14" i="39"/>
  <c r="P14" i="39"/>
  <c r="P15" i="39" s="1"/>
  <c r="AE15" i="39" s="1"/>
  <c r="AD13" i="39"/>
  <c r="AG13" i="39" s="1"/>
  <c r="Z13" i="39"/>
  <c r="AC13" i="39" s="1"/>
  <c r="P13" i="39"/>
  <c r="AE13" i="39" s="1"/>
  <c r="E13" i="39"/>
  <c r="AA13" i="39" s="1"/>
  <c r="AG12" i="39"/>
  <c r="AF12" i="39"/>
  <c r="AE12" i="39"/>
  <c r="AD12" i="39"/>
  <c r="AC12" i="39"/>
  <c r="AB12" i="39"/>
  <c r="AA12" i="39"/>
  <c r="Z12" i="39"/>
  <c r="AE11" i="39"/>
  <c r="AD11" i="39"/>
  <c r="AF11" i="39" s="1"/>
  <c r="AC11" i="39"/>
  <c r="AB11" i="39"/>
  <c r="Z11" i="39"/>
  <c r="P11" i="39"/>
  <c r="E11" i="39"/>
  <c r="AA11" i="39" s="1"/>
  <c r="AE10" i="39"/>
  <c r="AD10" i="39"/>
  <c r="AG10" i="39" s="1"/>
  <c r="AC10" i="39"/>
  <c r="AB10" i="39"/>
  <c r="AA10" i="39"/>
  <c r="Z10" i="39"/>
  <c r="P10" i="39"/>
  <c r="E10" i="39"/>
  <c r="AG9" i="39"/>
  <c r="AF9" i="39"/>
  <c r="AD9" i="39"/>
  <c r="Z9" i="39"/>
  <c r="AB9" i="39" s="1"/>
  <c r="AD8" i="39"/>
  <c r="Z8" i="39"/>
  <c r="P8" i="39"/>
  <c r="P9" i="39" s="1"/>
  <c r="AE9" i="39" s="1"/>
  <c r="E8" i="39"/>
  <c r="E9" i="39" s="1"/>
  <c r="AA9" i="39" s="1"/>
  <c r="AD7" i="39"/>
  <c r="Z7" i="39"/>
  <c r="AD6" i="39"/>
  <c r="Z6" i="39"/>
  <c r="AD5" i="39"/>
  <c r="Z5" i="39"/>
  <c r="AD3" i="39"/>
  <c r="Z3" i="39"/>
  <c r="AH2" i="39"/>
  <c r="P2" i="39"/>
  <c r="E2" i="39"/>
  <c r="AH1" i="39"/>
  <c r="K210" i="32" l="1"/>
  <c r="G116" i="37"/>
  <c r="K209" i="32"/>
  <c r="S54" i="39"/>
  <c r="AE54" i="39" s="1"/>
  <c r="AG109" i="39"/>
  <c r="AC152" i="39"/>
  <c r="AB152" i="39"/>
  <c r="H54" i="39"/>
  <c r="AA54" i="39" s="1"/>
  <c r="AC54" i="39" s="1"/>
  <c r="AG54" i="39"/>
  <c r="AC132" i="39"/>
  <c r="AB132" i="39"/>
  <c r="AC148" i="39"/>
  <c r="AG148" i="39"/>
  <c r="AC76" i="39"/>
  <c r="AC133" i="39"/>
  <c r="AG138" i="39"/>
  <c r="AG76" i="39"/>
  <c r="AG133" i="39"/>
  <c r="AE148" i="39"/>
  <c r="AF148" i="39" s="1"/>
  <c r="AA148" i="39"/>
  <c r="AA65" i="39"/>
  <c r="AC65" i="39" s="1"/>
  <c r="AG8" i="39"/>
  <c r="AE65" i="39"/>
  <c r="AF65" i="39" s="1"/>
  <c r="AG125" i="39"/>
  <c r="AF125" i="39"/>
  <c r="AF15" i="39"/>
  <c r="AB26" i="39"/>
  <c r="AF29" i="39"/>
  <c r="AF31" i="39"/>
  <c r="AF33" i="39"/>
  <c r="AB35" i="39"/>
  <c r="AF36" i="39"/>
  <c r="AB38" i="39"/>
  <c r="AF39" i="39"/>
  <c r="AB41" i="39"/>
  <c r="AF42" i="39"/>
  <c r="AF10" i="39"/>
  <c r="AB13" i="39"/>
  <c r="AE14" i="39"/>
  <c r="AG27" i="39"/>
  <c r="AC28" i="39"/>
  <c r="AC30" i="39"/>
  <c r="AF86" i="39"/>
  <c r="P132" i="39"/>
  <c r="AE132" i="39" s="1"/>
  <c r="AC156" i="39"/>
  <c r="AB48" i="39"/>
  <c r="AB54" i="39"/>
  <c r="AB77" i="39"/>
  <c r="AF93" i="39"/>
  <c r="AB95" i="39"/>
  <c r="AF96" i="39"/>
  <c r="AB117" i="39"/>
  <c r="AB133" i="39"/>
  <c r="E158" i="39"/>
  <c r="AA158" i="39" s="1"/>
  <c r="AC158" i="39" s="1"/>
  <c r="P158" i="39"/>
  <c r="AE158" i="39" s="1"/>
  <c r="AG158" i="39" s="1"/>
  <c r="AF156" i="39"/>
  <c r="AF13" i="39"/>
  <c r="AG26" i="39"/>
  <c r="AG28" i="39"/>
  <c r="AG30" i="39"/>
  <c r="AC32" i="39"/>
  <c r="AC34" i="39"/>
  <c r="AG35" i="39"/>
  <c r="AC37" i="39"/>
  <c r="AG38" i="39"/>
  <c r="AC40" i="39"/>
  <c r="AG41" i="39"/>
  <c r="AA8" i="39"/>
  <c r="AB8" i="39" s="1"/>
  <c r="AC9" i="39"/>
  <c r="AG11" i="39"/>
  <c r="AF14" i="39"/>
  <c r="AE8" i="39"/>
  <c r="AF8" i="39" s="1"/>
  <c r="AF48" i="39"/>
  <c r="AF54" i="39"/>
  <c r="AB76" i="39"/>
  <c r="AF77" i="39"/>
  <c r="AB94" i="39"/>
  <c r="AF95" i="39"/>
  <c r="AB97" i="39"/>
  <c r="AB109" i="39"/>
  <c r="AB110" i="39"/>
  <c r="AB111" i="39"/>
  <c r="AF117" i="39"/>
  <c r="AF133" i="39"/>
  <c r="AB138" i="39"/>
  <c r="AB149" i="39"/>
  <c r="AF98" i="39"/>
  <c r="AF91" i="39"/>
  <c r="AB65" i="39"/>
  <c r="AF76" i="39"/>
  <c r="AB93" i="39"/>
  <c r="AF94" i="39"/>
  <c r="AB96" i="39"/>
  <c r="AF97" i="39"/>
  <c r="AF109" i="39"/>
  <c r="AF110" i="39"/>
  <c r="AF111" i="39"/>
  <c r="AF138" i="39"/>
  <c r="AB148" i="39"/>
  <c r="AF149" i="39"/>
  <c r="AF158" i="39"/>
  <c r="AP46" i="37" l="1"/>
  <c r="AP44" i="37"/>
  <c r="AP45" i="37" s="1"/>
  <c r="AB158" i="39"/>
  <c r="AC8" i="39"/>
  <c r="AG65" i="39"/>
  <c r="AG132" i="39"/>
  <c r="AF132" i="39"/>
  <c r="G91" i="38" l="1"/>
  <c r="H91" i="38" s="1"/>
  <c r="G90" i="38"/>
  <c r="H90" i="38" s="1"/>
  <c r="G89" i="38"/>
  <c r="H89" i="38" s="1"/>
  <c r="G88" i="38"/>
  <c r="H88" i="38" s="1"/>
  <c r="BU75" i="38"/>
  <c r="BT75" i="38"/>
  <c r="BR75" i="38"/>
  <c r="BQ75" i="38"/>
  <c r="BP75" i="38"/>
  <c r="BN75" i="38"/>
  <c r="BM75" i="38"/>
  <c r="BL75" i="38"/>
  <c r="BJ75" i="38"/>
  <c r="BI75" i="38"/>
  <c r="BH75" i="38"/>
  <c r="BF75" i="38"/>
  <c r="BE75" i="38"/>
  <c r="BD75" i="38"/>
  <c r="BB75" i="38"/>
  <c r="BA75" i="38"/>
  <c r="AZ75" i="38"/>
  <c r="AX75" i="38"/>
  <c r="AW75" i="38"/>
  <c r="AV75" i="38"/>
  <c r="AT75" i="38"/>
  <c r="AS75" i="38"/>
  <c r="AR75" i="38"/>
  <c r="AP75" i="38"/>
  <c r="AO75" i="38"/>
  <c r="AN75" i="38"/>
  <c r="AL75" i="38"/>
  <c r="AK75" i="38"/>
  <c r="AJ75" i="38"/>
  <c r="AH75" i="38"/>
  <c r="AG75" i="38"/>
  <c r="AF75" i="38"/>
  <c r="AD75" i="38"/>
  <c r="AC75" i="38"/>
  <c r="AB75" i="38"/>
  <c r="Z75" i="38"/>
  <c r="W75" i="38"/>
  <c r="L75" i="38"/>
  <c r="CH74" i="38"/>
  <c r="CG74" i="38"/>
  <c r="CF74" i="38"/>
  <c r="CE74" i="38"/>
  <c r="CD74" i="38"/>
  <c r="CC74" i="38"/>
  <c r="CB74" i="38"/>
  <c r="CA74" i="38"/>
  <c r="BZ74" i="38"/>
  <c r="V74" i="38"/>
  <c r="U74" i="38"/>
  <c r="CH73" i="38"/>
  <c r="CG73" i="38"/>
  <c r="CF73" i="38"/>
  <c r="CE73" i="38"/>
  <c r="CD73" i="38"/>
  <c r="CC73" i="38"/>
  <c r="CB73" i="38"/>
  <c r="CA73" i="38"/>
  <c r="BZ73" i="38"/>
  <c r="V73" i="38"/>
  <c r="U73" i="38"/>
  <c r="CH72" i="38"/>
  <c r="CG72" i="38"/>
  <c r="CF72" i="38"/>
  <c r="CE72" i="38"/>
  <c r="CC72" i="38"/>
  <c r="CB72" i="38"/>
  <c r="CA72" i="38"/>
  <c r="BZ72" i="38"/>
  <c r="V72" i="38"/>
  <c r="U72" i="38"/>
  <c r="CH71" i="38"/>
  <c r="CG71" i="38"/>
  <c r="CF71" i="38"/>
  <c r="CE71" i="38"/>
  <c r="CC71" i="38"/>
  <c r="CB71" i="38"/>
  <c r="CA71" i="38"/>
  <c r="BZ71" i="38"/>
  <c r="V71" i="38"/>
  <c r="U71" i="38"/>
  <c r="CH70" i="38"/>
  <c r="CG70" i="38"/>
  <c r="CF70" i="38"/>
  <c r="CE70" i="38"/>
  <c r="CC70" i="38"/>
  <c r="CB70" i="38"/>
  <c r="CA70" i="38"/>
  <c r="BZ70" i="38"/>
  <c r="V70" i="38"/>
  <c r="U70" i="38"/>
  <c r="CH69" i="38"/>
  <c r="CG69" i="38"/>
  <c r="CF69" i="38"/>
  <c r="CE69" i="38"/>
  <c r="CC69" i="38"/>
  <c r="CB69" i="38"/>
  <c r="CA69" i="38"/>
  <c r="BZ69" i="38"/>
  <c r="V69" i="38"/>
  <c r="U69" i="38"/>
  <c r="CH68" i="38"/>
  <c r="CG68" i="38"/>
  <c r="CF68" i="38"/>
  <c r="CE68" i="38"/>
  <c r="CC68" i="38"/>
  <c r="CB68" i="38"/>
  <c r="CA68" i="38"/>
  <c r="BZ68" i="38"/>
  <c r="V68" i="38"/>
  <c r="U68" i="38"/>
  <c r="CH67" i="38"/>
  <c r="CG67" i="38"/>
  <c r="CF67" i="38"/>
  <c r="CE67" i="38"/>
  <c r="CC67" i="38"/>
  <c r="CB67" i="38"/>
  <c r="CA67" i="38"/>
  <c r="BZ67" i="38"/>
  <c r="V67" i="38"/>
  <c r="U67" i="38"/>
  <c r="CH66" i="38"/>
  <c r="CG66" i="38"/>
  <c r="CF66" i="38"/>
  <c r="CE66" i="38"/>
  <c r="CC66" i="38"/>
  <c r="CB66" i="38"/>
  <c r="CA66" i="38"/>
  <c r="BZ66" i="38"/>
  <c r="V66" i="38"/>
  <c r="U66" i="38"/>
  <c r="CH65" i="38"/>
  <c r="CG65" i="38"/>
  <c r="CF65" i="38"/>
  <c r="CE65" i="38"/>
  <c r="CC65" i="38"/>
  <c r="CB65" i="38"/>
  <c r="CA65" i="38"/>
  <c r="BZ65" i="38"/>
  <c r="V65" i="38"/>
  <c r="U65" i="38"/>
  <c r="CH64" i="38"/>
  <c r="CG64" i="38"/>
  <c r="CF64" i="38"/>
  <c r="CE64" i="38"/>
  <c r="CC64" i="38"/>
  <c r="CB64" i="38"/>
  <c r="CA64" i="38"/>
  <c r="BZ64" i="38"/>
  <c r="V64" i="38"/>
  <c r="U64" i="38"/>
  <c r="CH63" i="38"/>
  <c r="CG63" i="38"/>
  <c r="CF63" i="38"/>
  <c r="CE63" i="38"/>
  <c r="CC63" i="38"/>
  <c r="CB63" i="38"/>
  <c r="CA63" i="38"/>
  <c r="BZ63" i="38"/>
  <c r="T63" i="38"/>
  <c r="V63" i="38" s="1"/>
  <c r="CH62" i="38"/>
  <c r="CG62" i="38"/>
  <c r="CF62" i="38"/>
  <c r="CE62" i="38"/>
  <c r="CD62" i="38"/>
  <c r="CC62" i="38"/>
  <c r="CB62" i="38"/>
  <c r="CA62" i="38"/>
  <c r="BZ62" i="38"/>
  <c r="V62" i="38"/>
  <c r="U62" i="38"/>
  <c r="CH61" i="38"/>
  <c r="CG61" i="38"/>
  <c r="CF61" i="38"/>
  <c r="CE61" i="38"/>
  <c r="CD61" i="38"/>
  <c r="CC61" i="38"/>
  <c r="CB61" i="38"/>
  <c r="CA61" i="38"/>
  <c r="BZ61" i="38"/>
  <c r="V61" i="38"/>
  <c r="U61" i="38"/>
  <c r="CH60" i="38"/>
  <c r="CG60" i="38"/>
  <c r="CF60" i="38"/>
  <c r="CE60" i="38"/>
  <c r="CC60" i="38"/>
  <c r="CB60" i="38"/>
  <c r="CA60" i="38"/>
  <c r="BZ60" i="38"/>
  <c r="V60" i="38"/>
  <c r="U60" i="38"/>
  <c r="CH59" i="38"/>
  <c r="CG59" i="38"/>
  <c r="CF59" i="38"/>
  <c r="CE59" i="38"/>
  <c r="CD59" i="38"/>
  <c r="CC59" i="38"/>
  <c r="CB59" i="38"/>
  <c r="CA59" i="38"/>
  <c r="BZ59" i="38"/>
  <c r="V59" i="38"/>
  <c r="U59" i="38"/>
  <c r="CH58" i="38"/>
  <c r="CG58" i="38"/>
  <c r="CF58" i="38"/>
  <c r="CE58" i="38"/>
  <c r="CD58" i="38"/>
  <c r="CC58" i="38"/>
  <c r="CB58" i="38"/>
  <c r="CA58" i="38"/>
  <c r="BZ58" i="38"/>
  <c r="V58" i="38"/>
  <c r="U58" i="38"/>
  <c r="CH57" i="38"/>
  <c r="CG57" i="38"/>
  <c r="CF57" i="38"/>
  <c r="CE57" i="38"/>
  <c r="CD57" i="38"/>
  <c r="CC57" i="38"/>
  <c r="CB57" i="38"/>
  <c r="CA57" i="38"/>
  <c r="BZ57" i="38"/>
  <c r="V57" i="38"/>
  <c r="U57" i="38"/>
  <c r="CH56" i="38"/>
  <c r="CG56" i="38"/>
  <c r="CF56" i="38"/>
  <c r="CE56" i="38"/>
  <c r="CC56" i="38"/>
  <c r="CB56" i="38"/>
  <c r="CA56" i="38"/>
  <c r="BZ56" i="38"/>
  <c r="V56" i="38"/>
  <c r="U56" i="38"/>
  <c r="CH55" i="38"/>
  <c r="CG55" i="38"/>
  <c r="CF55" i="38"/>
  <c r="CE55" i="38"/>
  <c r="CC55" i="38"/>
  <c r="CB55" i="38"/>
  <c r="CA55" i="38"/>
  <c r="BZ55" i="38"/>
  <c r="V55" i="38"/>
  <c r="U55" i="38"/>
  <c r="CH54" i="38"/>
  <c r="CG54" i="38"/>
  <c r="CF54" i="38"/>
  <c r="CE54" i="38"/>
  <c r="CC54" i="38"/>
  <c r="CB54" i="38"/>
  <c r="CA54" i="38"/>
  <c r="BZ54" i="38"/>
  <c r="V54" i="38"/>
  <c r="U54" i="38"/>
  <c r="CH53" i="38"/>
  <c r="CG53" i="38"/>
  <c r="CF53" i="38"/>
  <c r="CE53" i="38"/>
  <c r="CC53" i="38"/>
  <c r="CB53" i="38"/>
  <c r="CA53" i="38"/>
  <c r="BZ53" i="38"/>
  <c r="V53" i="38"/>
  <c r="U53" i="38"/>
  <c r="CH52" i="38"/>
  <c r="CG52" i="38"/>
  <c r="CF52" i="38"/>
  <c r="CE52" i="38"/>
  <c r="CC52" i="38"/>
  <c r="CB52" i="38"/>
  <c r="CA52" i="38"/>
  <c r="BZ52" i="38"/>
  <c r="V52" i="38"/>
  <c r="U52" i="38"/>
  <c r="CH51" i="38"/>
  <c r="CG51" i="38"/>
  <c r="CF51" i="38"/>
  <c r="CE51" i="38"/>
  <c r="CD51" i="38"/>
  <c r="CC51" i="38"/>
  <c r="CB51" i="38"/>
  <c r="CA51" i="38"/>
  <c r="BZ51" i="38"/>
  <c r="V51" i="38"/>
  <c r="U51" i="38"/>
  <c r="CH50" i="38"/>
  <c r="CG50" i="38"/>
  <c r="CF50" i="38"/>
  <c r="CE50" i="38"/>
  <c r="CD50" i="38"/>
  <c r="CC50" i="38"/>
  <c r="CB50" i="38"/>
  <c r="CA50" i="38"/>
  <c r="BZ50" i="38"/>
  <c r="V50" i="38"/>
  <c r="U50" i="38"/>
  <c r="CH49" i="38"/>
  <c r="CG49" i="38"/>
  <c r="CF49" i="38"/>
  <c r="CE49" i="38"/>
  <c r="CD49" i="38"/>
  <c r="CC49" i="38"/>
  <c r="CB49" i="38"/>
  <c r="CA49" i="38"/>
  <c r="BZ49" i="38"/>
  <c r="V49" i="38"/>
  <c r="U49" i="38"/>
  <c r="CH48" i="38"/>
  <c r="CG48" i="38"/>
  <c r="CF48" i="38"/>
  <c r="CE48" i="38"/>
  <c r="CD48" i="38"/>
  <c r="CC48" i="38"/>
  <c r="CB48" i="38"/>
  <c r="CA48" i="38"/>
  <c r="BZ48" i="38"/>
  <c r="V48" i="38"/>
  <c r="U48" i="38"/>
  <c r="CH47" i="38"/>
  <c r="CG47" i="38"/>
  <c r="CF47" i="38"/>
  <c r="CE47" i="38"/>
  <c r="CD47" i="38"/>
  <c r="CC47" i="38"/>
  <c r="CB47" i="38"/>
  <c r="CA47" i="38"/>
  <c r="BZ47" i="38"/>
  <c r="V47" i="38"/>
  <c r="U47" i="38"/>
  <c r="CH46" i="38"/>
  <c r="CG46" i="38"/>
  <c r="CF46" i="38"/>
  <c r="CE46" i="38"/>
  <c r="CD46" i="38"/>
  <c r="CC46" i="38"/>
  <c r="CB46" i="38"/>
  <c r="CA46" i="38"/>
  <c r="BZ46" i="38"/>
  <c r="V46" i="38"/>
  <c r="U46" i="38"/>
  <c r="CH45" i="38"/>
  <c r="CG45" i="38"/>
  <c r="CF45" i="38"/>
  <c r="CE45" i="38"/>
  <c r="CD45" i="38"/>
  <c r="CC45" i="38"/>
  <c r="CB45" i="38"/>
  <c r="CA45" i="38"/>
  <c r="BZ45" i="38"/>
  <c r="V45" i="38"/>
  <c r="U45" i="38"/>
  <c r="CH44" i="38"/>
  <c r="CG44" i="38"/>
  <c r="CF44" i="38"/>
  <c r="CE44" i="38"/>
  <c r="CD44" i="38"/>
  <c r="CC44" i="38"/>
  <c r="CB44" i="38"/>
  <c r="CA44" i="38"/>
  <c r="BZ44" i="38"/>
  <c r="V44" i="38"/>
  <c r="U44" i="38"/>
  <c r="CH43" i="38"/>
  <c r="CG43" i="38"/>
  <c r="CF43" i="38"/>
  <c r="CE43" i="38"/>
  <c r="CD43" i="38"/>
  <c r="CC43" i="38"/>
  <c r="CB43" i="38"/>
  <c r="CA43" i="38"/>
  <c r="BZ43" i="38"/>
  <c r="V43" i="38"/>
  <c r="U43" i="38"/>
  <c r="CH42" i="38"/>
  <c r="CG42" i="38"/>
  <c r="CF42" i="38"/>
  <c r="CE42" i="38"/>
  <c r="CD42" i="38"/>
  <c r="CC42" i="38"/>
  <c r="CB42" i="38"/>
  <c r="CA42" i="38"/>
  <c r="BZ42" i="38"/>
  <c r="V42" i="38"/>
  <c r="U42" i="38"/>
  <c r="CH41" i="38"/>
  <c r="CG41" i="38"/>
  <c r="CF41" i="38"/>
  <c r="CE41" i="38"/>
  <c r="CD41" i="38"/>
  <c r="CC41" i="38"/>
  <c r="CB41" i="38"/>
  <c r="CA41" i="38"/>
  <c r="BZ41" i="38"/>
  <c r="V41" i="38"/>
  <c r="U41" i="38"/>
  <c r="CH40" i="38"/>
  <c r="CG40" i="38"/>
  <c r="CF40" i="38"/>
  <c r="CE40" i="38"/>
  <c r="CD40" i="38"/>
  <c r="CC40" i="38"/>
  <c r="CB40" i="38"/>
  <c r="CA40" i="38"/>
  <c r="BZ40" i="38"/>
  <c r="V40" i="38"/>
  <c r="U40" i="38"/>
  <c r="CH39" i="38"/>
  <c r="CG39" i="38"/>
  <c r="CF39" i="38"/>
  <c r="CE39" i="38"/>
  <c r="CD39" i="38"/>
  <c r="CC39" i="38"/>
  <c r="CB39" i="38"/>
  <c r="CA39" i="38"/>
  <c r="BZ39" i="38"/>
  <c r="V39" i="38"/>
  <c r="U39" i="38"/>
  <c r="CH38" i="38"/>
  <c r="CG38" i="38"/>
  <c r="CF38" i="38"/>
  <c r="CE38" i="38"/>
  <c r="CD38" i="38"/>
  <c r="CC38" i="38"/>
  <c r="CB38" i="38"/>
  <c r="CA38" i="38"/>
  <c r="BZ38" i="38"/>
  <c r="V38" i="38"/>
  <c r="U38" i="38"/>
  <c r="CH37" i="38"/>
  <c r="CG37" i="38"/>
  <c r="CF37" i="38"/>
  <c r="CE37" i="38"/>
  <c r="CC37" i="38"/>
  <c r="CB37" i="38"/>
  <c r="CA37" i="38"/>
  <c r="BZ37" i="38"/>
  <c r="V37" i="38"/>
  <c r="U37" i="38"/>
  <c r="CH36" i="38"/>
  <c r="CG36" i="38"/>
  <c r="CF36" i="38"/>
  <c r="CE36" i="38"/>
  <c r="CD36" i="38"/>
  <c r="CC36" i="38"/>
  <c r="CB36" i="38"/>
  <c r="CA36" i="38"/>
  <c r="BZ36" i="38"/>
  <c r="V36" i="38"/>
  <c r="U36" i="38"/>
  <c r="CH35" i="38"/>
  <c r="CG35" i="38"/>
  <c r="CF35" i="38"/>
  <c r="CE35" i="38"/>
  <c r="CC35" i="38"/>
  <c r="CB35" i="38"/>
  <c r="CA35" i="38"/>
  <c r="BZ35" i="38"/>
  <c r="V35" i="38"/>
  <c r="U35" i="38"/>
  <c r="CH34" i="38"/>
  <c r="CG34" i="38"/>
  <c r="CF34" i="38"/>
  <c r="CE34" i="38"/>
  <c r="CC34" i="38"/>
  <c r="CB34" i="38"/>
  <c r="CA34" i="38"/>
  <c r="BZ34" i="38"/>
  <c r="V34" i="38"/>
  <c r="U34" i="38"/>
  <c r="CH33" i="38"/>
  <c r="CG33" i="38"/>
  <c r="CF33" i="38"/>
  <c r="CE33" i="38"/>
  <c r="CC33" i="38"/>
  <c r="CB33" i="38"/>
  <c r="CA33" i="38"/>
  <c r="BZ33" i="38"/>
  <c r="V33" i="38"/>
  <c r="U33" i="38"/>
  <c r="CH32" i="38"/>
  <c r="CG32" i="38"/>
  <c r="CF32" i="38"/>
  <c r="CE32" i="38"/>
  <c r="CC32" i="38"/>
  <c r="CB32" i="38"/>
  <c r="CA32" i="38"/>
  <c r="BZ32" i="38"/>
  <c r="V32" i="38"/>
  <c r="U32" i="38"/>
  <c r="CH31" i="38"/>
  <c r="CG31" i="38"/>
  <c r="CF31" i="38"/>
  <c r="CE31" i="38"/>
  <c r="CD31" i="38"/>
  <c r="CC31" i="38"/>
  <c r="CB31" i="38"/>
  <c r="CA31" i="38"/>
  <c r="BZ31" i="38"/>
  <c r="V31" i="38"/>
  <c r="U31" i="38"/>
  <c r="CH30" i="38"/>
  <c r="CG30" i="38"/>
  <c r="CF30" i="38"/>
  <c r="CE30" i="38"/>
  <c r="CD30" i="38"/>
  <c r="CC30" i="38"/>
  <c r="CB30" i="38"/>
  <c r="CA30" i="38"/>
  <c r="BZ30" i="38"/>
  <c r="V30" i="38"/>
  <c r="U30" i="38"/>
  <c r="CH29" i="38"/>
  <c r="CG29" i="38"/>
  <c r="CF29" i="38"/>
  <c r="CE29" i="38"/>
  <c r="CD29" i="38"/>
  <c r="CC29" i="38"/>
  <c r="CB29" i="38"/>
  <c r="CA29" i="38"/>
  <c r="BZ29" i="38"/>
  <c r="V29" i="38"/>
  <c r="U29" i="38"/>
  <c r="CH28" i="38"/>
  <c r="CG28" i="38"/>
  <c r="CF28" i="38"/>
  <c r="CE28" i="38"/>
  <c r="CD28" i="38"/>
  <c r="CC28" i="38"/>
  <c r="CB28" i="38"/>
  <c r="CA28" i="38"/>
  <c r="BZ28" i="38"/>
  <c r="V28" i="38"/>
  <c r="U28" i="38"/>
  <c r="CH27" i="38"/>
  <c r="CG27" i="38"/>
  <c r="CF27" i="38"/>
  <c r="CE27" i="38"/>
  <c r="CD27" i="38"/>
  <c r="CC27" i="38"/>
  <c r="CB27" i="38"/>
  <c r="CA27" i="38"/>
  <c r="BZ27" i="38"/>
  <c r="V27" i="38"/>
  <c r="U27" i="38"/>
  <c r="CH26" i="38"/>
  <c r="CG26" i="38"/>
  <c r="CF26" i="38"/>
  <c r="CE26" i="38"/>
  <c r="CD26" i="38"/>
  <c r="CC26" i="38"/>
  <c r="CB26" i="38"/>
  <c r="CA26" i="38"/>
  <c r="BZ26" i="38"/>
  <c r="V26" i="38"/>
  <c r="U26" i="38"/>
  <c r="CH25" i="38"/>
  <c r="CG25" i="38"/>
  <c r="CF25" i="38"/>
  <c r="CE25" i="38"/>
  <c r="CD25" i="38"/>
  <c r="CC25" i="38"/>
  <c r="CB25" i="38"/>
  <c r="CA25" i="38"/>
  <c r="BZ25" i="38"/>
  <c r="V25" i="38"/>
  <c r="U25" i="38"/>
  <c r="CH24" i="38"/>
  <c r="CG24" i="38"/>
  <c r="CF24" i="38"/>
  <c r="CE24" i="38"/>
  <c r="CD24" i="38"/>
  <c r="CC24" i="38"/>
  <c r="CB24" i="38"/>
  <c r="CA24" i="38"/>
  <c r="BZ24" i="38"/>
  <c r="V24" i="38"/>
  <c r="U24" i="38"/>
  <c r="CH23" i="38"/>
  <c r="CG23" i="38"/>
  <c r="CF23" i="38"/>
  <c r="CE23" i="38"/>
  <c r="CC23" i="38"/>
  <c r="CB23" i="38"/>
  <c r="CA23" i="38"/>
  <c r="BZ23" i="38"/>
  <c r="V23" i="38"/>
  <c r="U23" i="38"/>
  <c r="CH22" i="38"/>
  <c r="CG22" i="38"/>
  <c r="CF22" i="38"/>
  <c r="CE22" i="38"/>
  <c r="CC22" i="38"/>
  <c r="CB22" i="38"/>
  <c r="CA22" i="38"/>
  <c r="BZ22" i="38"/>
  <c r="V22" i="38"/>
  <c r="U22" i="38"/>
  <c r="CH21" i="38"/>
  <c r="CG21" i="38"/>
  <c r="CF21" i="38"/>
  <c r="CE21" i="38"/>
  <c r="CC21" i="38"/>
  <c r="CB21" i="38"/>
  <c r="CA21" i="38"/>
  <c r="BZ21" i="38"/>
  <c r="V21" i="38"/>
  <c r="U21" i="38"/>
  <c r="CH20" i="38"/>
  <c r="CG20" i="38"/>
  <c r="CF20" i="38"/>
  <c r="CE20" i="38"/>
  <c r="CD20" i="38"/>
  <c r="CC20" i="38"/>
  <c r="CB20" i="38"/>
  <c r="CA20" i="38"/>
  <c r="BZ20" i="38"/>
  <c r="V20" i="38"/>
  <c r="U20" i="38"/>
  <c r="CH19" i="38"/>
  <c r="CG19" i="38"/>
  <c r="CF19" i="38"/>
  <c r="CE19" i="38"/>
  <c r="CC19" i="38"/>
  <c r="CB19" i="38"/>
  <c r="CA19" i="38"/>
  <c r="BZ19" i="38"/>
  <c r="V19" i="38"/>
  <c r="U19" i="38"/>
  <c r="CH18" i="38"/>
  <c r="CG18" i="38"/>
  <c r="CF18" i="38"/>
  <c r="CE18" i="38"/>
  <c r="CD18" i="38"/>
  <c r="CC18" i="38"/>
  <c r="CB18" i="38"/>
  <c r="CA18" i="38"/>
  <c r="BZ18" i="38"/>
  <c r="V18" i="38"/>
  <c r="U18" i="38"/>
  <c r="CH17" i="38"/>
  <c r="CG17" i="38"/>
  <c r="CF17" i="38"/>
  <c r="CE17" i="38"/>
  <c r="CC17" i="38"/>
  <c r="CB17" i="38"/>
  <c r="CA17" i="38"/>
  <c r="BZ17" i="38"/>
  <c r="V17" i="38"/>
  <c r="U17" i="38"/>
  <c r="CH16" i="38"/>
  <c r="CG16" i="38"/>
  <c r="CF16" i="38"/>
  <c r="CE16" i="38"/>
  <c r="CD16" i="38"/>
  <c r="CC16" i="38"/>
  <c r="CB16" i="38"/>
  <c r="CA16" i="38"/>
  <c r="BZ16" i="38"/>
  <c r="V16" i="38"/>
  <c r="U16" i="38"/>
  <c r="CH15" i="38"/>
  <c r="CG15" i="38"/>
  <c r="CF15" i="38"/>
  <c r="CE15" i="38"/>
  <c r="CC15" i="38"/>
  <c r="CB15" i="38"/>
  <c r="CA15" i="38"/>
  <c r="BZ15" i="38"/>
  <c r="V15" i="38"/>
  <c r="U15" i="38"/>
  <c r="CH14" i="38"/>
  <c r="CG14" i="38"/>
  <c r="CF14" i="38"/>
  <c r="CE14" i="38"/>
  <c r="CC14" i="38"/>
  <c r="CB14" i="38"/>
  <c r="CA14" i="38"/>
  <c r="BZ14" i="38"/>
  <c r="V14" i="38"/>
  <c r="U14" i="38"/>
  <c r="CH13" i="38"/>
  <c r="CG13" i="38"/>
  <c r="CF13" i="38"/>
  <c r="CE13" i="38"/>
  <c r="CC13" i="38"/>
  <c r="CB13" i="38"/>
  <c r="CA13" i="38"/>
  <c r="BZ13" i="38"/>
  <c r="V13" i="38"/>
  <c r="U13" i="38"/>
  <c r="CH12" i="38"/>
  <c r="CG12" i="38"/>
  <c r="CF12" i="38"/>
  <c r="CE12" i="38"/>
  <c r="CC12" i="38"/>
  <c r="CB12" i="38"/>
  <c r="CA12" i="38"/>
  <c r="BZ12" i="38"/>
  <c r="V12" i="38"/>
  <c r="U12" i="38"/>
  <c r="CH11" i="38"/>
  <c r="CG11" i="38"/>
  <c r="CF11" i="38"/>
  <c r="CE11" i="38"/>
  <c r="CD11" i="38"/>
  <c r="CC11" i="38"/>
  <c r="CB11" i="38"/>
  <c r="CA11" i="38"/>
  <c r="BZ11" i="38"/>
  <c r="V11" i="38"/>
  <c r="U11" i="38"/>
  <c r="CH10" i="38"/>
  <c r="CG10" i="38"/>
  <c r="CF10" i="38"/>
  <c r="CE10" i="38"/>
  <c r="CD10" i="38"/>
  <c r="CC10" i="38"/>
  <c r="CB10" i="38"/>
  <c r="CA10" i="38"/>
  <c r="BZ10" i="38"/>
  <c r="V10" i="38"/>
  <c r="U10" i="38"/>
  <c r="CH9" i="38"/>
  <c r="CG9" i="38"/>
  <c r="CF9" i="38"/>
  <c r="CE9" i="38"/>
  <c r="CD9" i="38"/>
  <c r="CC9" i="38"/>
  <c r="CB9" i="38"/>
  <c r="CA9" i="38"/>
  <c r="BZ9" i="38"/>
  <c r="V9" i="38"/>
  <c r="U9" i="38"/>
  <c r="CH8" i="38"/>
  <c r="CG8" i="38"/>
  <c r="CF8" i="38"/>
  <c r="CE8" i="38"/>
  <c r="CD8" i="38"/>
  <c r="CC8" i="38"/>
  <c r="CB8" i="38"/>
  <c r="CA8" i="38"/>
  <c r="BZ8" i="38"/>
  <c r="V8" i="38"/>
  <c r="U8" i="38"/>
  <c r="CH7" i="38"/>
  <c r="CG7" i="38"/>
  <c r="CF7" i="38"/>
  <c r="CE7" i="38"/>
  <c r="CD7" i="38"/>
  <c r="CC7" i="38"/>
  <c r="CC75" i="38" s="1"/>
  <c r="CB7" i="38"/>
  <c r="CB75" i="38" s="1"/>
  <c r="CA7" i="38"/>
  <c r="CA75" i="38" s="1"/>
  <c r="BZ7" i="38"/>
  <c r="V7" i="38"/>
  <c r="V76" i="38" s="1"/>
  <c r="U7" i="38"/>
  <c r="BN4" i="38"/>
  <c r="CD56" i="38" s="1"/>
  <c r="BJ4" i="38"/>
  <c r="CD17" i="38" s="1"/>
  <c r="BF4" i="38"/>
  <c r="CD53" i="38" s="1"/>
  <c r="AL4" i="38"/>
  <c r="CD66" i="38" s="1"/>
  <c r="AH4" i="38"/>
  <c r="CD72" i="38" s="1"/>
  <c r="Z4" i="38"/>
  <c r="CD65" i="38" s="1"/>
  <c r="CD64" i="38" l="1"/>
  <c r="CD14" i="38"/>
  <c r="CD63" i="38"/>
  <c r="CD13" i="38"/>
  <c r="CD37" i="38"/>
  <c r="CD12" i="38"/>
  <c r="CD60" i="38"/>
  <c r="CD23" i="38"/>
  <c r="CD35" i="38"/>
  <c r="CD34" i="38"/>
  <c r="CD71" i="38"/>
  <c r="CD22" i="38"/>
  <c r="CD21" i="38"/>
  <c r="CD33" i="38"/>
  <c r="CD70" i="38"/>
  <c r="CD32" i="38"/>
  <c r="U63" i="38"/>
  <c r="U76" i="38" s="1"/>
  <c r="V77" i="38" s="1"/>
  <c r="U78" i="38" s="1"/>
  <c r="CD69" i="38"/>
  <c r="CD19" i="38"/>
  <c r="CD55" i="38"/>
  <c r="CD68" i="38"/>
  <c r="CD15" i="38"/>
  <c r="CD54" i="38"/>
  <c r="CD67" i="38"/>
  <c r="CD52" i="38"/>
  <c r="H4" i="32" l="1"/>
  <c r="H11" i="32" l="1"/>
  <c r="J46" i="32" l="1"/>
  <c r="I46" i="32"/>
  <c r="H48" i="32"/>
  <c r="H47" i="32"/>
  <c r="AC115" i="37"/>
  <c r="AT114" i="37"/>
  <c r="AS114" i="37"/>
  <c r="AR114" i="37"/>
  <c r="AC114" i="37"/>
  <c r="AT113" i="37"/>
  <c r="AS113" i="37"/>
  <c r="AR113" i="37"/>
  <c r="AC113" i="37"/>
  <c r="AT112" i="37"/>
  <c r="AS112" i="37"/>
  <c r="AR112" i="37"/>
  <c r="AC112" i="37"/>
  <c r="AT111" i="37"/>
  <c r="AS111" i="37"/>
  <c r="AR111" i="37"/>
  <c r="AC111" i="37"/>
  <c r="AT110" i="37"/>
  <c r="AS110" i="37"/>
  <c r="AR110" i="37"/>
  <c r="AC110" i="37"/>
  <c r="AT109" i="37"/>
  <c r="AS109" i="37"/>
  <c r="AR109" i="37"/>
  <c r="AC109" i="37"/>
  <c r="AR108" i="37"/>
  <c r="AC108" i="37"/>
  <c r="AR107" i="37"/>
  <c r="AC107" i="37"/>
  <c r="AR106" i="37"/>
  <c r="AC106" i="37"/>
  <c r="AR105" i="37"/>
  <c r="AC105" i="37"/>
  <c r="AR104" i="37"/>
  <c r="AC104" i="37"/>
  <c r="AR103" i="37"/>
  <c r="AC103" i="37"/>
  <c r="AR102" i="37"/>
  <c r="AC102" i="37"/>
  <c r="AR101" i="37"/>
  <c r="AC101" i="37"/>
  <c r="AR100" i="37"/>
  <c r="AC100" i="37"/>
  <c r="AR99" i="37"/>
  <c r="AC99" i="37"/>
  <c r="AR98" i="37"/>
  <c r="AC98" i="37"/>
  <c r="AR97" i="37"/>
  <c r="AC97" i="37"/>
  <c r="AR96" i="37"/>
  <c r="AC96" i="37"/>
  <c r="AR95" i="37"/>
  <c r="AC95" i="37"/>
  <c r="AR94" i="37"/>
  <c r="AC94" i="37"/>
  <c r="AR93" i="37"/>
  <c r="AC93" i="37"/>
  <c r="AR92" i="37"/>
  <c r="AC92" i="37"/>
  <c r="AR91" i="37"/>
  <c r="AC91" i="37"/>
  <c r="AR90" i="37"/>
  <c r="AC90" i="37"/>
  <c r="AR89" i="37"/>
  <c r="AC89" i="37"/>
  <c r="AR88" i="37"/>
  <c r="AC88" i="37"/>
  <c r="AR87" i="37"/>
  <c r="AC87" i="37"/>
  <c r="AR86" i="37"/>
  <c r="AO86" i="37"/>
  <c r="AC86" i="37"/>
  <c r="AR85" i="37"/>
  <c r="AO85" i="37"/>
  <c r="AC85" i="37"/>
  <c r="AR84" i="37"/>
  <c r="AC84" i="37"/>
  <c r="Z84" i="37"/>
  <c r="AR83" i="37"/>
  <c r="AC83" i="37"/>
  <c r="Z83" i="37"/>
  <c r="AR82" i="37"/>
  <c r="AC82" i="37"/>
  <c r="Z82" i="37"/>
  <c r="AR81" i="37"/>
  <c r="AC81" i="37"/>
  <c r="Z81" i="37"/>
  <c r="AR80" i="37"/>
  <c r="AC80" i="37"/>
  <c r="Z80" i="37"/>
  <c r="AR79" i="37"/>
  <c r="AC79" i="37"/>
  <c r="Z79" i="37"/>
  <c r="AR78" i="37"/>
  <c r="AC78" i="37"/>
  <c r="Z78" i="37"/>
  <c r="AR77" i="37"/>
  <c r="AC77" i="37"/>
  <c r="Z77" i="37"/>
  <c r="AR76" i="37"/>
  <c r="AC76" i="37"/>
  <c r="Z76" i="37"/>
  <c r="G76" i="37"/>
  <c r="G107" i="37" s="1"/>
  <c r="AR75" i="37"/>
  <c r="AC75" i="37"/>
  <c r="Z75" i="37"/>
  <c r="AR74" i="37"/>
  <c r="AC74" i="37"/>
  <c r="Z74" i="37"/>
  <c r="AR73" i="37"/>
  <c r="AC73" i="37"/>
  <c r="Z73" i="37"/>
  <c r="F73" i="37"/>
  <c r="AR72" i="37"/>
  <c r="AC72" i="37"/>
  <c r="Z72" i="37"/>
  <c r="F72" i="37"/>
  <c r="AR71" i="37"/>
  <c r="AC71" i="37"/>
  <c r="Z71" i="37"/>
  <c r="F71" i="37"/>
  <c r="AR70" i="37"/>
  <c r="AC70" i="37"/>
  <c r="Z70" i="37"/>
  <c r="G70" i="37"/>
  <c r="F70" i="37"/>
  <c r="AR69" i="37"/>
  <c r="AC69" i="37"/>
  <c r="Z69" i="37"/>
  <c r="G69" i="37"/>
  <c r="F69" i="37"/>
  <c r="AR68" i="37"/>
  <c r="AC68" i="37"/>
  <c r="Z68" i="37"/>
  <c r="G68" i="37"/>
  <c r="F68" i="37"/>
  <c r="AR67" i="37"/>
  <c r="AC67" i="37"/>
  <c r="Z67" i="37"/>
  <c r="G67" i="37"/>
  <c r="F67" i="37"/>
  <c r="AR66" i="37"/>
  <c r="AC66" i="37"/>
  <c r="Z66" i="37"/>
  <c r="G66" i="37"/>
  <c r="F66" i="37"/>
  <c r="AR65" i="37"/>
  <c r="AC65" i="37"/>
  <c r="Z65" i="37"/>
  <c r="G65" i="37"/>
  <c r="F65" i="37"/>
  <c r="AR64" i="37"/>
  <c r="AC64" i="37"/>
  <c r="Z64" i="37"/>
  <c r="G64" i="37"/>
  <c r="F64" i="37"/>
  <c r="AR63" i="37"/>
  <c r="AC63" i="37"/>
  <c r="Z63" i="37"/>
  <c r="F63" i="37"/>
  <c r="AR62" i="37"/>
  <c r="AC62" i="37"/>
  <c r="Z62" i="37"/>
  <c r="F62" i="37"/>
  <c r="AR61" i="37"/>
  <c r="AO61" i="37"/>
  <c r="AC61" i="37"/>
  <c r="Z61" i="37"/>
  <c r="AA61" i="37" s="1"/>
  <c r="G61" i="37"/>
  <c r="F61" i="37"/>
  <c r="AR60" i="37"/>
  <c r="AO60" i="37"/>
  <c r="AC60" i="37"/>
  <c r="G60" i="37"/>
  <c r="F60" i="37"/>
  <c r="AR59" i="37"/>
  <c r="AO59" i="37"/>
  <c r="AC59" i="37"/>
  <c r="G59" i="37"/>
  <c r="F59" i="37"/>
  <c r="AR58" i="37"/>
  <c r="AC58" i="37"/>
  <c r="G58" i="37"/>
  <c r="F58" i="37"/>
  <c r="AR57" i="37"/>
  <c r="AC57" i="37"/>
  <c r="G57" i="37"/>
  <c r="F57" i="37"/>
  <c r="AR56" i="37"/>
  <c r="AC56" i="37"/>
  <c r="G56" i="37"/>
  <c r="F56" i="37"/>
  <c r="AR55" i="37"/>
  <c r="AC55" i="37"/>
  <c r="G55" i="37"/>
  <c r="AR54" i="37"/>
  <c r="AC54" i="37"/>
  <c r="AR53" i="37"/>
  <c r="AC53" i="37"/>
  <c r="AR52" i="37"/>
  <c r="AC52" i="37"/>
  <c r="AR51" i="37"/>
  <c r="AC51" i="37"/>
  <c r="AR50" i="37"/>
  <c r="AC50" i="37"/>
  <c r="AR49" i="37"/>
  <c r="AC49" i="37"/>
  <c r="AR48" i="37"/>
  <c r="AC48" i="37"/>
  <c r="AR47" i="37"/>
  <c r="AC47" i="37"/>
  <c r="AR46" i="37"/>
  <c r="AM109" i="37"/>
  <c r="AC46" i="37"/>
  <c r="AR45" i="37"/>
  <c r="AC45" i="37"/>
  <c r="AB45" i="37"/>
  <c r="AB46" i="37" s="1"/>
  <c r="AB47" i="37" s="1"/>
  <c r="AB48" i="37" s="1"/>
  <c r="AB49" i="37" s="1"/>
  <c r="AB50" i="37" s="1"/>
  <c r="AB51" i="37" s="1"/>
  <c r="AB52" i="37" s="1"/>
  <c r="AB53" i="37" s="1"/>
  <c r="AB54" i="37" s="1"/>
  <c r="AB55" i="37" s="1"/>
  <c r="AB56" i="37" s="1"/>
  <c r="AB57" i="37" s="1"/>
  <c r="AB58" i="37" s="1"/>
  <c r="AB59" i="37" s="1"/>
  <c r="AB60" i="37" s="1"/>
  <c r="AB61" i="37" s="1"/>
  <c r="AB62" i="37" s="1"/>
  <c r="AB63" i="37" s="1"/>
  <c r="AB64" i="37" s="1"/>
  <c r="AB65" i="37" s="1"/>
  <c r="AB66" i="37" s="1"/>
  <c r="AB67" i="37" s="1"/>
  <c r="AB68" i="37" s="1"/>
  <c r="AB69" i="37" s="1"/>
  <c r="AB70" i="37" s="1"/>
  <c r="AB71" i="37" s="1"/>
  <c r="AB72" i="37" s="1"/>
  <c r="AB73" i="37" s="1"/>
  <c r="AB74" i="37" s="1"/>
  <c r="AB75" i="37" s="1"/>
  <c r="AB76" i="37" s="1"/>
  <c r="AB77" i="37" s="1"/>
  <c r="AB78" i="37" s="1"/>
  <c r="AB79" i="37" s="1"/>
  <c r="AB80" i="37" s="1"/>
  <c r="AB81" i="37" s="1"/>
  <c r="AB82" i="37" s="1"/>
  <c r="AB83" i="37" s="1"/>
  <c r="AB84" i="37" s="1"/>
  <c r="AB85" i="37" s="1"/>
  <c r="AB86" i="37" s="1"/>
  <c r="AB87" i="37" s="1"/>
  <c r="AB88" i="37" s="1"/>
  <c r="AB89" i="37" s="1"/>
  <c r="AB90" i="37" s="1"/>
  <c r="AB91" i="37" s="1"/>
  <c r="AB92" i="37" s="1"/>
  <c r="AB93" i="37" s="1"/>
  <c r="AB94" i="37" s="1"/>
  <c r="AB95" i="37" s="1"/>
  <c r="AB96" i="37" s="1"/>
  <c r="AB97" i="37" s="1"/>
  <c r="AB98" i="37" s="1"/>
  <c r="AB99" i="37" s="1"/>
  <c r="AB100" i="37" s="1"/>
  <c r="AB101" i="37" s="1"/>
  <c r="AB102" i="37" s="1"/>
  <c r="AB103" i="37" s="1"/>
  <c r="AB104" i="37" s="1"/>
  <c r="AB105" i="37" s="1"/>
  <c r="AB106" i="37" s="1"/>
  <c r="AB107" i="37" s="1"/>
  <c r="AB108" i="37" s="1"/>
  <c r="AB109" i="37" s="1"/>
  <c r="AB110" i="37" s="1"/>
  <c r="AB111" i="37" s="1"/>
  <c r="AB112" i="37" s="1"/>
  <c r="AB113" i="37" s="1"/>
  <c r="AB114" i="37" s="1"/>
  <c r="AB115" i="37" s="1"/>
  <c r="AR44" i="37"/>
  <c r="AC44" i="37"/>
  <c r="AA62" i="37" l="1"/>
  <c r="AA63" i="37" s="1"/>
  <c r="AA64" i="37" s="1"/>
  <c r="AA65" i="37" s="1"/>
  <c r="AA66" i="37" s="1"/>
  <c r="AA67" i="37" s="1"/>
  <c r="AA68" i="37" s="1"/>
  <c r="AA69" i="37" s="1"/>
  <c r="AA70" i="37" s="1"/>
  <c r="AA71" i="37" s="1"/>
  <c r="AA72" i="37" s="1"/>
  <c r="AA73" i="37" s="1"/>
  <c r="AA74" i="37" s="1"/>
  <c r="AA75" i="37" s="1"/>
  <c r="AA76" i="37" s="1"/>
  <c r="AA77" i="37" s="1"/>
  <c r="AA78" i="37" s="1"/>
  <c r="AA79" i="37" s="1"/>
  <c r="AA80" i="37" s="1"/>
  <c r="AA81" i="37" s="1"/>
  <c r="AA82" i="37" s="1"/>
  <c r="AA83" i="37" s="1"/>
  <c r="AA84" i="37" s="1"/>
  <c r="AA85" i="37" s="1"/>
  <c r="AA86" i="37" s="1"/>
  <c r="AA87" i="37" s="1"/>
  <c r="AA88" i="37" s="1"/>
  <c r="AA89" i="37" s="1"/>
  <c r="AA90" i="37" s="1"/>
  <c r="AA91" i="37" s="1"/>
  <c r="AA92" i="37" s="1"/>
  <c r="AA93" i="37" s="1"/>
  <c r="AA94" i="37" s="1"/>
  <c r="AA95" i="37" s="1"/>
  <c r="AA96" i="37" s="1"/>
  <c r="AA97" i="37" s="1"/>
  <c r="AA98" i="37" s="1"/>
  <c r="AA99" i="37" s="1"/>
  <c r="AA100" i="37" s="1"/>
  <c r="AA101" i="37" s="1"/>
  <c r="AA102" i="37" s="1"/>
  <c r="AA103" i="37" s="1"/>
  <c r="AA104" i="37" s="1"/>
  <c r="AA105" i="37" s="1"/>
  <c r="AA106" i="37" s="1"/>
  <c r="AA107" i="37" s="1"/>
  <c r="AA108" i="37" s="1"/>
  <c r="AA109" i="37" s="1"/>
  <c r="AA110" i="37" s="1"/>
  <c r="AA111" i="37" s="1"/>
  <c r="G74" i="37"/>
  <c r="AV109" i="37"/>
  <c r="AM110" i="37"/>
  <c r="G108" i="37"/>
  <c r="G82" i="37"/>
  <c r="G83" i="37" s="1"/>
  <c r="AM108" i="36"/>
  <c r="AM109" i="36"/>
  <c r="AV109" i="36" s="1"/>
  <c r="AM110" i="36"/>
  <c r="AM111" i="36"/>
  <c r="AM112" i="36"/>
  <c r="AM113" i="36" s="1"/>
  <c r="AM105" i="36"/>
  <c r="AM106" i="36" s="1"/>
  <c r="AM107" i="36" s="1"/>
  <c r="AB110" i="36"/>
  <c r="AC110" i="36"/>
  <c r="AB111" i="36"/>
  <c r="AC111" i="36"/>
  <c r="AB112" i="36"/>
  <c r="AB113" i="36" s="1"/>
  <c r="AB114" i="36" s="1"/>
  <c r="AB115" i="36" s="1"/>
  <c r="AC112" i="36"/>
  <c r="AC113" i="36"/>
  <c r="AC114" i="36"/>
  <c r="AC115" i="36"/>
  <c r="AQ102" i="36"/>
  <c r="AR102" i="36"/>
  <c r="AQ103" i="36"/>
  <c r="AR103" i="36"/>
  <c r="AQ104" i="36"/>
  <c r="AR104" i="36"/>
  <c r="AQ105" i="36"/>
  <c r="AR105" i="36"/>
  <c r="AQ106" i="36"/>
  <c r="AR106" i="36"/>
  <c r="AQ107" i="36"/>
  <c r="AR107" i="36"/>
  <c r="AQ108" i="36"/>
  <c r="AR108" i="36"/>
  <c r="AQ109" i="36"/>
  <c r="AR109" i="36"/>
  <c r="AS109" i="36"/>
  <c r="AT109" i="36"/>
  <c r="AQ110" i="36"/>
  <c r="AR110" i="36"/>
  <c r="AS110" i="36"/>
  <c r="AT110" i="36"/>
  <c r="AQ111" i="36"/>
  <c r="AR111" i="36"/>
  <c r="AS111" i="36"/>
  <c r="AT111" i="36"/>
  <c r="AQ112" i="36"/>
  <c r="AR112" i="36"/>
  <c r="AS112" i="36"/>
  <c r="AT112" i="36"/>
  <c r="AQ113" i="36"/>
  <c r="AR113" i="36"/>
  <c r="AS113" i="36"/>
  <c r="AT113" i="36"/>
  <c r="AQ114" i="36"/>
  <c r="AR114" i="36"/>
  <c r="AS114" i="36"/>
  <c r="AT114" i="36"/>
  <c r="AB106" i="36"/>
  <c r="AC106" i="36"/>
  <c r="AB107" i="36"/>
  <c r="AC107" i="36"/>
  <c r="AB108" i="36"/>
  <c r="AB109" i="36" s="1"/>
  <c r="AC108" i="36"/>
  <c r="AC109" i="36"/>
  <c r="AB102" i="36"/>
  <c r="AB103" i="36" s="1"/>
  <c r="AB104" i="36" s="1"/>
  <c r="AB105" i="36" s="1"/>
  <c r="AC102" i="36"/>
  <c r="AC103" i="36"/>
  <c r="AC104" i="36"/>
  <c r="AC105" i="36"/>
  <c r="AM102" i="36"/>
  <c r="AM103" i="36" s="1"/>
  <c r="AM104" i="36" s="1"/>
  <c r="AM111" i="37" l="1"/>
  <c r="AV110" i="37"/>
  <c r="AV113" i="36"/>
  <c r="AM114" i="36"/>
  <c r="AM115" i="36" s="1"/>
  <c r="AV111" i="36"/>
  <c r="AV114" i="36"/>
  <c r="AV112" i="36"/>
  <c r="AV110" i="36"/>
  <c r="AM112" i="37" l="1"/>
  <c r="AV111" i="37"/>
  <c r="AM113" i="37" l="1"/>
  <c r="AV112" i="37"/>
  <c r="AM94" i="36"/>
  <c r="AM93" i="36"/>
  <c r="AM114" i="37" l="1"/>
  <c r="AV113" i="37"/>
  <c r="AO86" i="36"/>
  <c r="AO85" i="36"/>
  <c r="Z64" i="36"/>
  <c r="Z65" i="36"/>
  <c r="Z66" i="36"/>
  <c r="Z67" i="36"/>
  <c r="Z68" i="36"/>
  <c r="Z69" i="36"/>
  <c r="Z70" i="36"/>
  <c r="Z71" i="36"/>
  <c r="Z72" i="36"/>
  <c r="Z73" i="36"/>
  <c r="Z74" i="36"/>
  <c r="Z75" i="36"/>
  <c r="Z76" i="36"/>
  <c r="Z77" i="36"/>
  <c r="Z78" i="36"/>
  <c r="Z79" i="36"/>
  <c r="Z80" i="36"/>
  <c r="Z81" i="36"/>
  <c r="Z82" i="36"/>
  <c r="Z83" i="36"/>
  <c r="Z84" i="36"/>
  <c r="AQ57" i="36"/>
  <c r="AR57" i="36"/>
  <c r="AQ58" i="36"/>
  <c r="AR58" i="36"/>
  <c r="AQ59" i="36"/>
  <c r="AR59" i="36"/>
  <c r="AQ60" i="36"/>
  <c r="AR60" i="36"/>
  <c r="AQ61" i="36"/>
  <c r="AR61" i="36"/>
  <c r="AQ62" i="36"/>
  <c r="AR62" i="36"/>
  <c r="AQ63" i="36"/>
  <c r="AR63" i="36"/>
  <c r="AQ64" i="36"/>
  <c r="AR64" i="36"/>
  <c r="AQ65" i="36"/>
  <c r="AR65" i="36"/>
  <c r="AQ66" i="36"/>
  <c r="AR66" i="36"/>
  <c r="AQ67" i="36"/>
  <c r="AR67" i="36"/>
  <c r="AQ68" i="36"/>
  <c r="AR68" i="36"/>
  <c r="AQ69" i="36"/>
  <c r="AR69" i="36"/>
  <c r="AQ70" i="36"/>
  <c r="AR70" i="36"/>
  <c r="AQ71" i="36"/>
  <c r="AR71" i="36"/>
  <c r="AQ72" i="36"/>
  <c r="AR72" i="36"/>
  <c r="AQ73" i="36"/>
  <c r="AR73" i="36"/>
  <c r="AQ74" i="36"/>
  <c r="AR74" i="36"/>
  <c r="AQ75" i="36"/>
  <c r="AR75" i="36"/>
  <c r="AQ76" i="36"/>
  <c r="AR76" i="36"/>
  <c r="AQ77" i="36"/>
  <c r="AR77" i="36"/>
  <c r="AQ78" i="36"/>
  <c r="AR78" i="36"/>
  <c r="AQ79" i="36"/>
  <c r="AR79" i="36"/>
  <c r="AQ80" i="36"/>
  <c r="AR80" i="36"/>
  <c r="AQ81" i="36"/>
  <c r="AR81" i="36"/>
  <c r="AQ82" i="36"/>
  <c r="AR82" i="36"/>
  <c r="AQ83" i="36"/>
  <c r="AR83" i="36"/>
  <c r="AQ84" i="36"/>
  <c r="AR84" i="36"/>
  <c r="AQ85" i="36"/>
  <c r="AR85" i="36"/>
  <c r="AQ86" i="36"/>
  <c r="AR86" i="36"/>
  <c r="AQ87" i="36"/>
  <c r="AR87" i="36"/>
  <c r="AQ88" i="36"/>
  <c r="AR88" i="36"/>
  <c r="AQ89" i="36"/>
  <c r="AR89" i="36"/>
  <c r="AQ90" i="36"/>
  <c r="AR90" i="36"/>
  <c r="AQ91" i="36"/>
  <c r="AR91" i="36"/>
  <c r="AQ92" i="36"/>
  <c r="AR92" i="36"/>
  <c r="AQ93" i="36"/>
  <c r="AR93" i="36"/>
  <c r="AQ94" i="36"/>
  <c r="AR94" i="36"/>
  <c r="AQ95" i="36"/>
  <c r="AR95" i="36"/>
  <c r="AQ96" i="36"/>
  <c r="AR96" i="36"/>
  <c r="AQ97" i="36"/>
  <c r="AR97" i="36"/>
  <c r="AQ98" i="36"/>
  <c r="AR98" i="36"/>
  <c r="AQ99" i="36"/>
  <c r="AR99" i="36"/>
  <c r="AQ100" i="36"/>
  <c r="AR100" i="36"/>
  <c r="AQ101" i="36"/>
  <c r="AR101"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M45" i="36"/>
  <c r="AM46" i="36"/>
  <c r="AM47" i="36"/>
  <c r="AM48" i="36"/>
  <c r="AM49" i="36"/>
  <c r="AM50" i="36"/>
  <c r="AM51" i="36"/>
  <c r="AM52" i="36"/>
  <c r="AM53" i="36"/>
  <c r="AM54" i="36"/>
  <c r="AM55" i="36"/>
  <c r="AM56" i="36"/>
  <c r="AM57" i="36"/>
  <c r="AQ54" i="36"/>
  <c r="AR54" i="36"/>
  <c r="AQ55" i="36"/>
  <c r="AR55" i="36"/>
  <c r="AQ56" i="36"/>
  <c r="AR56" i="36"/>
  <c r="AC54" i="36"/>
  <c r="AC55" i="36"/>
  <c r="AC56" i="36"/>
  <c r="AM58" i="36"/>
  <c r="AM59" i="36"/>
  <c r="AM60" i="36"/>
  <c r="AM61" i="36"/>
  <c r="AM62" i="36"/>
  <c r="AM63" i="36"/>
  <c r="AM64" i="36"/>
  <c r="AM65" i="36"/>
  <c r="AM66" i="36"/>
  <c r="AM67" i="36"/>
  <c r="AM68" i="36"/>
  <c r="AM69" i="36"/>
  <c r="AM70" i="36"/>
  <c r="AM71" i="36"/>
  <c r="AM72" i="36"/>
  <c r="AM73" i="36"/>
  <c r="AM74" i="36"/>
  <c r="AM75" i="36"/>
  <c r="AM76" i="36"/>
  <c r="AM77" i="36"/>
  <c r="AM78" i="36"/>
  <c r="AM79" i="36"/>
  <c r="AM80" i="36"/>
  <c r="AM81" i="36"/>
  <c r="AM82" i="36"/>
  <c r="AM83" i="36"/>
  <c r="AM84" i="36"/>
  <c r="AM85" i="36"/>
  <c r="AM86" i="36"/>
  <c r="AM87" i="36"/>
  <c r="AM88" i="36"/>
  <c r="AM89" i="36"/>
  <c r="AM90" i="36"/>
  <c r="AM91" i="36"/>
  <c r="AR113" i="33"/>
  <c r="AQ113" i="33"/>
  <c r="AM113" i="33"/>
  <c r="AC113" i="33"/>
  <c r="AB113" i="33"/>
  <c r="AM112" i="33"/>
  <c r="AR112" i="33"/>
  <c r="AQ112" i="33"/>
  <c r="AC112" i="33"/>
  <c r="AB112" i="33"/>
  <c r="AM92" i="36"/>
  <c r="Z81" i="33"/>
  <c r="AQ111" i="33"/>
  <c r="AR111" i="33"/>
  <c r="AQ103" i="33"/>
  <c r="AR103" i="33"/>
  <c r="AQ104" i="33"/>
  <c r="AR104" i="33"/>
  <c r="AQ105" i="33"/>
  <c r="AR105" i="33"/>
  <c r="AQ106" i="33"/>
  <c r="AR106" i="33"/>
  <c r="AQ107" i="33"/>
  <c r="AR107" i="33"/>
  <c r="AQ108" i="33"/>
  <c r="AR108" i="33"/>
  <c r="AQ109" i="33"/>
  <c r="AR109" i="33"/>
  <c r="AQ110" i="33"/>
  <c r="AR110" i="33"/>
  <c r="AB103" i="33"/>
  <c r="AC103" i="33"/>
  <c r="AB104" i="33"/>
  <c r="AB105" i="33"/>
  <c r="AB106" i="33"/>
  <c r="AB107" i="33"/>
  <c r="AB108" i="33"/>
  <c r="AB109" i="33"/>
  <c r="AB110" i="33"/>
  <c r="AB111" i="33"/>
  <c r="AC104" i="33"/>
  <c r="AC105" i="33"/>
  <c r="AC106" i="33"/>
  <c r="AC107" i="33"/>
  <c r="AC108" i="33"/>
  <c r="AC109" i="33"/>
  <c r="AC110" i="33"/>
  <c r="AC111" i="33"/>
  <c r="AM104" i="33"/>
  <c r="AM103" i="33"/>
  <c r="AF103" i="33"/>
  <c r="AO106" i="33"/>
  <c r="AO105" i="33"/>
  <c r="AO111" i="33"/>
  <c r="AO110" i="33"/>
  <c r="AO109" i="33"/>
  <c r="AM110" i="33"/>
  <c r="AM111" i="33"/>
  <c r="AJ111" i="33"/>
  <c r="AI111" i="33"/>
  <c r="AF111" i="33"/>
  <c r="AJ110" i="33"/>
  <c r="AI110" i="33"/>
  <c r="AF110" i="33"/>
  <c r="AM109" i="33"/>
  <c r="AJ109" i="33"/>
  <c r="AI109" i="33"/>
  <c r="AF109" i="33"/>
  <c r="AM89" i="33"/>
  <c r="AF108" i="33"/>
  <c r="AF107" i="33"/>
  <c r="AJ106" i="33"/>
  <c r="AJ94" i="33"/>
  <c r="AI94" i="33"/>
  <c r="AJ105" i="33"/>
  <c r="AJ104" i="33"/>
  <c r="AF104" i="33"/>
  <c r="AQ96" i="33"/>
  <c r="AQ97" i="33"/>
  <c r="AR97" i="33"/>
  <c r="AQ98" i="33"/>
  <c r="AR98" i="33"/>
  <c r="AQ99" i="33"/>
  <c r="AR99" i="33"/>
  <c r="AQ100" i="33"/>
  <c r="AR100" i="33"/>
  <c r="AQ101" i="33"/>
  <c r="AR101" i="33"/>
  <c r="AQ102" i="33"/>
  <c r="AR102" i="33"/>
  <c r="AJ96" i="33"/>
  <c r="AI96" i="33"/>
  <c r="AH96" i="33"/>
  <c r="AR96" i="33"/>
  <c r="AC96" i="33"/>
  <c r="AC97" i="33"/>
  <c r="AC98" i="33"/>
  <c r="AC99" i="33"/>
  <c r="AC100" i="33"/>
  <c r="AC101" i="33"/>
  <c r="AC102" i="33"/>
  <c r="AF102" i="33"/>
  <c r="AF101" i="33"/>
  <c r="AF100" i="33"/>
  <c r="AF99" i="33"/>
  <c r="AF98" i="33"/>
  <c r="AF97" i="33"/>
  <c r="AF96" i="33"/>
  <c r="AM90" i="33"/>
  <c r="AQ90" i="33"/>
  <c r="AR90" i="33"/>
  <c r="AQ91" i="33"/>
  <c r="AR91" i="33"/>
  <c r="AQ92" i="33"/>
  <c r="AR92" i="33"/>
  <c r="AQ93" i="33"/>
  <c r="AR93" i="33"/>
  <c r="AQ94" i="33"/>
  <c r="AR94" i="33"/>
  <c r="AQ95" i="33"/>
  <c r="AR95" i="33"/>
  <c r="AC90" i="33"/>
  <c r="AC91" i="33"/>
  <c r="AC92" i="33"/>
  <c r="AC93" i="33"/>
  <c r="AC94" i="33"/>
  <c r="AC95" i="33"/>
  <c r="AR89" i="33"/>
  <c r="AC89" i="33"/>
  <c r="AI89" i="33"/>
  <c r="AJ65" i="33"/>
  <c r="AI65" i="33"/>
  <c r="AF65" i="33"/>
  <c r="AR44" i="33"/>
  <c r="AR45" i="33"/>
  <c r="AR46" i="33"/>
  <c r="AR47" i="33"/>
  <c r="AR48" i="33"/>
  <c r="AR49" i="33"/>
  <c r="AR50" i="33"/>
  <c r="AR51" i="33"/>
  <c r="AR52" i="33"/>
  <c r="AR53" i="33"/>
  <c r="AR54" i="33"/>
  <c r="AR55" i="33"/>
  <c r="AR56" i="33"/>
  <c r="AR57" i="33"/>
  <c r="AR58" i="33"/>
  <c r="AR59" i="33"/>
  <c r="AR60" i="33"/>
  <c r="AR61" i="33"/>
  <c r="AR62" i="33"/>
  <c r="AR63" i="33"/>
  <c r="AR64" i="33"/>
  <c r="AQ65" i="33"/>
  <c r="AR65" i="33"/>
  <c r="AR66" i="33"/>
  <c r="AR67" i="33"/>
  <c r="AR68" i="33"/>
  <c r="AR69" i="33"/>
  <c r="AR70" i="33"/>
  <c r="AR71" i="33"/>
  <c r="AR72" i="33"/>
  <c r="AR73" i="33"/>
  <c r="AR74" i="33"/>
  <c r="AR75" i="33"/>
  <c r="AR76" i="33"/>
  <c r="AR77" i="33"/>
  <c r="AR78" i="33"/>
  <c r="AR79" i="33"/>
  <c r="AR80" i="33"/>
  <c r="AR81" i="33"/>
  <c r="AR82" i="33"/>
  <c r="AR83" i="33"/>
  <c r="AR84" i="33"/>
  <c r="AR85" i="33"/>
  <c r="AR86" i="33"/>
  <c r="AR87" i="33"/>
  <c r="AR88" i="33"/>
  <c r="AC44" i="33"/>
  <c r="AC45" i="33"/>
  <c r="AC46" i="33"/>
  <c r="AC47" i="33"/>
  <c r="AC48" i="33"/>
  <c r="AC49" i="33"/>
  <c r="AC50" i="33"/>
  <c r="AC51" i="33"/>
  <c r="AC52" i="33"/>
  <c r="AC53" i="33"/>
  <c r="AC54" i="33"/>
  <c r="AC55" i="33"/>
  <c r="AC56" i="33"/>
  <c r="AC57" i="33"/>
  <c r="AC58" i="33"/>
  <c r="AC59" i="33"/>
  <c r="AC60" i="33"/>
  <c r="AC61" i="33"/>
  <c r="AC62" i="33"/>
  <c r="AC63" i="33"/>
  <c r="AC64" i="33"/>
  <c r="AC65" i="33"/>
  <c r="AC66" i="33"/>
  <c r="AC67" i="33"/>
  <c r="AC68" i="33"/>
  <c r="AC69" i="33"/>
  <c r="AC70" i="33"/>
  <c r="AC71" i="33"/>
  <c r="AC72" i="33"/>
  <c r="AC73" i="33"/>
  <c r="AC74" i="33"/>
  <c r="AC75" i="33"/>
  <c r="AC76" i="33"/>
  <c r="AC77" i="33"/>
  <c r="AC78" i="33"/>
  <c r="AC79" i="33"/>
  <c r="AC80" i="33"/>
  <c r="AC81" i="33"/>
  <c r="AC82" i="33"/>
  <c r="AC83" i="33"/>
  <c r="AC84" i="33"/>
  <c r="AC85" i="33"/>
  <c r="AC86" i="33"/>
  <c r="AC87" i="33"/>
  <c r="AC88" i="33"/>
  <c r="AM95" i="36"/>
  <c r="AM96" i="36" s="1"/>
  <c r="AM97" i="36" s="1"/>
  <c r="AM91" i="33"/>
  <c r="AM96" i="33"/>
  <c r="AM97" i="33"/>
  <c r="AM98" i="33"/>
  <c r="AM99" i="33"/>
  <c r="AM100" i="33"/>
  <c r="AM101" i="33"/>
  <c r="AM102" i="33"/>
  <c r="AM42" i="33"/>
  <c r="AM43" i="33"/>
  <c r="AM44" i="33"/>
  <c r="AM45" i="33"/>
  <c r="AM46" i="33"/>
  <c r="AM58" i="33"/>
  <c r="AM59" i="33"/>
  <c r="AM60" i="33"/>
  <c r="AM61" i="33"/>
  <c r="AM62" i="33"/>
  <c r="AM63" i="33"/>
  <c r="AM64" i="33"/>
  <c r="AJ95" i="33"/>
  <c r="AI95" i="33"/>
  <c r="AF95" i="33"/>
  <c r="AM92" i="33"/>
  <c r="AM107" i="33"/>
  <c r="AM108" i="33"/>
  <c r="AM95" i="33"/>
  <c r="AM66" i="33"/>
  <c r="AM67" i="33"/>
  <c r="AM68" i="33"/>
  <c r="AM69" i="33"/>
  <c r="AM65" i="33"/>
  <c r="AM47" i="33"/>
  <c r="AM48" i="33"/>
  <c r="AM49" i="33"/>
  <c r="AM50" i="33"/>
  <c r="AM51" i="33"/>
  <c r="AM52" i="33"/>
  <c r="AM53" i="33"/>
  <c r="AM54" i="33"/>
  <c r="AM55" i="33"/>
  <c r="AM56" i="33"/>
  <c r="AM57" i="33"/>
  <c r="AM85" i="33"/>
  <c r="AM86" i="33"/>
  <c r="Z80" i="33"/>
  <c r="AJ84" i="33"/>
  <c r="AJ83" i="33"/>
  <c r="AJ82" i="33"/>
  <c r="AJ81" i="33"/>
  <c r="AJ80" i="33"/>
  <c r="AJ79" i="33"/>
  <c r="AJ78" i="33"/>
  <c r="AJ77" i="33"/>
  <c r="AJ76" i="33"/>
  <c r="AJ75" i="33"/>
  <c r="AJ74" i="33"/>
  <c r="AJ73" i="33"/>
  <c r="AJ72" i="33"/>
  <c r="AJ71" i="33"/>
  <c r="AJ70" i="33"/>
  <c r="AJ69" i="33"/>
  <c r="AJ68" i="33"/>
  <c r="AJ67" i="33"/>
  <c r="AJ66" i="33"/>
  <c r="AJ64" i="33"/>
  <c r="AJ63" i="33"/>
  <c r="AJ62" i="33"/>
  <c r="AJ61" i="33"/>
  <c r="AJ60" i="33"/>
  <c r="AJ59" i="33"/>
  <c r="AJ58" i="33"/>
  <c r="AI84" i="33"/>
  <c r="AI83" i="33"/>
  <c r="AI82" i="33"/>
  <c r="AI81" i="33"/>
  <c r="AI80" i="33"/>
  <c r="AI79" i="33"/>
  <c r="AI78" i="33"/>
  <c r="AI77" i="33"/>
  <c r="AI76" i="33"/>
  <c r="AI75" i="33"/>
  <c r="AI74" i="33"/>
  <c r="AI73" i="33"/>
  <c r="AI72" i="33"/>
  <c r="AI71" i="33"/>
  <c r="AI70" i="33"/>
  <c r="AI69" i="33"/>
  <c r="AI68" i="33"/>
  <c r="AI67" i="33"/>
  <c r="AI66" i="33"/>
  <c r="AI64" i="33"/>
  <c r="AI63" i="33"/>
  <c r="AI62" i="33"/>
  <c r="AI61" i="33"/>
  <c r="AI60" i="33"/>
  <c r="AI59" i="33"/>
  <c r="AI58" i="33"/>
  <c r="AF84" i="33"/>
  <c r="AQ84" i="33"/>
  <c r="AF83" i="33"/>
  <c r="AQ83" i="33"/>
  <c r="AF82" i="33"/>
  <c r="AQ82" i="33"/>
  <c r="AF81" i="33"/>
  <c r="AQ81" i="33"/>
  <c r="AF80" i="33"/>
  <c r="AQ80" i="33"/>
  <c r="AF79" i="33"/>
  <c r="AQ79" i="33"/>
  <c r="AF78" i="33"/>
  <c r="AQ78" i="33"/>
  <c r="AF77" i="33"/>
  <c r="AQ77" i="33"/>
  <c r="AF76" i="33"/>
  <c r="AQ76" i="33"/>
  <c r="AF75" i="33"/>
  <c r="AQ75" i="33"/>
  <c r="AF74" i="33"/>
  <c r="AQ74" i="33"/>
  <c r="AF73" i="33"/>
  <c r="AQ73" i="33"/>
  <c r="AF72" i="33"/>
  <c r="AQ72" i="33"/>
  <c r="AF71" i="33"/>
  <c r="AQ71" i="33"/>
  <c r="AF70" i="33"/>
  <c r="AQ70" i="33"/>
  <c r="AF69" i="33"/>
  <c r="AQ69" i="33"/>
  <c r="AF68" i="33"/>
  <c r="AQ68" i="33"/>
  <c r="AF67" i="33"/>
  <c r="AQ67" i="33"/>
  <c r="AF66" i="33"/>
  <c r="AQ66" i="33"/>
  <c r="AF64" i="33"/>
  <c r="AQ64" i="33"/>
  <c r="AF63" i="33"/>
  <c r="AQ63" i="33"/>
  <c r="AF62" i="33"/>
  <c r="AQ62" i="33"/>
  <c r="AF61" i="33"/>
  <c r="AQ61" i="33"/>
  <c r="AF60" i="33"/>
  <c r="AQ60" i="33"/>
  <c r="AF59" i="33"/>
  <c r="AQ59" i="33"/>
  <c r="AF58" i="33"/>
  <c r="AQ58" i="33"/>
  <c r="AI92" i="33"/>
  <c r="AI91" i="33"/>
  <c r="AJ93" i="33"/>
  <c r="AI93" i="33"/>
  <c r="AJ92" i="33"/>
  <c r="AJ91" i="33"/>
  <c r="AJ90" i="33"/>
  <c r="AI90" i="33"/>
  <c r="AJ89" i="33"/>
  <c r="AF89" i="33"/>
  <c r="AQ89" i="33"/>
  <c r="AF88" i="33"/>
  <c r="AQ88" i="33"/>
  <c r="AF87" i="33"/>
  <c r="AQ87" i="33"/>
  <c r="AF86" i="33"/>
  <c r="AQ86" i="33"/>
  <c r="AF85" i="33"/>
  <c r="AQ85" i="33"/>
  <c r="AF57" i="33"/>
  <c r="AQ57" i="33"/>
  <c r="AF56" i="33"/>
  <c r="AQ56" i="33"/>
  <c r="AF55" i="33"/>
  <c r="AQ55" i="33"/>
  <c r="AF54" i="33"/>
  <c r="AQ54" i="33"/>
  <c r="AF53" i="33"/>
  <c r="AQ53" i="33"/>
  <c r="AF52" i="33"/>
  <c r="AQ52" i="33"/>
  <c r="AF51" i="33"/>
  <c r="AQ51" i="33"/>
  <c r="AF50" i="33"/>
  <c r="AQ50" i="33"/>
  <c r="AF49" i="33"/>
  <c r="AQ49" i="33"/>
  <c r="AF48" i="33"/>
  <c r="AQ48" i="33"/>
  <c r="AF47" i="33"/>
  <c r="AQ47" i="33"/>
  <c r="AF46" i="33"/>
  <c r="AQ46" i="33"/>
  <c r="AF45" i="33"/>
  <c r="AQ45" i="33"/>
  <c r="AF44" i="33"/>
  <c r="AQ44" i="33"/>
  <c r="AF43" i="33"/>
  <c r="AF42" i="33"/>
  <c r="AI88" i="33"/>
  <c r="AI87" i="33"/>
  <c r="AI86" i="33"/>
  <c r="AI85" i="33"/>
  <c r="AI57" i="33"/>
  <c r="AI56" i="33"/>
  <c r="AI55" i="33"/>
  <c r="AI54" i="33"/>
  <c r="AI53" i="33"/>
  <c r="AI52" i="33"/>
  <c r="AI51" i="33"/>
  <c r="AI50" i="33"/>
  <c r="AI49" i="33"/>
  <c r="AI48" i="33"/>
  <c r="AI47" i="33"/>
  <c r="AI46" i="33"/>
  <c r="AI45" i="33"/>
  <c r="AI44" i="33"/>
  <c r="AI43" i="33"/>
  <c r="AI42" i="33"/>
  <c r="F57" i="33"/>
  <c r="G56" i="33"/>
  <c r="F56" i="33"/>
  <c r="G55" i="33"/>
  <c r="F55" i="33"/>
  <c r="G54" i="33"/>
  <c r="F54" i="33"/>
  <c r="G53" i="33"/>
  <c r="F53" i="33"/>
  <c r="G52" i="33"/>
  <c r="F52" i="33"/>
  <c r="G51" i="33"/>
  <c r="F51" i="33"/>
  <c r="AM93" i="33"/>
  <c r="AM94" i="33"/>
  <c r="AM70" i="33"/>
  <c r="AM88" i="33"/>
  <c r="AM87" i="33"/>
  <c r="Z78" i="33"/>
  <c r="Z71" i="33"/>
  <c r="AM71" i="33"/>
  <c r="AR45" i="36"/>
  <c r="AR46" i="36"/>
  <c r="AR47" i="36"/>
  <c r="AR48" i="36"/>
  <c r="AR49" i="36"/>
  <c r="AR50" i="36"/>
  <c r="AR51" i="36"/>
  <c r="AR52" i="36"/>
  <c r="AR53" i="36"/>
  <c r="AQ45" i="36"/>
  <c r="AQ46" i="36"/>
  <c r="AQ47" i="36"/>
  <c r="AQ48" i="36"/>
  <c r="AQ49" i="36"/>
  <c r="AQ50" i="36"/>
  <c r="AQ51" i="36"/>
  <c r="AQ52" i="36"/>
  <c r="AQ53" i="36"/>
  <c r="AQ44" i="36"/>
  <c r="AR44" i="36"/>
  <c r="AR43" i="33"/>
  <c r="AR42" i="33"/>
  <c r="AM72" i="33"/>
  <c r="AQ43" i="33"/>
  <c r="AQ42" i="33"/>
  <c r="Z60" i="33"/>
  <c r="Z61" i="33"/>
  <c r="Z62" i="33"/>
  <c r="Z63" i="33"/>
  <c r="Z64" i="33"/>
  <c r="Z65" i="33"/>
  <c r="Z66" i="33"/>
  <c r="Z67" i="33"/>
  <c r="Z68" i="33"/>
  <c r="Z69" i="33"/>
  <c r="Z70" i="33"/>
  <c r="Z72" i="33"/>
  <c r="Z73" i="33"/>
  <c r="Z74" i="33"/>
  <c r="Z75" i="33"/>
  <c r="Z76" i="33"/>
  <c r="Z77" i="33"/>
  <c r="Z79" i="33"/>
  <c r="Z59" i="33"/>
  <c r="Z62" i="36"/>
  <c r="Z63" i="36"/>
  <c r="Z61" i="36"/>
  <c r="AM73" i="33"/>
  <c r="AM81" i="33"/>
  <c r="H10" i="32"/>
  <c r="AO65" i="36"/>
  <c r="AO64" i="36"/>
  <c r="AO62" i="36"/>
  <c r="AO66" i="36"/>
  <c r="AO59" i="36"/>
  <c r="AO63" i="36"/>
  <c r="AO61" i="36"/>
  <c r="AO60" i="36"/>
  <c r="G76" i="36"/>
  <c r="AM74" i="33"/>
  <c r="AM82" i="33"/>
  <c r="F65" i="36"/>
  <c r="G65" i="36"/>
  <c r="F66" i="36"/>
  <c r="G66" i="36"/>
  <c r="F67" i="36"/>
  <c r="G67" i="36"/>
  <c r="F68" i="36"/>
  <c r="G68" i="36"/>
  <c r="F69" i="36"/>
  <c r="G69" i="36"/>
  <c r="F70" i="36"/>
  <c r="G70" i="36"/>
  <c r="F71" i="36"/>
  <c r="G64" i="36"/>
  <c r="F64" i="36"/>
  <c r="F73" i="36"/>
  <c r="F72" i="36"/>
  <c r="F63" i="36"/>
  <c r="G62" i="36"/>
  <c r="F62" i="36"/>
  <c r="G61" i="36"/>
  <c r="F61" i="36"/>
  <c r="G60" i="36"/>
  <c r="F60" i="36"/>
  <c r="G59" i="36"/>
  <c r="F59" i="36"/>
  <c r="G58" i="36"/>
  <c r="F58" i="36"/>
  <c r="G57" i="36"/>
  <c r="F57" i="36"/>
  <c r="G56" i="36"/>
  <c r="F56" i="36"/>
  <c r="G55" i="36"/>
  <c r="J103" i="32"/>
  <c r="I103" i="32"/>
  <c r="J102" i="32"/>
  <c r="I102" i="32"/>
  <c r="J101" i="32"/>
  <c r="I101" i="32"/>
  <c r="J100" i="32"/>
  <c r="I100" i="32"/>
  <c r="H103" i="32"/>
  <c r="G54" i="37" s="1"/>
  <c r="H102" i="32"/>
  <c r="G53" i="37" s="1"/>
  <c r="H101" i="32"/>
  <c r="G52" i="37" s="1"/>
  <c r="H100" i="32"/>
  <c r="G51" i="37" s="1"/>
  <c r="J98" i="32"/>
  <c r="I98" i="32"/>
  <c r="J93" i="32"/>
  <c r="I93" i="32"/>
  <c r="J88" i="32"/>
  <c r="I88" i="32"/>
  <c r="AM83" i="33"/>
  <c r="AM75" i="33"/>
  <c r="AM76" i="33"/>
  <c r="AM84" i="33"/>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43" i="33"/>
  <c r="AB44" i="33"/>
  <c r="AB45" i="33"/>
  <c r="AB46" i="33"/>
  <c r="AB47" i="33"/>
  <c r="AB48" i="33"/>
  <c r="AB49" i="33"/>
  <c r="AB50" i="33"/>
  <c r="AB51" i="33"/>
  <c r="AB52" i="33"/>
  <c r="AB53" i="33"/>
  <c r="AB54" i="33"/>
  <c r="AB55" i="33"/>
  <c r="AB56" i="33"/>
  <c r="AB57" i="33"/>
  <c r="AB58" i="33"/>
  <c r="AB59" i="33"/>
  <c r="AB60" i="33"/>
  <c r="AB61" i="33"/>
  <c r="AB62" i="33"/>
  <c r="AB63" i="33"/>
  <c r="AB64" i="33"/>
  <c r="AB65" i="33"/>
  <c r="AB66" i="33"/>
  <c r="AB67" i="33"/>
  <c r="AB68" i="33"/>
  <c r="AB69" i="33"/>
  <c r="AB70" i="33"/>
  <c r="AB71" i="33"/>
  <c r="AB72" i="33"/>
  <c r="AB73" i="33"/>
  <c r="AB74" i="33"/>
  <c r="AB75" i="33"/>
  <c r="AB76" i="33"/>
  <c r="AB77" i="33"/>
  <c r="AB78" i="33"/>
  <c r="AB79" i="33"/>
  <c r="AB80" i="33"/>
  <c r="AB81" i="33"/>
  <c r="AB82" i="33"/>
  <c r="AB83" i="33"/>
  <c r="AB84" i="33"/>
  <c r="AB85" i="33"/>
  <c r="AB86" i="33"/>
  <c r="AB87" i="33"/>
  <c r="AB88" i="33"/>
  <c r="AB89" i="33"/>
  <c r="AB90" i="33"/>
  <c r="AB91" i="33"/>
  <c r="AB92" i="33"/>
  <c r="AB93" i="33"/>
  <c r="AB94" i="33"/>
  <c r="AB95" i="33"/>
  <c r="AB96" i="33"/>
  <c r="AB97" i="33"/>
  <c r="AB98" i="33"/>
  <c r="AB99" i="33"/>
  <c r="AB100" i="33"/>
  <c r="AB101" i="33"/>
  <c r="AB102" i="33"/>
  <c r="AA61" i="36"/>
  <c r="AC53" i="36"/>
  <c r="AC52" i="36"/>
  <c r="AC51" i="36"/>
  <c r="AC50" i="36"/>
  <c r="AC49" i="36"/>
  <c r="AC48" i="36"/>
  <c r="AC47" i="36"/>
  <c r="AC46" i="36"/>
  <c r="AC45" i="36"/>
  <c r="AC44" i="36"/>
  <c r="AA59" i="33"/>
  <c r="AM77" i="33"/>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60" i="33"/>
  <c r="AA61" i="33"/>
  <c r="AA62" i="33"/>
  <c r="AA63" i="33"/>
  <c r="AA64" i="33"/>
  <c r="AA65" i="33"/>
  <c r="AA66" i="33"/>
  <c r="AA67" i="33"/>
  <c r="AA68" i="33"/>
  <c r="AA69" i="33"/>
  <c r="AA70" i="33"/>
  <c r="AA71" i="33"/>
  <c r="AA72" i="33"/>
  <c r="AA73" i="33"/>
  <c r="AA74" i="33"/>
  <c r="AA75" i="33"/>
  <c r="AA76" i="33"/>
  <c r="AA77" i="33"/>
  <c r="AA78" i="33"/>
  <c r="AA79" i="33"/>
  <c r="AA80" i="33"/>
  <c r="AA81" i="33"/>
  <c r="AM78" i="33"/>
  <c r="AM105" i="33"/>
  <c r="AM106" i="33"/>
  <c r="AO57" i="33"/>
  <c r="AO56" i="33"/>
  <c r="AO43" i="33"/>
  <c r="AO42" i="33"/>
  <c r="AO80" i="33"/>
  <c r="AO79" i="33"/>
  <c r="AO62" i="33"/>
  <c r="AO61" i="33"/>
  <c r="AO60" i="33"/>
  <c r="AO59" i="33"/>
  <c r="AO58" i="33"/>
  <c r="AM79" i="33"/>
  <c r="AC43" i="33"/>
  <c r="AC42" i="33"/>
  <c r="G48" i="33"/>
  <c r="G47" i="33"/>
  <c r="AM80" i="33"/>
  <c r="J70" i="32"/>
  <c r="I70" i="32"/>
  <c r="H70" i="32"/>
  <c r="J66" i="32"/>
  <c r="I66" i="32"/>
  <c r="H66" i="32"/>
  <c r="K54" i="32"/>
  <c r="K53" i="32"/>
  <c r="J54" i="32"/>
  <c r="I54" i="32"/>
  <c r="J53" i="32"/>
  <c r="I53" i="32"/>
  <c r="H49" i="32"/>
  <c r="K46" i="32"/>
  <c r="I51" i="32" s="1"/>
  <c r="K61" i="32"/>
  <c r="K60" i="32"/>
  <c r="K92" i="32" s="1"/>
  <c r="K59" i="32"/>
  <c r="K86" i="32" s="1"/>
  <c r="K58" i="32"/>
  <c r="H12" i="32"/>
  <c r="H13" i="32"/>
  <c r="H14" i="32" s="1"/>
  <c r="J62" i="32"/>
  <c r="I62" i="32"/>
  <c r="H31" i="32"/>
  <c r="G62" i="37" s="1"/>
  <c r="J220" i="32"/>
  <c r="K220" i="32"/>
  <c r="L220" i="32"/>
  <c r="H34" i="32"/>
  <c r="G72" i="37" s="1"/>
  <c r="I32" i="32"/>
  <c r="G71" i="37" s="1"/>
  <c r="H22" i="32"/>
  <c r="J215" i="32"/>
  <c r="K215" i="32"/>
  <c r="L215" i="32"/>
  <c r="J216" i="32"/>
  <c r="K216" i="32"/>
  <c r="L216" i="32"/>
  <c r="J217" i="32"/>
  <c r="K217" i="32"/>
  <c r="L217" i="32"/>
  <c r="J218" i="32"/>
  <c r="K218" i="32"/>
  <c r="L218" i="32"/>
  <c r="J219" i="32"/>
  <c r="K219" i="32"/>
  <c r="L219" i="32"/>
  <c r="L214" i="32"/>
  <c r="K214" i="32"/>
  <c r="J214" i="32"/>
  <c r="B67" i="21"/>
  <c r="B66" i="21"/>
  <c r="B65" i="21"/>
  <c r="B59" i="21"/>
  <c r="B58" i="21"/>
  <c r="B40" i="21"/>
  <c r="B39" i="21"/>
  <c r="B38" i="21"/>
  <c r="B25" i="21"/>
  <c r="B24" i="21"/>
  <c r="B23" i="21"/>
  <c r="B22" i="21"/>
  <c r="B21" i="21"/>
  <c r="B20" i="21"/>
  <c r="B19" i="21"/>
  <c r="B18" i="21"/>
  <c r="B17" i="21"/>
  <c r="B16" i="21"/>
  <c r="B15" i="21"/>
  <c r="B9" i="21"/>
  <c r="B8" i="21"/>
  <c r="B7" i="21"/>
  <c r="B6" i="21"/>
  <c r="B5" i="21"/>
  <c r="B4" i="21"/>
  <c r="B3" i="21"/>
  <c r="B2" i="21"/>
  <c r="B37" i="21"/>
  <c r="B36" i="21"/>
  <c r="B30" i="21"/>
  <c r="B31" i="21"/>
  <c r="B29" i="21"/>
  <c r="B33" i="21"/>
  <c r="B34" i="21"/>
  <c r="B35" i="21"/>
  <c r="B12" i="21"/>
  <c r="B10" i="21"/>
  <c r="B27" i="21"/>
  <c r="B28" i="21"/>
  <c r="B26" i="21"/>
  <c r="B63" i="21"/>
  <c r="B64" i="21"/>
  <c r="B62" i="21"/>
  <c r="B11" i="21"/>
  <c r="B14" i="21"/>
  <c r="B13" i="21"/>
  <c r="B32" i="21"/>
  <c r="B68" i="21"/>
  <c r="I76" i="32" l="1"/>
  <c r="I110" i="32" s="1"/>
  <c r="J73" i="32"/>
  <c r="J107" i="32" s="1"/>
  <c r="G82" i="36"/>
  <c r="G83" i="36" s="1"/>
  <c r="G90" i="36"/>
  <c r="G83" i="33"/>
  <c r="G84" i="33" s="1"/>
  <c r="AJ42" i="36"/>
  <c r="I74" i="32"/>
  <c r="I108" i="32" s="1"/>
  <c r="G90" i="37"/>
  <c r="G88" i="37"/>
  <c r="AJ42" i="37"/>
  <c r="G87" i="37"/>
  <c r="G89" i="37"/>
  <c r="H35" i="32"/>
  <c r="H57" i="32"/>
  <c r="K57" i="32" s="1"/>
  <c r="K95" i="32" s="1"/>
  <c r="G72" i="36"/>
  <c r="H32" i="32"/>
  <c r="G87" i="36"/>
  <c r="K91" i="32"/>
  <c r="K87" i="32"/>
  <c r="K96" i="32"/>
  <c r="H73" i="32"/>
  <c r="H107" i="32" s="1"/>
  <c r="H189" i="32" s="1"/>
  <c r="K82" i="32"/>
  <c r="G53" i="36"/>
  <c r="K97" i="32"/>
  <c r="G54" i="36"/>
  <c r="G71" i="36"/>
  <c r="G74" i="36"/>
  <c r="G57" i="33"/>
  <c r="AJ37" i="33" s="1"/>
  <c r="I73" i="32"/>
  <c r="I107" i="32" s="1"/>
  <c r="I189" i="32" s="1"/>
  <c r="I104" i="32"/>
  <c r="G89" i="36"/>
  <c r="G88" i="36"/>
  <c r="J104" i="32"/>
  <c r="G51" i="36"/>
  <c r="G52" i="36"/>
  <c r="H53" i="32"/>
  <c r="H46" i="32"/>
  <c r="H62" i="32"/>
  <c r="K68" i="32" s="1"/>
  <c r="G108" i="36"/>
  <c r="G107" i="36"/>
  <c r="H54" i="32"/>
  <c r="K64" i="32"/>
  <c r="K65" i="32"/>
  <c r="K66" i="32"/>
  <c r="J51" i="32"/>
  <c r="K51" i="32"/>
  <c r="K55" i="32" s="1"/>
  <c r="H74" i="32"/>
  <c r="H108" i="32" s="1"/>
  <c r="I75" i="32"/>
  <c r="I109" i="32" s="1"/>
  <c r="I72" i="32"/>
  <c r="I140" i="32"/>
  <c r="J74" i="32"/>
  <c r="J108" i="32" s="1"/>
  <c r="J190" i="32" s="1"/>
  <c r="J72" i="32"/>
  <c r="H75" i="32"/>
  <c r="J76" i="32"/>
  <c r="J110" i="32" s="1"/>
  <c r="J192" i="32" s="1"/>
  <c r="J75" i="32"/>
  <c r="J109" i="32" s="1"/>
  <c r="J191" i="32" s="1"/>
  <c r="H76" i="32"/>
  <c r="AM115" i="37"/>
  <c r="AV114" i="37"/>
  <c r="AM98" i="36"/>
  <c r="I141" i="32" l="1"/>
  <c r="I191" i="32"/>
  <c r="I124" i="32"/>
  <c r="I190" i="32"/>
  <c r="K102" i="32"/>
  <c r="H116" i="32"/>
  <c r="H174" i="32" s="1"/>
  <c r="H190" i="32"/>
  <c r="K73" i="32"/>
  <c r="I116" i="32"/>
  <c r="I115" i="32"/>
  <c r="I139" i="32"/>
  <c r="K98" i="32"/>
  <c r="J123" i="32"/>
  <c r="J189" i="32"/>
  <c r="I123" i="32"/>
  <c r="I118" i="32"/>
  <c r="I134" i="32" s="1"/>
  <c r="I192" i="32"/>
  <c r="J115" i="32"/>
  <c r="J131" i="32" s="1"/>
  <c r="AJ34" i="37"/>
  <c r="I106" i="32"/>
  <c r="I126" i="32"/>
  <c r="AJ38" i="33"/>
  <c r="AJ48" i="33" s="1"/>
  <c r="I142" i="32"/>
  <c r="J139" i="32"/>
  <c r="H93" i="32"/>
  <c r="G63" i="37"/>
  <c r="G63" i="36"/>
  <c r="H36" i="32"/>
  <c r="G73" i="37"/>
  <c r="G73" i="36"/>
  <c r="G49" i="33"/>
  <c r="H104" i="32"/>
  <c r="K103" i="32"/>
  <c r="AJ34" i="36"/>
  <c r="AJ29" i="33" s="1"/>
  <c r="H72" i="32"/>
  <c r="H88" i="32"/>
  <c r="H124" i="32"/>
  <c r="G49" i="37" s="1"/>
  <c r="H98" i="32"/>
  <c r="K85" i="32"/>
  <c r="K90" i="32"/>
  <c r="K62" i="32"/>
  <c r="K69" i="32"/>
  <c r="K70" i="32"/>
  <c r="J52" i="32"/>
  <c r="J55" i="32" s="1"/>
  <c r="G75" i="37"/>
  <c r="G98" i="37" s="1"/>
  <c r="G75" i="36"/>
  <c r="G98" i="36" s="1"/>
  <c r="H51" i="32"/>
  <c r="I52" i="32"/>
  <c r="I55" i="32" s="1"/>
  <c r="H140" i="32"/>
  <c r="K108" i="32"/>
  <c r="I78" i="32"/>
  <c r="K74" i="32"/>
  <c r="I77" i="32"/>
  <c r="I125" i="32"/>
  <c r="I117" i="32"/>
  <c r="K75" i="32"/>
  <c r="H109" i="32"/>
  <c r="H191" i="32" s="1"/>
  <c r="I176" i="32"/>
  <c r="I184" i="32" s="1"/>
  <c r="I174" i="32"/>
  <c r="I182" i="32" s="1"/>
  <c r="I132" i="32"/>
  <c r="K76" i="32"/>
  <c r="H110" i="32"/>
  <c r="H192" i="32" s="1"/>
  <c r="J116" i="32"/>
  <c r="K116" i="32" s="1"/>
  <c r="J140" i="32"/>
  <c r="J124" i="32"/>
  <c r="J142" i="32"/>
  <c r="J126" i="32"/>
  <c r="J118" i="32"/>
  <c r="J106" i="32"/>
  <c r="J188" i="32" s="1"/>
  <c r="J78" i="32"/>
  <c r="J77" i="32"/>
  <c r="J125" i="32"/>
  <c r="J141" i="32"/>
  <c r="J117" i="32"/>
  <c r="H77" i="32"/>
  <c r="H182" i="32"/>
  <c r="J148" i="32"/>
  <c r="J154" i="32" s="1"/>
  <c r="J160" i="32" s="1"/>
  <c r="H115" i="32"/>
  <c r="H123" i="32"/>
  <c r="K107" i="32"/>
  <c r="H139" i="32"/>
  <c r="I173" i="32"/>
  <c r="I181" i="32" s="1"/>
  <c r="I148" i="32"/>
  <c r="I154" i="32" s="1"/>
  <c r="I160" i="32" s="1"/>
  <c r="I131" i="32"/>
  <c r="AM99" i="36"/>
  <c r="K190" i="32" l="1"/>
  <c r="K200" i="32"/>
  <c r="K192" i="32"/>
  <c r="H132" i="32"/>
  <c r="K198" i="32"/>
  <c r="I122" i="32"/>
  <c r="I127" i="32" s="1"/>
  <c r="I188" i="32"/>
  <c r="J193" i="32"/>
  <c r="J194" i="32"/>
  <c r="K189" i="32"/>
  <c r="K191" i="32"/>
  <c r="H78" i="32"/>
  <c r="H106" i="32"/>
  <c r="H188" i="32" s="1"/>
  <c r="K197" i="32"/>
  <c r="J173" i="32"/>
  <c r="J181" i="32" s="1"/>
  <c r="I114" i="32"/>
  <c r="I147" i="32" s="1"/>
  <c r="I153" i="32" s="1"/>
  <c r="I159" i="32" s="1"/>
  <c r="AJ51" i="33"/>
  <c r="AJ53" i="33"/>
  <c r="AJ88" i="33"/>
  <c r="AJ42" i="33"/>
  <c r="AJ50" i="33"/>
  <c r="AJ57" i="33"/>
  <c r="AJ56" i="33"/>
  <c r="AJ43" i="33"/>
  <c r="AJ46" i="33"/>
  <c r="AJ87" i="33"/>
  <c r="AJ49" i="33"/>
  <c r="AJ47" i="33"/>
  <c r="AJ85" i="33"/>
  <c r="AJ45" i="33"/>
  <c r="AJ55" i="33"/>
  <c r="K139" i="32"/>
  <c r="AJ54" i="33"/>
  <c r="AJ86" i="33"/>
  <c r="I111" i="32"/>
  <c r="AJ52" i="33"/>
  <c r="I138" i="32"/>
  <c r="I143" i="32" s="1"/>
  <c r="H138" i="32"/>
  <c r="K140" i="32"/>
  <c r="I112" i="32"/>
  <c r="AJ44" i="33"/>
  <c r="K124" i="32"/>
  <c r="K72" i="32"/>
  <c r="G49" i="36"/>
  <c r="K88" i="32"/>
  <c r="K100" i="32"/>
  <c r="K101" i="32"/>
  <c r="K93" i="32"/>
  <c r="I172" i="32"/>
  <c r="I180" i="32" s="1"/>
  <c r="H52" i="32"/>
  <c r="H55" i="32" s="1"/>
  <c r="I149" i="32"/>
  <c r="I155" i="32" s="1"/>
  <c r="I161" i="32" s="1"/>
  <c r="I133" i="32"/>
  <c r="I175" i="32"/>
  <c r="I183" i="32" s="1"/>
  <c r="K81" i="32"/>
  <c r="H173" i="32"/>
  <c r="H148" i="32"/>
  <c r="H131" i="32"/>
  <c r="K131" i="32" s="1"/>
  <c r="K115" i="32"/>
  <c r="G48" i="37"/>
  <c r="G48" i="36"/>
  <c r="K123" i="32"/>
  <c r="J149" i="32"/>
  <c r="J155" i="32" s="1"/>
  <c r="J161" i="32" s="1"/>
  <c r="J133" i="32"/>
  <c r="J175" i="32"/>
  <c r="J183" i="32" s="1"/>
  <c r="K78" i="32"/>
  <c r="J80" i="32" s="1"/>
  <c r="J81" i="32" s="1"/>
  <c r="J122" i="32"/>
  <c r="J111" i="32"/>
  <c r="J138" i="32"/>
  <c r="J114" i="32"/>
  <c r="J112" i="32"/>
  <c r="J132" i="32"/>
  <c r="K132" i="32" s="1"/>
  <c r="J174" i="32"/>
  <c r="J182" i="32" s="1"/>
  <c r="K182" i="32" s="1"/>
  <c r="K110" i="32"/>
  <c r="H126" i="32"/>
  <c r="K126" i="32" s="1"/>
  <c r="H142" i="32"/>
  <c r="K142" i="32" s="1"/>
  <c r="H118" i="32"/>
  <c r="K77" i="32"/>
  <c r="J134" i="32"/>
  <c r="J176" i="32"/>
  <c r="J184" i="32" s="1"/>
  <c r="K109" i="32"/>
  <c r="H141" i="32"/>
  <c r="H117" i="32"/>
  <c r="H125" i="32"/>
  <c r="AM100" i="36"/>
  <c r="I120" i="32" l="1"/>
  <c r="I194" i="32"/>
  <c r="I193" i="32"/>
  <c r="I119" i="32"/>
  <c r="I130" i="32"/>
  <c r="I135" i="32" s="1"/>
  <c r="I144" i="32"/>
  <c r="K188" i="32"/>
  <c r="H193" i="32"/>
  <c r="K193" i="32" s="1"/>
  <c r="H194" i="32"/>
  <c r="K194" i="32" s="1"/>
  <c r="I128" i="32"/>
  <c r="K199" i="32"/>
  <c r="J202" i="32"/>
  <c r="J201" i="32"/>
  <c r="H112" i="32"/>
  <c r="K112" i="32" s="1"/>
  <c r="H122" i="32"/>
  <c r="H127" i="32" s="1"/>
  <c r="H111" i="32"/>
  <c r="K111" i="32" s="1"/>
  <c r="K106" i="32"/>
  <c r="J146" i="32"/>
  <c r="J147" i="32"/>
  <c r="J153" i="32" s="1"/>
  <c r="J159" i="32" s="1"/>
  <c r="H119" i="32"/>
  <c r="H130" i="32"/>
  <c r="H80" i="32"/>
  <c r="H81" i="32" s="1"/>
  <c r="G50" i="33" s="1"/>
  <c r="K104" i="32"/>
  <c r="I178" i="32"/>
  <c r="I177" i="32"/>
  <c r="J82" i="32"/>
  <c r="G50" i="37"/>
  <c r="K125" i="32"/>
  <c r="G50" i="36"/>
  <c r="G95" i="37"/>
  <c r="J120" i="32"/>
  <c r="J119" i="32"/>
  <c r="J130" i="32"/>
  <c r="J172" i="32"/>
  <c r="K114" i="32"/>
  <c r="K83" i="32"/>
  <c r="I80" i="32"/>
  <c r="I81" i="32" s="1"/>
  <c r="I146" i="32" s="1"/>
  <c r="K117" i="32"/>
  <c r="H149" i="32"/>
  <c r="H175" i="32"/>
  <c r="H133" i="32"/>
  <c r="H120" i="32"/>
  <c r="K141" i="32"/>
  <c r="H144" i="32"/>
  <c r="H143" i="32"/>
  <c r="J143" i="32"/>
  <c r="J144" i="32"/>
  <c r="K138" i="32"/>
  <c r="J127" i="32"/>
  <c r="J128" i="32"/>
  <c r="K122" i="32"/>
  <c r="K148" i="32"/>
  <c r="H154" i="32"/>
  <c r="G95" i="36"/>
  <c r="AP51" i="36"/>
  <c r="AP47" i="36"/>
  <c r="I185" i="32"/>
  <c r="I186" i="32"/>
  <c r="K118" i="32"/>
  <c r="H134" i="32"/>
  <c r="K134" i="32" s="1"/>
  <c r="H176" i="32"/>
  <c r="G58" i="33"/>
  <c r="K174" i="32"/>
  <c r="H181" i="32"/>
  <c r="K181" i="32" s="1"/>
  <c r="K173" i="32"/>
  <c r="AM101" i="36"/>
  <c r="K196" i="32" l="1"/>
  <c r="H202" i="32"/>
  <c r="H201" i="32"/>
  <c r="K119" i="32"/>
  <c r="I136" i="32"/>
  <c r="I202" i="32"/>
  <c r="I201" i="32"/>
  <c r="G47" i="37"/>
  <c r="G47" i="36"/>
  <c r="H128" i="32"/>
  <c r="K128" i="32" s="1"/>
  <c r="H146" i="32"/>
  <c r="H147" i="32"/>
  <c r="H172" i="32"/>
  <c r="K172" i="32" s="1"/>
  <c r="H82" i="32"/>
  <c r="H164" i="32" s="1"/>
  <c r="K127" i="32"/>
  <c r="K144" i="32"/>
  <c r="K143" i="32"/>
  <c r="J152" i="32"/>
  <c r="J150" i="32"/>
  <c r="J177" i="32"/>
  <c r="J180" i="32"/>
  <c r="J178" i="32"/>
  <c r="H160" i="32"/>
  <c r="K160" i="32" s="1"/>
  <c r="K154" i="32"/>
  <c r="K133" i="32"/>
  <c r="H136" i="32"/>
  <c r="H135" i="32"/>
  <c r="H183" i="32"/>
  <c r="K183" i="32" s="1"/>
  <c r="K175" i="32"/>
  <c r="AV47" i="37"/>
  <c r="AT47" i="37"/>
  <c r="AS47" i="37"/>
  <c r="K176" i="32"/>
  <c r="H184" i="32"/>
  <c r="K184" i="32" s="1"/>
  <c r="AS47" i="36"/>
  <c r="AT47" i="36"/>
  <c r="AP48" i="36"/>
  <c r="AV47" i="36"/>
  <c r="K149" i="32"/>
  <c r="H155" i="32"/>
  <c r="AS51" i="37"/>
  <c r="AT51" i="37"/>
  <c r="AV51" i="37"/>
  <c r="J166" i="32"/>
  <c r="J165" i="32"/>
  <c r="J168" i="32"/>
  <c r="J164" i="32"/>
  <c r="J167" i="32"/>
  <c r="J83" i="32"/>
  <c r="K120" i="32"/>
  <c r="AT51" i="36"/>
  <c r="AS51" i="36"/>
  <c r="AV51" i="36"/>
  <c r="AP59" i="36"/>
  <c r="H167" i="32"/>
  <c r="H165" i="32"/>
  <c r="H166" i="32"/>
  <c r="H83" i="32"/>
  <c r="I82" i="32"/>
  <c r="J136" i="32"/>
  <c r="J135" i="32"/>
  <c r="K130" i="32"/>
  <c r="K201" i="32" l="1"/>
  <c r="K202" i="32"/>
  <c r="K147" i="32"/>
  <c r="H153" i="32"/>
  <c r="H180" i="32"/>
  <c r="G46" i="33" s="1"/>
  <c r="G72" i="33" s="1"/>
  <c r="H178" i="32"/>
  <c r="K178" i="32" s="1"/>
  <c r="G84" i="36"/>
  <c r="G85" i="36" s="1"/>
  <c r="AP46" i="36"/>
  <c r="G80" i="36"/>
  <c r="AP44" i="36" s="1"/>
  <c r="H168" i="32"/>
  <c r="H177" i="32"/>
  <c r="K177" i="32" s="1"/>
  <c r="G84" i="37"/>
  <c r="G85" i="37" s="1"/>
  <c r="G80" i="37"/>
  <c r="K136" i="32"/>
  <c r="AT48" i="37"/>
  <c r="AS48" i="37"/>
  <c r="AV48" i="37"/>
  <c r="K155" i="32"/>
  <c r="H161" i="32"/>
  <c r="K161" i="32" s="1"/>
  <c r="AS59" i="36"/>
  <c r="AT59" i="36"/>
  <c r="AP63" i="36"/>
  <c r="AV59" i="36"/>
  <c r="AP54" i="36"/>
  <c r="AS48" i="36"/>
  <c r="AT48" i="36"/>
  <c r="AV48" i="36"/>
  <c r="J186" i="32"/>
  <c r="J185" i="32"/>
  <c r="H170" i="32"/>
  <c r="H169" i="32"/>
  <c r="I152" i="32"/>
  <c r="I150" i="32"/>
  <c r="K146" i="32"/>
  <c r="H150" i="32"/>
  <c r="H152" i="32"/>
  <c r="J169" i="32"/>
  <c r="J170" i="32"/>
  <c r="I167" i="32"/>
  <c r="K167" i="32" s="1"/>
  <c r="I166" i="32"/>
  <c r="K166" i="32" s="1"/>
  <c r="I165" i="32"/>
  <c r="K165" i="32" s="1"/>
  <c r="I168" i="32"/>
  <c r="K168" i="32" s="1"/>
  <c r="I164" i="32"/>
  <c r="I83" i="32"/>
  <c r="AT59" i="37"/>
  <c r="AV59" i="37"/>
  <c r="AS59" i="37"/>
  <c r="K135" i="32"/>
  <c r="J158" i="32"/>
  <c r="J162" i="32" s="1"/>
  <c r="J156" i="32"/>
  <c r="K180" i="32" l="1"/>
  <c r="K153" i="32"/>
  <c r="H159" i="32"/>
  <c r="K159" i="32" s="1"/>
  <c r="H186" i="32"/>
  <c r="K186" i="32" s="1"/>
  <c r="H185" i="32"/>
  <c r="K185" i="32" s="1"/>
  <c r="AT44" i="37"/>
  <c r="AS44" i="37"/>
  <c r="AV44" i="37"/>
  <c r="AW44" i="37" s="1"/>
  <c r="AS46" i="37"/>
  <c r="AV46" i="37"/>
  <c r="AT46" i="37"/>
  <c r="G86" i="37"/>
  <c r="G94" i="37"/>
  <c r="AP45" i="36"/>
  <c r="AV44" i="36"/>
  <c r="AW44" i="36" s="1"/>
  <c r="AT44" i="36"/>
  <c r="AS44" i="36"/>
  <c r="AS46" i="36"/>
  <c r="AT46" i="36"/>
  <c r="AP49" i="36"/>
  <c r="AV46" i="36"/>
  <c r="G86" i="36"/>
  <c r="G94" i="36"/>
  <c r="AP53" i="36"/>
  <c r="G73" i="33"/>
  <c r="G74" i="33" s="1"/>
  <c r="AP42" i="33"/>
  <c r="G76" i="33"/>
  <c r="K150" i="32"/>
  <c r="AS63" i="37"/>
  <c r="AV63" i="37"/>
  <c r="AT63" i="37"/>
  <c r="I169" i="32"/>
  <c r="K169" i="32" s="1"/>
  <c r="I170" i="32"/>
  <c r="K170" i="32" s="1"/>
  <c r="AT54" i="36"/>
  <c r="AP57" i="36"/>
  <c r="AS54" i="36"/>
  <c r="AV54" i="36"/>
  <c r="H156" i="32"/>
  <c r="K152" i="32"/>
  <c r="H158" i="32"/>
  <c r="AS63" i="36"/>
  <c r="AT63" i="36"/>
  <c r="AP67" i="36"/>
  <c r="AV63" i="36"/>
  <c r="K164" i="32"/>
  <c r="I158" i="32"/>
  <c r="I162" i="32" s="1"/>
  <c r="I156" i="32"/>
  <c r="AV54" i="37"/>
  <c r="AT54" i="37"/>
  <c r="AS54" i="37"/>
  <c r="G96" i="37" l="1"/>
  <c r="AS45" i="36"/>
  <c r="AT45" i="36"/>
  <c r="AV45" i="36"/>
  <c r="AW45" i="36" s="1"/>
  <c r="AW46" i="36" s="1"/>
  <c r="AW47" i="36" s="1"/>
  <c r="AW48" i="36" s="1"/>
  <c r="AS53" i="36"/>
  <c r="AP56" i="36"/>
  <c r="AV53" i="36"/>
  <c r="AT53" i="36"/>
  <c r="AP75" i="36"/>
  <c r="AP93" i="36"/>
  <c r="AT53" i="37"/>
  <c r="AP75" i="37"/>
  <c r="AS53" i="37"/>
  <c r="AP93" i="37"/>
  <c r="AV53" i="37"/>
  <c r="AP60" i="36"/>
  <c r="G96" i="36"/>
  <c r="G91" i="37"/>
  <c r="G93" i="37" s="1"/>
  <c r="AT42" i="33"/>
  <c r="AV42" i="33"/>
  <c r="AW42" i="33" s="1"/>
  <c r="AS42" i="33"/>
  <c r="AP43" i="33"/>
  <c r="AP52" i="36"/>
  <c r="G91" i="36"/>
  <c r="G93" i="36" s="1"/>
  <c r="AS49" i="36"/>
  <c r="AT49" i="36"/>
  <c r="AV49" i="36"/>
  <c r="AP50" i="36"/>
  <c r="AT49" i="37"/>
  <c r="AV49" i="37"/>
  <c r="AS49" i="37"/>
  <c r="AV45" i="37"/>
  <c r="AW45" i="37" s="1"/>
  <c r="AW46" i="37" s="1"/>
  <c r="AW47" i="37" s="1"/>
  <c r="AW48" i="37" s="1"/>
  <c r="AS45" i="37"/>
  <c r="AT45" i="37"/>
  <c r="AP71" i="36"/>
  <c r="AS67" i="36"/>
  <c r="AT67" i="36"/>
  <c r="AV67" i="36"/>
  <c r="AP81" i="37"/>
  <c r="AT57" i="37"/>
  <c r="AS57" i="37"/>
  <c r="AV57" i="37"/>
  <c r="G45" i="33"/>
  <c r="H162" i="32"/>
  <c r="K162" i="32" s="1"/>
  <c r="K158" i="32"/>
  <c r="AT57" i="36"/>
  <c r="AP81" i="36"/>
  <c r="AS57" i="36"/>
  <c r="AV57" i="36"/>
  <c r="AS67" i="37"/>
  <c r="AP71" i="37"/>
  <c r="AV67" i="37"/>
  <c r="AT67" i="37"/>
  <c r="K156" i="32"/>
  <c r="AW49" i="37" l="1"/>
  <c r="AW49" i="36"/>
  <c r="AS75" i="36"/>
  <c r="AT75" i="36"/>
  <c r="AV75" i="36"/>
  <c r="AV52" i="37"/>
  <c r="AT52" i="37"/>
  <c r="AS52" i="37"/>
  <c r="AS93" i="36"/>
  <c r="AT93" i="36"/>
  <c r="AV93" i="36"/>
  <c r="AV50" i="37"/>
  <c r="AW50" i="37" s="1"/>
  <c r="AW51" i="37" s="1"/>
  <c r="AT50" i="37"/>
  <c r="AS50" i="37"/>
  <c r="G99" i="37"/>
  <c r="G102" i="37" s="1"/>
  <c r="AT50" i="36"/>
  <c r="AS50" i="36"/>
  <c r="AV50" i="36"/>
  <c r="AT56" i="36"/>
  <c r="AP80" i="36"/>
  <c r="AS56" i="36"/>
  <c r="AV56" i="36"/>
  <c r="AS60" i="36"/>
  <c r="AT60" i="36"/>
  <c r="AP64" i="36"/>
  <c r="AV60" i="36"/>
  <c r="AW60" i="36" s="1"/>
  <c r="AP80" i="37"/>
  <c r="AV56" i="37"/>
  <c r="AS56" i="37"/>
  <c r="AT56" i="37"/>
  <c r="G99" i="36"/>
  <c r="G102" i="36" s="1"/>
  <c r="AP62" i="36" s="1"/>
  <c r="AP61" i="36"/>
  <c r="AS93" i="37"/>
  <c r="AV93" i="37"/>
  <c r="AT93" i="37"/>
  <c r="AT52" i="36"/>
  <c r="AS52" i="36"/>
  <c r="AP55" i="36"/>
  <c r="AV52" i="36"/>
  <c r="AV43" i="33"/>
  <c r="AW43" i="33" s="1"/>
  <c r="AS43" i="33"/>
  <c r="AP44" i="33"/>
  <c r="AT43" i="33"/>
  <c r="AV75" i="37"/>
  <c r="AT75" i="37"/>
  <c r="AS75" i="37"/>
  <c r="AS60" i="37"/>
  <c r="AV60" i="37"/>
  <c r="AW60" i="37" s="1"/>
  <c r="AT60" i="37"/>
  <c r="AS81" i="36"/>
  <c r="AT81" i="36"/>
  <c r="AV81" i="36"/>
  <c r="AT71" i="36"/>
  <c r="AS71" i="36"/>
  <c r="AV71" i="36"/>
  <c r="AT81" i="37"/>
  <c r="AS81" i="37"/>
  <c r="AV81" i="37"/>
  <c r="AP58" i="33"/>
  <c r="AP112" i="33"/>
  <c r="G65" i="33"/>
  <c r="G75" i="33" s="1"/>
  <c r="AS71" i="37"/>
  <c r="AV71" i="37"/>
  <c r="AT71" i="37"/>
  <c r="AW52" i="37" l="1"/>
  <c r="AW53" i="37" s="1"/>
  <c r="AW54" i="37" s="1"/>
  <c r="AW50" i="36"/>
  <c r="AW51" i="36" s="1"/>
  <c r="AW52" i="36" s="1"/>
  <c r="AW53" i="36" s="1"/>
  <c r="AW54" i="36" s="1"/>
  <c r="AP65" i="36"/>
  <c r="AS61" i="36"/>
  <c r="AT61" i="36"/>
  <c r="AV61" i="36"/>
  <c r="AW61" i="36" s="1"/>
  <c r="AS80" i="36"/>
  <c r="AT80" i="36"/>
  <c r="AV80" i="36"/>
  <c r="AP66" i="36"/>
  <c r="AT62" i="36"/>
  <c r="AS62" i="36"/>
  <c r="AV62" i="36"/>
  <c r="AT44" i="33"/>
  <c r="AS44" i="33"/>
  <c r="AV44" i="33"/>
  <c r="AW44" i="33" s="1"/>
  <c r="AP45" i="33"/>
  <c r="AV55" i="37"/>
  <c r="AS55" i="37"/>
  <c r="AT55" i="37"/>
  <c r="AP108" i="37"/>
  <c r="AS80" i="37"/>
  <c r="AV80" i="37"/>
  <c r="AT80" i="37"/>
  <c r="AS62" i="37"/>
  <c r="AT62" i="37"/>
  <c r="AV62" i="37"/>
  <c r="AT64" i="37"/>
  <c r="AS64" i="37"/>
  <c r="AV64" i="37"/>
  <c r="AP58" i="36"/>
  <c r="AT55" i="36"/>
  <c r="AS55" i="36"/>
  <c r="AV55" i="36"/>
  <c r="AW55" i="36" s="1"/>
  <c r="AW56" i="36" s="1"/>
  <c r="AW57" i="36" s="1"/>
  <c r="AP108" i="36"/>
  <c r="AV61" i="37"/>
  <c r="AW61" i="37" s="1"/>
  <c r="AT61" i="37"/>
  <c r="AS61" i="37"/>
  <c r="AP68" i="36"/>
  <c r="AS64" i="36"/>
  <c r="AV64" i="36"/>
  <c r="AT64" i="36"/>
  <c r="AP113" i="33"/>
  <c r="AS112" i="33"/>
  <c r="AT112" i="33"/>
  <c r="AV112" i="33"/>
  <c r="AP59" i="33"/>
  <c r="AS58" i="33"/>
  <c r="AT58" i="33"/>
  <c r="AV58" i="33"/>
  <c r="AW58" i="33" s="1"/>
  <c r="AW62" i="37" l="1"/>
  <c r="AW63" i="37" s="1"/>
  <c r="AW64" i="37" s="1"/>
  <c r="AW55" i="37"/>
  <c r="AW56" i="37" s="1"/>
  <c r="AW57" i="37" s="1"/>
  <c r="AW62" i="36"/>
  <c r="AW63" i="36" s="1"/>
  <c r="AW64" i="36" s="1"/>
  <c r="AS58" i="36"/>
  <c r="AT58" i="36"/>
  <c r="AV58" i="36"/>
  <c r="AW58" i="36" s="1"/>
  <c r="AW59" i="36" s="1"/>
  <c r="T58" i="36" s="1"/>
  <c r="AV108" i="37"/>
  <c r="AT108" i="37"/>
  <c r="AS108" i="37"/>
  <c r="AP70" i="36"/>
  <c r="AT66" i="36"/>
  <c r="AS66" i="36"/>
  <c r="AV66" i="36"/>
  <c r="AP72" i="37"/>
  <c r="AV68" i="37"/>
  <c r="AT68" i="37"/>
  <c r="AS68" i="37"/>
  <c r="AT58" i="37"/>
  <c r="AV58" i="37"/>
  <c r="AS58" i="37"/>
  <c r="AP72" i="36"/>
  <c r="AV68" i="36"/>
  <c r="AS68" i="36"/>
  <c r="AT68" i="36"/>
  <c r="AT65" i="37"/>
  <c r="AV65" i="37"/>
  <c r="AS65" i="37"/>
  <c r="AP69" i="37"/>
  <c r="AV45" i="33"/>
  <c r="AW45" i="33" s="1"/>
  <c r="AS45" i="33"/>
  <c r="AT45" i="33"/>
  <c r="AP54" i="33"/>
  <c r="AP85" i="33"/>
  <c r="AP46" i="33"/>
  <c r="AT65" i="36"/>
  <c r="AP69" i="36"/>
  <c r="AS65" i="36"/>
  <c r="AV65" i="36"/>
  <c r="AT66" i="37"/>
  <c r="AS66" i="37"/>
  <c r="AP70" i="37"/>
  <c r="AV66" i="37"/>
  <c r="AT108" i="36"/>
  <c r="AS108" i="36"/>
  <c r="AV108" i="36"/>
  <c r="AT113" i="33"/>
  <c r="AV113" i="33"/>
  <c r="AS113" i="33"/>
  <c r="AV59" i="33"/>
  <c r="AW59" i="33" s="1"/>
  <c r="AP60" i="33"/>
  <c r="AT59" i="33"/>
  <c r="AS59" i="33"/>
  <c r="AW58" i="37" l="1"/>
  <c r="AW59" i="37" s="1"/>
  <c r="T58" i="37" s="1"/>
  <c r="AW65" i="36"/>
  <c r="AW66" i="36" s="1"/>
  <c r="AW67" i="36" s="1"/>
  <c r="AW68" i="36" s="1"/>
  <c r="AT70" i="37"/>
  <c r="AS70" i="37"/>
  <c r="AV70" i="37"/>
  <c r="AP74" i="37"/>
  <c r="AW65" i="37"/>
  <c r="AW66" i="37" s="1"/>
  <c r="AW67" i="37" s="1"/>
  <c r="AW68" i="37" s="1"/>
  <c r="AS46" i="33"/>
  <c r="AP47" i="33"/>
  <c r="AV46" i="33"/>
  <c r="AW46" i="33" s="1"/>
  <c r="AT46" i="33"/>
  <c r="AT85" i="33"/>
  <c r="AS85" i="33"/>
  <c r="AV85" i="33"/>
  <c r="AP86" i="33"/>
  <c r="AP74" i="36"/>
  <c r="AV70" i="36"/>
  <c r="AT70" i="36"/>
  <c r="AS70" i="36"/>
  <c r="AT54" i="33"/>
  <c r="AP55" i="33"/>
  <c r="AV54" i="33"/>
  <c r="AS54" i="33"/>
  <c r="AS72" i="36"/>
  <c r="AP87" i="36"/>
  <c r="AT72" i="36"/>
  <c r="AV72" i="36"/>
  <c r="AP73" i="37"/>
  <c r="AS69" i="37"/>
  <c r="AP76" i="37"/>
  <c r="AV69" i="37"/>
  <c r="AT69" i="37"/>
  <c r="AV69" i="36"/>
  <c r="AP76" i="36"/>
  <c r="AT69" i="36"/>
  <c r="AS69" i="36"/>
  <c r="AP73" i="36"/>
  <c r="AS72" i="37"/>
  <c r="AP87" i="37"/>
  <c r="AV72" i="37"/>
  <c r="AT72" i="37"/>
  <c r="AT60" i="33"/>
  <c r="AV60" i="33"/>
  <c r="AW60" i="33" s="1"/>
  <c r="AP61" i="33"/>
  <c r="AS60" i="33"/>
  <c r="AP77" i="36" l="1"/>
  <c r="AP88" i="36" s="1"/>
  <c r="AS73" i="36"/>
  <c r="AV73" i="36"/>
  <c r="AT73" i="36"/>
  <c r="AV87" i="36"/>
  <c r="AP97" i="36"/>
  <c r="AP89" i="36"/>
  <c r="AT87" i="36"/>
  <c r="AS87" i="36"/>
  <c r="AP78" i="36"/>
  <c r="AS76" i="36"/>
  <c r="AT76" i="36"/>
  <c r="AV76" i="36"/>
  <c r="AP96" i="36"/>
  <c r="AS55" i="33"/>
  <c r="AP56" i="33"/>
  <c r="AV55" i="33"/>
  <c r="AT55" i="33"/>
  <c r="AT47" i="33"/>
  <c r="AS47" i="33"/>
  <c r="AV47" i="33"/>
  <c r="AW47" i="33" s="1"/>
  <c r="AP48" i="33"/>
  <c r="AW69" i="37"/>
  <c r="AW70" i="37" s="1"/>
  <c r="AW71" i="37" s="1"/>
  <c r="AW72" i="37" s="1"/>
  <c r="AP78" i="37"/>
  <c r="AT76" i="37"/>
  <c r="AP96" i="37"/>
  <c r="AS76" i="37"/>
  <c r="AV76" i="37"/>
  <c r="AW69" i="36"/>
  <c r="AW70" i="36" s="1"/>
  <c r="AW71" i="36" s="1"/>
  <c r="AW72" i="36" s="1"/>
  <c r="AV74" i="37"/>
  <c r="AT74" i="37"/>
  <c r="AS74" i="37"/>
  <c r="AT73" i="37"/>
  <c r="AP77" i="37"/>
  <c r="AS73" i="37"/>
  <c r="AV73" i="37"/>
  <c r="AV74" i="36"/>
  <c r="AS74" i="36"/>
  <c r="AT74" i="36"/>
  <c r="AP97" i="37"/>
  <c r="AP89" i="37"/>
  <c r="AT87" i="37"/>
  <c r="AV87" i="37"/>
  <c r="AS87" i="37"/>
  <c r="AS86" i="33"/>
  <c r="AV86" i="33"/>
  <c r="AP87" i="33"/>
  <c r="AT86" i="33"/>
  <c r="AS61" i="33"/>
  <c r="AT61" i="33"/>
  <c r="AP62" i="33"/>
  <c r="AV61" i="33"/>
  <c r="AW61" i="33" s="1"/>
  <c r="AW73" i="37" l="1"/>
  <c r="AW74" i="37" s="1"/>
  <c r="AW75" i="37" s="1"/>
  <c r="AW76" i="37" s="1"/>
  <c r="AW73" i="36"/>
  <c r="AW74" i="36" s="1"/>
  <c r="AW75" i="36" s="1"/>
  <c r="AW76" i="36" s="1"/>
  <c r="AP88" i="37"/>
  <c r="AP79" i="37"/>
  <c r="AV77" i="37"/>
  <c r="AT77" i="37"/>
  <c r="AS77" i="37"/>
  <c r="AP49" i="33"/>
  <c r="AT48" i="33"/>
  <c r="AS48" i="33"/>
  <c r="AV48" i="33"/>
  <c r="AW48" i="33" s="1"/>
  <c r="AS78" i="36"/>
  <c r="AT78" i="36"/>
  <c r="AV78" i="36"/>
  <c r="AP91" i="36"/>
  <c r="AT89" i="36"/>
  <c r="AV89" i="36"/>
  <c r="AS89" i="36"/>
  <c r="AT87" i="33"/>
  <c r="AS87" i="33"/>
  <c r="AV87" i="33"/>
  <c r="AP88" i="33"/>
  <c r="AP100" i="36"/>
  <c r="AS97" i="36"/>
  <c r="AV97" i="36"/>
  <c r="AT97" i="36"/>
  <c r="AS97" i="37"/>
  <c r="AV97" i="37"/>
  <c r="AP100" i="37"/>
  <c r="AT97" i="37"/>
  <c r="AP57" i="33"/>
  <c r="AT56" i="33"/>
  <c r="AV56" i="33"/>
  <c r="AS56" i="33"/>
  <c r="AP98" i="36"/>
  <c r="AP90" i="36"/>
  <c r="AV88" i="36"/>
  <c r="AS88" i="36"/>
  <c r="AT88" i="36"/>
  <c r="AT89" i="37"/>
  <c r="AP91" i="37"/>
  <c r="AS89" i="37"/>
  <c r="AV89" i="37"/>
  <c r="AT96" i="37"/>
  <c r="AS96" i="37"/>
  <c r="AP99" i="37"/>
  <c r="AV96" i="37"/>
  <c r="AS96" i="36"/>
  <c r="AV96" i="36"/>
  <c r="AT96" i="36"/>
  <c r="AP99" i="36"/>
  <c r="AT78" i="37"/>
  <c r="AV78" i="37"/>
  <c r="AS78" i="37"/>
  <c r="AS77" i="36"/>
  <c r="AT77" i="36"/>
  <c r="AV77" i="36"/>
  <c r="AP79" i="36"/>
  <c r="AP63" i="33"/>
  <c r="AV62" i="33"/>
  <c r="AW62" i="33" s="1"/>
  <c r="AT62" i="33"/>
  <c r="AS62" i="33"/>
  <c r="AW77" i="36" l="1"/>
  <c r="AW78" i="36" s="1"/>
  <c r="U58" i="36" s="1"/>
  <c r="AW77" i="37"/>
  <c r="AW78" i="37" s="1"/>
  <c r="U58" i="37" s="1"/>
  <c r="AV90" i="36"/>
  <c r="AS90" i="36"/>
  <c r="AP92" i="36"/>
  <c r="AT90" i="36"/>
  <c r="AP84" i="36"/>
  <c r="AV79" i="36"/>
  <c r="AW79" i="36" s="1"/>
  <c r="AW80" i="36" s="1"/>
  <c r="AW81" i="36" s="1"/>
  <c r="AP82" i="36"/>
  <c r="AS79" i="36"/>
  <c r="AT79" i="36"/>
  <c r="AS99" i="37"/>
  <c r="AP102" i="37"/>
  <c r="AT99" i="37"/>
  <c r="AV99" i="37"/>
  <c r="AP101" i="36"/>
  <c r="AS98" i="36"/>
  <c r="AT98" i="36"/>
  <c r="AV98" i="36"/>
  <c r="AS100" i="36"/>
  <c r="AV100" i="36"/>
  <c r="AP103" i="36"/>
  <c r="AT100" i="36"/>
  <c r="AV88" i="33"/>
  <c r="AS88" i="33"/>
  <c r="AT88" i="33"/>
  <c r="AS57" i="33"/>
  <c r="AT57" i="33"/>
  <c r="AV57" i="33"/>
  <c r="AP50" i="33"/>
  <c r="AV49" i="33"/>
  <c r="AW49" i="33" s="1"/>
  <c r="AS49" i="33"/>
  <c r="AT49" i="33"/>
  <c r="AT91" i="37"/>
  <c r="AS91" i="37"/>
  <c r="AV91" i="37"/>
  <c r="AP103" i="37"/>
  <c r="AV100" i="37"/>
  <c r="AT100" i="37"/>
  <c r="AS100" i="37"/>
  <c r="AP102" i="36"/>
  <c r="AT99" i="36"/>
  <c r="AV99" i="36"/>
  <c r="AS99" i="36"/>
  <c r="AP84" i="37"/>
  <c r="AT79" i="37"/>
  <c r="AS79" i="37"/>
  <c r="AV79" i="37"/>
  <c r="AW79" i="37" s="1"/>
  <c r="AW80" i="37" s="1"/>
  <c r="AW81" i="37" s="1"/>
  <c r="AP82" i="37"/>
  <c r="AS91" i="36"/>
  <c r="AT91" i="36"/>
  <c r="AV91" i="36"/>
  <c r="AS88" i="37"/>
  <c r="AP90" i="37"/>
  <c r="AP98" i="37"/>
  <c r="AV88" i="37"/>
  <c r="AT88" i="37"/>
  <c r="AS63" i="33"/>
  <c r="AT63" i="33"/>
  <c r="AV63" i="33"/>
  <c r="AW63" i="33" s="1"/>
  <c r="AP64" i="33"/>
  <c r="AS82" i="37" l="1"/>
  <c r="AP83" i="37"/>
  <c r="AV82" i="37"/>
  <c r="AW82" i="37" s="1"/>
  <c r="AT82" i="37"/>
  <c r="AT103" i="37"/>
  <c r="AP106" i="37"/>
  <c r="AS103" i="37"/>
  <c r="AV103" i="37"/>
  <c r="AT103" i="36"/>
  <c r="AS103" i="36"/>
  <c r="AP106" i="36"/>
  <c r="AV103" i="36"/>
  <c r="AV102" i="37"/>
  <c r="AT102" i="37"/>
  <c r="AS102" i="37"/>
  <c r="AP105" i="37"/>
  <c r="AS84" i="37"/>
  <c r="AT84" i="37"/>
  <c r="AP85" i="37"/>
  <c r="AV84" i="37"/>
  <c r="AP83" i="36"/>
  <c r="AV82" i="36"/>
  <c r="AW82" i="36" s="1"/>
  <c r="AT82" i="36"/>
  <c r="AS82" i="36"/>
  <c r="AV84" i="36"/>
  <c r="AS84" i="36"/>
  <c r="AT84" i="36"/>
  <c r="AP85" i="36"/>
  <c r="AP101" i="37"/>
  <c r="AV98" i="37"/>
  <c r="AT98" i="37"/>
  <c r="AS98" i="37"/>
  <c r="AP92" i="37"/>
  <c r="AT90" i="37"/>
  <c r="AS90" i="37"/>
  <c r="AV90" i="37"/>
  <c r="AV50" i="33"/>
  <c r="AW50" i="33" s="1"/>
  <c r="AS50" i="33"/>
  <c r="AT50" i="33"/>
  <c r="AP51" i="33"/>
  <c r="AT102" i="36"/>
  <c r="AS102" i="36"/>
  <c r="AP105" i="36"/>
  <c r="AV102" i="36"/>
  <c r="AT92" i="36"/>
  <c r="AV92" i="36"/>
  <c r="AP94" i="36"/>
  <c r="AS92" i="36"/>
  <c r="AP104" i="36"/>
  <c r="AS101" i="36"/>
  <c r="AT101" i="36"/>
  <c r="AV101" i="36"/>
  <c r="AP95" i="33"/>
  <c r="AS64" i="33"/>
  <c r="AV64" i="33"/>
  <c r="AW64" i="33" s="1"/>
  <c r="AT64" i="33"/>
  <c r="AP66" i="33"/>
  <c r="AP65" i="33"/>
  <c r="AS104" i="36" l="1"/>
  <c r="AP107" i="36"/>
  <c r="AT104" i="36"/>
  <c r="AV104" i="36"/>
  <c r="AP95" i="36"/>
  <c r="AV94" i="36"/>
  <c r="AS94" i="36"/>
  <c r="AT94" i="36"/>
  <c r="AS106" i="36"/>
  <c r="AT106" i="36"/>
  <c r="AV106" i="36"/>
  <c r="AT83" i="36"/>
  <c r="AS83" i="36"/>
  <c r="AV83" i="36"/>
  <c r="AW83" i="36" s="1"/>
  <c r="AW84" i="36" s="1"/>
  <c r="AT105" i="36"/>
  <c r="AV105" i="36"/>
  <c r="AS105" i="36"/>
  <c r="AP86" i="37"/>
  <c r="AV85" i="37"/>
  <c r="AT85" i="37"/>
  <c r="AS85" i="37"/>
  <c r="AT92" i="37"/>
  <c r="AS92" i="37"/>
  <c r="AP94" i="37"/>
  <c r="AV92" i="37"/>
  <c r="AT106" i="37"/>
  <c r="AV106" i="37"/>
  <c r="AS106" i="37"/>
  <c r="AS101" i="37"/>
  <c r="AP104" i="37"/>
  <c r="AT101" i="37"/>
  <c r="AV101" i="37"/>
  <c r="AP52" i="33"/>
  <c r="AV51" i="33"/>
  <c r="AW51" i="33" s="1"/>
  <c r="AS51" i="33"/>
  <c r="AT51" i="33"/>
  <c r="AV85" i="36"/>
  <c r="AP86" i="36"/>
  <c r="AS85" i="36"/>
  <c r="AT85" i="36"/>
  <c r="AS105" i="37"/>
  <c r="AV105" i="37"/>
  <c r="AT105" i="37"/>
  <c r="AT83" i="37"/>
  <c r="AV83" i="37"/>
  <c r="AW83" i="37" s="1"/>
  <c r="AW84" i="37" s="1"/>
  <c r="AS83" i="37"/>
  <c r="AT95" i="33"/>
  <c r="AV95" i="33"/>
  <c r="AS95" i="33"/>
  <c r="AP109" i="33"/>
  <c r="AP89" i="33"/>
  <c r="AT65" i="33"/>
  <c r="AV65" i="33"/>
  <c r="AW65" i="33" s="1"/>
  <c r="AP111" i="33"/>
  <c r="AP110" i="33"/>
  <c r="AS65" i="33"/>
  <c r="AT66" i="33"/>
  <c r="AV66" i="33"/>
  <c r="AP81" i="33"/>
  <c r="AS66" i="33"/>
  <c r="AP75" i="33"/>
  <c r="AP67" i="33"/>
  <c r="AW85" i="37" l="1"/>
  <c r="AT52" i="33"/>
  <c r="AP53" i="33"/>
  <c r="AV52" i="33"/>
  <c r="AW52" i="33" s="1"/>
  <c r="AS52" i="33"/>
  <c r="AT104" i="37"/>
  <c r="AS104" i="37"/>
  <c r="AV104" i="37"/>
  <c r="AP107" i="37"/>
  <c r="AV86" i="37"/>
  <c r="AT86" i="37"/>
  <c r="AS86" i="37"/>
  <c r="AS95" i="36"/>
  <c r="AT95" i="36"/>
  <c r="AV95" i="36"/>
  <c r="AS94" i="37"/>
  <c r="AP95" i="37"/>
  <c r="AV94" i="37"/>
  <c r="AT94" i="37"/>
  <c r="AS86" i="36"/>
  <c r="AT86" i="36"/>
  <c r="AV86" i="36"/>
  <c r="AW85" i="36"/>
  <c r="AV107" i="36"/>
  <c r="AS107" i="36"/>
  <c r="AT107" i="36"/>
  <c r="AW66" i="33"/>
  <c r="AP90" i="33"/>
  <c r="AS89" i="33"/>
  <c r="AV89" i="33"/>
  <c r="AT89" i="33"/>
  <c r="AS109" i="33"/>
  <c r="AT109" i="33"/>
  <c r="AV109" i="33"/>
  <c r="AS75" i="33"/>
  <c r="AT75" i="33"/>
  <c r="AV75" i="33"/>
  <c r="AV111" i="33"/>
  <c r="AS111" i="33"/>
  <c r="AT111" i="33"/>
  <c r="AT81" i="33"/>
  <c r="AV81" i="33"/>
  <c r="AP82" i="33"/>
  <c r="AS81" i="33"/>
  <c r="AT67" i="33"/>
  <c r="AV67" i="33"/>
  <c r="AS67" i="33"/>
  <c r="AP68" i="33"/>
  <c r="AV110" i="33"/>
  <c r="AS110" i="33"/>
  <c r="AT110" i="33"/>
  <c r="AA38" i="36"/>
  <c r="AA42" i="36"/>
  <c r="AA41" i="36"/>
  <c r="AW86" i="37" l="1"/>
  <c r="AW87" i="37" s="1"/>
  <c r="AW88" i="37" s="1"/>
  <c r="AW89" i="37" s="1"/>
  <c r="AW90" i="37" s="1"/>
  <c r="AW91" i="37" s="1"/>
  <c r="AW92" i="37" s="1"/>
  <c r="AW93" i="37" s="1"/>
  <c r="AW94" i="37" s="1"/>
  <c r="AW86" i="36"/>
  <c r="AW87" i="36" s="1"/>
  <c r="AW88" i="36" s="1"/>
  <c r="AW89" i="36" s="1"/>
  <c r="AW90" i="36" s="1"/>
  <c r="AW91" i="36" s="1"/>
  <c r="AW92" i="36" s="1"/>
  <c r="AW93" i="36" s="1"/>
  <c r="AW94" i="36" s="1"/>
  <c r="AW95" i="36" s="1"/>
  <c r="AW96" i="36" s="1"/>
  <c r="AW97" i="36" s="1"/>
  <c r="AW98" i="36" s="1"/>
  <c r="AW99" i="36" s="1"/>
  <c r="AW100" i="36" s="1"/>
  <c r="AW101" i="36" s="1"/>
  <c r="T56" i="36" s="1"/>
  <c r="AS107" i="37"/>
  <c r="AV107" i="37"/>
  <c r="AT107" i="37"/>
  <c r="AT95" i="37"/>
  <c r="AV95" i="37"/>
  <c r="AS95" i="37"/>
  <c r="AT53" i="33"/>
  <c r="AS53" i="33"/>
  <c r="AV53" i="33"/>
  <c r="AW53" i="33" s="1"/>
  <c r="AW54" i="33" s="1"/>
  <c r="AW55" i="33" s="1"/>
  <c r="AW56" i="33" s="1"/>
  <c r="AW57" i="33" s="1"/>
  <c r="T56" i="33" s="1"/>
  <c r="AW67" i="33"/>
  <c r="AT68" i="33"/>
  <c r="AS68" i="33"/>
  <c r="AV68" i="33"/>
  <c r="AP69" i="33"/>
  <c r="AS82" i="33"/>
  <c r="AT82" i="33"/>
  <c r="AV82" i="33"/>
  <c r="AP83" i="33"/>
  <c r="AT90" i="33"/>
  <c r="AS90" i="33"/>
  <c r="AV90" i="33"/>
  <c r="AP92" i="33"/>
  <c r="AP91" i="33"/>
  <c r="AA40" i="36"/>
  <c r="AA38" i="37"/>
  <c r="AA42" i="37"/>
  <c r="AA41" i="37"/>
  <c r="AW95" i="37" l="1"/>
  <c r="AW96" i="37" s="1"/>
  <c r="AW97" i="37" s="1"/>
  <c r="AW98" i="37" s="1"/>
  <c r="AW99" i="37" s="1"/>
  <c r="AW100" i="37" s="1"/>
  <c r="AW101" i="37" s="1"/>
  <c r="AW102" i="37" s="1"/>
  <c r="AW103" i="37" s="1"/>
  <c r="AW104" i="37" s="1"/>
  <c r="AW105" i="37" s="1"/>
  <c r="AW106" i="37" s="1"/>
  <c r="AW107" i="37" s="1"/>
  <c r="AW108" i="37" s="1"/>
  <c r="AW102" i="36"/>
  <c r="AW103" i="36" s="1"/>
  <c r="AW104" i="36" s="1"/>
  <c r="AW105" i="36" s="1"/>
  <c r="AW106" i="36" s="1"/>
  <c r="AW107" i="36" s="1"/>
  <c r="AW108" i="36" s="1"/>
  <c r="V58" i="36" s="1"/>
  <c r="AW68" i="33"/>
  <c r="AP93" i="33"/>
  <c r="AS92" i="33"/>
  <c r="AT92" i="33"/>
  <c r="AV92" i="33"/>
  <c r="AT83" i="33"/>
  <c r="AV83" i="33"/>
  <c r="AS83" i="33"/>
  <c r="AP84" i="33"/>
  <c r="AS69" i="33"/>
  <c r="AT69" i="33"/>
  <c r="AV69" i="33"/>
  <c r="AP70" i="33"/>
  <c r="AS91" i="33"/>
  <c r="AT91" i="33"/>
  <c r="AP96" i="33"/>
  <c r="AV91" i="33"/>
  <c r="AA40" i="37"/>
  <c r="T56" i="37" l="1"/>
  <c r="T57" i="36"/>
  <c r="AW109" i="36"/>
  <c r="AW110" i="36" s="1"/>
  <c r="AW111" i="36" s="1"/>
  <c r="AW112" i="36" s="1"/>
  <c r="AW113" i="36" s="1"/>
  <c r="AW114" i="36" s="1"/>
  <c r="V58" i="37"/>
  <c r="AW109" i="37"/>
  <c r="AW110" i="37" s="1"/>
  <c r="AW111" i="37" s="1"/>
  <c r="AW112" i="37" s="1"/>
  <c r="AW113" i="37" s="1"/>
  <c r="AW114" i="37" s="1"/>
  <c r="T57" i="37"/>
  <c r="AW69" i="33"/>
  <c r="AP71" i="33"/>
  <c r="AS70" i="33"/>
  <c r="AT70" i="33"/>
  <c r="AV70" i="33"/>
  <c r="AS84" i="33"/>
  <c r="AT84" i="33"/>
  <c r="AV84" i="33"/>
  <c r="AS96" i="33"/>
  <c r="AP97" i="33"/>
  <c r="AV96" i="33"/>
  <c r="AT96" i="33"/>
  <c r="AT93" i="33"/>
  <c r="AS93" i="33"/>
  <c r="AV93" i="33"/>
  <c r="AP94" i="33"/>
  <c r="AW70" i="33" l="1"/>
  <c r="AT94" i="33"/>
  <c r="AV94" i="33"/>
  <c r="AS94" i="33"/>
  <c r="AP76" i="33"/>
  <c r="AV97" i="33"/>
  <c r="AT97" i="33"/>
  <c r="AS97" i="33"/>
  <c r="AP98" i="33"/>
  <c r="AS71" i="33"/>
  <c r="AT71" i="33"/>
  <c r="AV71" i="33"/>
  <c r="AP72" i="33"/>
  <c r="AW71" i="33" l="1"/>
  <c r="AP99" i="33"/>
  <c r="AT98" i="33"/>
  <c r="AS98" i="33"/>
  <c r="AV98" i="33"/>
  <c r="AT72" i="33"/>
  <c r="AV72" i="33"/>
  <c r="AS72" i="33"/>
  <c r="AP73" i="33"/>
  <c r="AT76" i="33"/>
  <c r="AV76" i="33"/>
  <c r="AP77" i="33"/>
  <c r="AS76" i="33"/>
  <c r="AW72" i="33" l="1"/>
  <c r="AS73" i="33"/>
  <c r="AT73" i="33"/>
  <c r="AP74" i="33"/>
  <c r="AV73" i="33"/>
  <c r="AV77" i="33"/>
  <c r="AW77" i="33" s="1"/>
  <c r="AP78" i="33"/>
  <c r="AS77" i="33"/>
  <c r="AT77" i="33"/>
  <c r="AS99" i="33"/>
  <c r="AP100" i="33"/>
  <c r="AV99" i="33"/>
  <c r="AT99" i="33"/>
  <c r="AW73" i="33" l="1"/>
  <c r="AT100" i="33"/>
  <c r="AV100" i="33"/>
  <c r="AS100" i="33"/>
  <c r="AP101" i="33"/>
  <c r="AP79" i="33"/>
  <c r="AT78" i="33"/>
  <c r="AS78" i="33"/>
  <c r="AV78" i="33"/>
  <c r="AW78" i="33" s="1"/>
  <c r="AS74" i="33"/>
  <c r="AT74" i="33"/>
  <c r="AV74" i="33"/>
  <c r="AW74" i="33" l="1"/>
  <c r="AW75" i="33" s="1"/>
  <c r="AW76" i="33" s="1"/>
  <c r="U56" i="33" s="1"/>
  <c r="AP80" i="33"/>
  <c r="AS79" i="33"/>
  <c r="AT79" i="33"/>
  <c r="AV79" i="33"/>
  <c r="AW79" i="33" s="1"/>
  <c r="AV101" i="33"/>
  <c r="AP102" i="33"/>
  <c r="AS101" i="33"/>
  <c r="AT101" i="33"/>
  <c r="AS80" i="33" l="1"/>
  <c r="AV80" i="33"/>
  <c r="AW80" i="33" s="1"/>
  <c r="AW81" i="33" s="1"/>
  <c r="AW82" i="33" s="1"/>
  <c r="AW83" i="33" s="1"/>
  <c r="AW84" i="33" s="1"/>
  <c r="AW85" i="33" s="1"/>
  <c r="AW86" i="33" s="1"/>
  <c r="AW87" i="33" s="1"/>
  <c r="AW88" i="33" s="1"/>
  <c r="AW89" i="33" s="1"/>
  <c r="AW90" i="33" s="1"/>
  <c r="AW91" i="33" s="1"/>
  <c r="AW92" i="33" s="1"/>
  <c r="AW93" i="33" s="1"/>
  <c r="AW94" i="33" s="1"/>
  <c r="AW95" i="33" s="1"/>
  <c r="AW96" i="33" s="1"/>
  <c r="AW97" i="33" s="1"/>
  <c r="AW98" i="33" s="1"/>
  <c r="AW99" i="33" s="1"/>
  <c r="AT80" i="33"/>
  <c r="AP103" i="33"/>
  <c r="AV102" i="33"/>
  <c r="AS102" i="33"/>
  <c r="AP107" i="33"/>
  <c r="AT102" i="33"/>
  <c r="AW100" i="33" l="1"/>
  <c r="AW101" i="33" s="1"/>
  <c r="AW102" i="33" s="1"/>
  <c r="T54" i="33"/>
  <c r="AV107" i="33"/>
  <c r="AS107" i="33"/>
  <c r="AP108" i="33"/>
  <c r="AT107" i="33"/>
  <c r="AP104" i="33"/>
  <c r="AV103" i="33"/>
  <c r="AT103" i="33"/>
  <c r="AS103" i="33"/>
  <c r="AW103" i="33" l="1"/>
  <c r="AS104" i="33"/>
  <c r="AT104" i="33"/>
  <c r="AP105" i="33"/>
  <c r="AV104" i="33"/>
  <c r="AV108" i="33"/>
  <c r="AS108" i="33"/>
  <c r="AT108" i="33"/>
  <c r="AW104" i="33" l="1"/>
  <c r="AV105" i="33"/>
  <c r="AP106" i="33"/>
  <c r="AS105" i="33"/>
  <c r="AT105" i="33"/>
  <c r="AW105" i="33" l="1"/>
  <c r="AV106" i="33"/>
  <c r="AS106" i="33"/>
  <c r="AT106" i="33"/>
  <c r="I37" i="33"/>
  <c r="P38" i="33"/>
  <c r="AE35" i="33"/>
  <c r="N38" i="33"/>
  <c r="V35" i="33"/>
  <c r="S36" i="33"/>
  <c r="L34" i="33"/>
  <c r="AE32" i="33"/>
  <c r="K37" i="33"/>
  <c r="M35" i="33"/>
  <c r="H36" i="33"/>
  <c r="V38" i="33"/>
  <c r="M36" i="33"/>
  <c r="U31" i="33"/>
  <c r="S31" i="33"/>
  <c r="AE36" i="33"/>
  <c r="C32" i="33"/>
  <c r="B34" i="33"/>
  <c r="Q36" i="33"/>
  <c r="J34" i="33"/>
  <c r="H35" i="33"/>
  <c r="R33" i="33"/>
  <c r="S37" i="33"/>
  <c r="K33" i="33"/>
  <c r="T35" i="33"/>
  <c r="C34" i="33"/>
  <c r="Q31" i="33"/>
  <c r="U32" i="33"/>
  <c r="B32" i="33"/>
  <c r="Q37" i="33"/>
  <c r="AW106" i="33" l="1"/>
  <c r="AW107" i="33" s="1"/>
  <c r="AW108" i="33" s="1"/>
  <c r="AW109" i="33" s="1"/>
  <c r="AW110" i="33" s="1"/>
  <c r="AW111" i="33" s="1"/>
  <c r="AW112" i="33" s="1"/>
  <c r="AW113" i="33" s="1"/>
  <c r="T55" i="33" s="1"/>
  <c r="AE34" i="33"/>
  <c r="V56" i="33" l="1"/>
</calcChain>
</file>

<file path=xl/sharedStrings.xml><?xml version="1.0" encoding="utf-8"?>
<sst xmlns="http://schemas.openxmlformats.org/spreadsheetml/2006/main" count="3883" uniqueCount="882">
  <si>
    <t xml:space="preserve"> </t>
  </si>
  <si>
    <t>Total</t>
  </si>
  <si>
    <t>Type</t>
  </si>
  <si>
    <t>Case</t>
  </si>
  <si>
    <t>Normal</t>
  </si>
  <si>
    <t>SKU count</t>
  </si>
  <si>
    <t>Inventory positions</t>
  </si>
  <si>
    <t>Oversize</t>
  </si>
  <si>
    <t>Proposed values</t>
  </si>
  <si>
    <t>Approved values</t>
  </si>
  <si>
    <t>Color code</t>
  </si>
  <si>
    <t>Name</t>
  </si>
  <si>
    <t>Variable</t>
  </si>
  <si>
    <t>Value</t>
  </si>
  <si>
    <t>Cost_Schedule</t>
  </si>
  <si>
    <t>Cost_Plus_Perc</t>
  </si>
  <si>
    <t>RoboFS_Scenario1_Name</t>
  </si>
  <si>
    <t>RoboFS_Scenario1_Throughput_Factor</t>
  </si>
  <si>
    <t>RoboFS_Scenario2_Name</t>
  </si>
  <si>
    <t>RoboFS_Scenario2_Throughput_Factor</t>
  </si>
  <si>
    <t>Inventory_Turns_Per_Year</t>
  </si>
  <si>
    <t>RoboFS_Scenario1_SKU_Count_Factor</t>
  </si>
  <si>
    <t>RoboFS_Scenario2_SKU_Count_Factor</t>
  </si>
  <si>
    <t>SKU_Count_Large</t>
  </si>
  <si>
    <t>SKU_Count_Oversize</t>
  </si>
  <si>
    <t>Hours_Per_Shift</t>
  </si>
  <si>
    <t>Productive_Labor_Hours_Per_Shift</t>
  </si>
  <si>
    <t>Productive_Automation_Hours_Per_Shift</t>
  </si>
  <si>
    <t>Labor_Cost_Per_Hour</t>
  </si>
  <si>
    <t>FTE_Work_Days_Per_Year</t>
  </si>
  <si>
    <t>Normal_Season_Weeks_Per_Year</t>
  </si>
  <si>
    <t>Normal_Season_Shifts_Per_Day</t>
  </si>
  <si>
    <t>Normal_Season_Work_Day_Per_Week</t>
  </si>
  <si>
    <t>Peak_Season_Weeks_Per_Year</t>
  </si>
  <si>
    <t>Peak_Season_Shifts_Per_Day</t>
  </si>
  <si>
    <t>Peak_Season_Work_Day_Per_Week</t>
  </si>
  <si>
    <t>Inbound_Annual_Units_Received_On_Pallets</t>
  </si>
  <si>
    <t>Inbound_Annual_Units_Received_By_Cases</t>
  </si>
  <si>
    <t>Inbound_Annual_Units_Received_As_Singles</t>
  </si>
  <si>
    <t>Inbound_Items_Per_Case</t>
  </si>
  <si>
    <t>Inbound_Cases_Per_Layer</t>
  </si>
  <si>
    <t>Inbound_Layers_Per_Pallet</t>
  </si>
  <si>
    <t>Outbound_Annual_Units_Shipped_On_Pallets</t>
  </si>
  <si>
    <t>Outbound_Annual_Units_Shipped_By_Cases</t>
  </si>
  <si>
    <t>Outbound_Items_Per_Pack_Carton</t>
  </si>
  <si>
    <t>Outbound_Annual_Units_Shipped_As_Units_For_Pack</t>
  </si>
  <si>
    <t>Outbound_Annual_Units_Shipped_As_Units_For_Tote</t>
  </si>
  <si>
    <t>Annual_Relabeling_Units</t>
  </si>
  <si>
    <t>Relabeling_Process_Cycle_Time_In_Seconds</t>
  </si>
  <si>
    <t>Percentage_Reduction_In_Labeling_with_RoboFS</t>
  </si>
  <si>
    <t>Tray storage</t>
  </si>
  <si>
    <t>Cart storage</t>
  </si>
  <si>
    <t>Tray</t>
  </si>
  <si>
    <t>Pallet</t>
  </si>
  <si>
    <t>Fast</t>
  </si>
  <si>
    <t>Medium</t>
  </si>
  <si>
    <t>Slow</t>
  </si>
  <si>
    <t>Outbound_Normal_Season_Large_Picking_Units_Per_Day</t>
  </si>
  <si>
    <t>Outbound_Normal_Season_Oversize_Picking_Units_Per_Day</t>
  </si>
  <si>
    <t>Outbound_Normal_Season_Large_Shipping_Containers_Per_Day</t>
  </si>
  <si>
    <t>Outbound_Normal_Season_Oversize_Shipping_Containers_Per_Day</t>
  </si>
  <si>
    <t>Outbound_Peak_Season_Large_Picking_Units_Per_Day</t>
  </si>
  <si>
    <t>Outbound_Peak_Season_Oversize_Picking_Units_Per_Day</t>
  </si>
  <si>
    <t>Outbound_Peak_Season_Large_Shipping_Containers_Per_Day</t>
  </si>
  <si>
    <t>Outbound_Peak_Season_Oversize_Shipping_Containers_Per_Day</t>
  </si>
  <si>
    <t>Module</t>
  </si>
  <si>
    <t>Receiving</t>
  </si>
  <si>
    <t>Prep</t>
  </si>
  <si>
    <t>Trashbaler</t>
  </si>
  <si>
    <t>Stacker</t>
  </si>
  <si>
    <t>Traybreaker</t>
  </si>
  <si>
    <t>Traymaker</t>
  </si>
  <si>
    <t>Outbound connector</t>
  </si>
  <si>
    <t>Shuffler</t>
  </si>
  <si>
    <t>Storage</t>
  </si>
  <si>
    <t>Transport</t>
  </si>
  <si>
    <t>Inbound</t>
  </si>
  <si>
    <t>Outbound_Peak_Season_Large_Picking_Units_Per_Hour</t>
  </si>
  <si>
    <t>Outbound_Peak_Season_Oversize_Picking_Units_Per_Hour</t>
  </si>
  <si>
    <t>Outbound_Peak_Season_Large_Shipping_Containers_Per_Hour</t>
  </si>
  <si>
    <t>Outbound_Peak_Season_Oversize_Shipping_Containers_Per_Hour</t>
  </si>
  <si>
    <t>Direct_to_Indirect_Labor_Ratio</t>
  </si>
  <si>
    <t>Indirect_Labor_Annual_Loaded_Cost</t>
  </si>
  <si>
    <t>Annual_Direct_Labor_Under_Current_Design</t>
  </si>
  <si>
    <t>Outbound_Annual_Large_Items_Picking_Units</t>
  </si>
  <si>
    <t>Outbound_Annual_Oversize_Items_Picking_Units</t>
  </si>
  <si>
    <t>Depalletizer</t>
  </si>
  <si>
    <t>Pack</t>
  </si>
  <si>
    <t>Load</t>
  </si>
  <si>
    <t>Working_Days_Per_Year</t>
  </si>
  <si>
    <t>Inventory_Positions_Item</t>
  </si>
  <si>
    <t>Inventory_Positions_Case</t>
  </si>
  <si>
    <t>Inventory_Positions_Large</t>
  </si>
  <si>
    <t>Inventory_Positions_Oversize</t>
  </si>
  <si>
    <t>SKU_Count_Regular</t>
  </si>
  <si>
    <t>RoboFS_Scenario1_Labor_Factor</t>
  </si>
  <si>
    <t>RoboFS_Scenario2_Labor_Factor</t>
  </si>
  <si>
    <t>Annual_Direct_Labor_Under_Current_Design_Year5</t>
  </si>
  <si>
    <t>Outbound_Items_Per_Tote_Carton</t>
  </si>
  <si>
    <t>Productive_Automation_Shifts_Per_Day</t>
  </si>
  <si>
    <t>#</t>
  </si>
  <si>
    <t>RPP/HDS</t>
  </si>
  <si>
    <t>OEM Group</t>
  </si>
  <si>
    <t>RPP</t>
  </si>
  <si>
    <t>Cart position</t>
  </si>
  <si>
    <t>Cell</t>
  </si>
  <si>
    <t>Y</t>
  </si>
  <si>
    <t>Padding</t>
  </si>
  <si>
    <t>MR charger</t>
  </si>
  <si>
    <t>Stack moving</t>
  </si>
  <si>
    <t>HDS</t>
  </si>
  <si>
    <t>Rack loader pod</t>
  </si>
  <si>
    <t>Rack loading</t>
  </si>
  <si>
    <t>PMR charger</t>
  </si>
  <si>
    <t>Pallet moving</t>
  </si>
  <si>
    <t>Forklift</t>
  </si>
  <si>
    <t>Forklift charger</t>
  </si>
  <si>
    <t>Pallet jack</t>
  </si>
  <si>
    <t>Pallet jack charger</t>
  </si>
  <si>
    <t>MP cells</t>
  </si>
  <si>
    <t>Stacking</t>
  </si>
  <si>
    <t>Shuffling</t>
  </si>
  <si>
    <t>Stack handler</t>
  </si>
  <si>
    <t>Pallet handler</t>
  </si>
  <si>
    <t>Buffer</t>
  </si>
  <si>
    <t>Connecting</t>
  </si>
  <si>
    <t>Van rack guide</t>
  </si>
  <si>
    <t>Racking </t>
  </si>
  <si>
    <t>Tote closer</t>
  </si>
  <si>
    <t>Opening</t>
  </si>
  <si>
    <t>Tote erector</t>
  </si>
  <si>
    <t>Case handling</t>
  </si>
  <si>
    <t>Oversize storage</t>
  </si>
  <si>
    <t>Oversize rack</t>
  </si>
  <si>
    <t>Manual pack</t>
  </si>
  <si>
    <t>Manual packing</t>
  </si>
  <si>
    <t>Case receiving backend</t>
  </si>
  <si>
    <t>Compartment handling</t>
  </si>
  <si>
    <t>Master dispenser</t>
  </si>
  <si>
    <t>VAS</t>
  </si>
  <si>
    <t>Manual receiving backend</t>
  </si>
  <si>
    <t>Inbound connector</t>
  </si>
  <si>
    <t>Tray wash</t>
  </si>
  <si>
    <t>Washing</t>
  </si>
  <si>
    <t>Autopack pod</t>
  </si>
  <si>
    <t>Picking</t>
  </si>
  <si>
    <t>Case receiving frontend</t>
  </si>
  <si>
    <t>Manual receiving frontend</t>
  </si>
  <si>
    <t>Oversize item position</t>
  </si>
  <si>
    <t>Oversize forklift</t>
  </si>
  <si>
    <t>2D rack</t>
  </si>
  <si>
    <t>4D rack</t>
  </si>
  <si>
    <t>Empties connector</t>
  </si>
  <si>
    <t>Tray erector</t>
  </si>
  <si>
    <t>IO connector</t>
  </si>
  <si>
    <t>Tote in</t>
  </si>
  <si>
    <t>Main connector</t>
  </si>
  <si>
    <t>PMR</t>
  </si>
  <si>
    <t>Autopack handler</t>
  </si>
  <si>
    <t>Mainline</t>
  </si>
  <si>
    <t>MR</t>
  </si>
  <si>
    <t>Rack</t>
  </si>
  <si>
    <t>Tote out</t>
  </si>
  <si>
    <t>Roboframe</t>
  </si>
  <si>
    <t>Tray transacting</t>
  </si>
  <si>
    <t>TrayXL</t>
  </si>
  <si>
    <t>LiteIO</t>
  </si>
  <si>
    <t>Pallet station</t>
  </si>
  <si>
    <t>Pallet pad</t>
  </si>
  <si>
    <t>MR pad</t>
  </si>
  <si>
    <t>Crossover connector</t>
  </si>
  <si>
    <t>Rack loader connector</t>
  </si>
  <si>
    <t>TrayX</t>
  </si>
  <si>
    <t>Container IO</t>
  </si>
  <si>
    <t>Rack loader handler</t>
  </si>
  <si>
    <t>Tote collapser</t>
  </si>
  <si>
    <t>Inductor</t>
  </si>
  <si>
    <t>Inspection station</t>
  </si>
  <si>
    <t>Tote flipper</t>
  </si>
  <si>
    <t>Tote wash</t>
  </si>
  <si>
    <t>Wash connector</t>
  </si>
  <si>
    <t>Van</t>
  </si>
  <si>
    <t>Upfitting</t>
  </si>
  <si>
    <t>Van rack</t>
  </si>
  <si>
    <t>Van rack short</t>
  </si>
  <si>
    <t>Van cart position</t>
  </si>
  <si>
    <t>Van rack jack</t>
  </si>
  <si>
    <t>MTO</t>
  </si>
  <si>
    <t>Percentage_Orders_Online_Channel_Requiring_Gift_Wrapping</t>
  </si>
  <si>
    <t>Gift_Wrapping_Process_Cycle_Time_In_Seconds</t>
  </si>
  <si>
    <t>Annual_Serialization_Captures_Total</t>
  </si>
  <si>
    <t>copy from Model_Flow_Rates and delete everything with a formula; then copy this sheet and put in capacity</t>
  </si>
  <si>
    <t>Overall</t>
  </si>
  <si>
    <t>Pallet storage</t>
  </si>
  <si>
    <t>User Entered Value</t>
  </si>
  <si>
    <t>Calculated Value</t>
  </si>
  <si>
    <t>Form</t>
  </si>
  <si>
    <t>Placeholder values</t>
  </si>
  <si>
    <t>Making to order</t>
  </si>
  <si>
    <t>x</t>
  </si>
  <si>
    <t>Regular</t>
  </si>
  <si>
    <t>Cell name</t>
  </si>
  <si>
    <t>Last update</t>
  </si>
  <si>
    <t>Throughput</t>
  </si>
  <si>
    <t>Working days per year</t>
  </si>
  <si>
    <t>Average revenue per order</t>
  </si>
  <si>
    <t>Totes per order</t>
  </si>
  <si>
    <t>Revenue per item</t>
  </si>
  <si>
    <t>Temp</t>
  </si>
  <si>
    <t>Velocity</t>
  </si>
  <si>
    <t>Peak factor</t>
  </si>
  <si>
    <t>Casepacks</t>
  </si>
  <si>
    <t>Status (Column E)</t>
  </si>
  <si>
    <t>Average orders delivered per day</t>
  </si>
  <si>
    <t>Line items per order</t>
  </si>
  <si>
    <t>12/24/2018: Reduced since we consider the total # of items in an order</t>
  </si>
  <si>
    <t>12/24/2018: Different factors to scale throughput to test different operational scenarios</t>
  </si>
  <si>
    <t>Design factor of safety</t>
  </si>
  <si>
    <t>Comments &amp; work area</t>
  </si>
  <si>
    <t>Receive</t>
  </si>
  <si>
    <t>Store</t>
  </si>
  <si>
    <t>Dispatch</t>
  </si>
  <si>
    <t>Outbound docks</t>
  </si>
  <si>
    <t>Inbound docks</t>
  </si>
  <si>
    <t>Labor</t>
  </si>
  <si>
    <t>Automation</t>
  </si>
  <si>
    <t>Shifts</t>
  </si>
  <si>
    <t>Hours</t>
  </si>
  <si>
    <t>Design peak</t>
  </si>
  <si>
    <t>Functional area operations</t>
  </si>
  <si>
    <t>Containers</t>
  </si>
  <si>
    <t>Tote</t>
  </si>
  <si>
    <t>Single</t>
  </si>
  <si>
    <t>Stacks</t>
  </si>
  <si>
    <t>State</t>
  </si>
  <si>
    <t>KD</t>
  </si>
  <si>
    <t>All</t>
  </si>
  <si>
    <t>1.x</t>
  </si>
  <si>
    <t>Origin cell</t>
  </si>
  <si>
    <t>Destination cell</t>
  </si>
  <si>
    <t>Container</t>
  </si>
  <si>
    <t>Mixed</t>
  </si>
  <si>
    <t>Ambient</t>
  </si>
  <si>
    <t>Chilled</t>
  </si>
  <si>
    <t>Frozen</t>
  </si>
  <si>
    <t>↑</t>
  </si>
  <si>
    <t>↓</t>
  </si>
  <si>
    <t>Orientation</t>
  </si>
  <si>
    <t>Lengthwise</t>
  </si>
  <si>
    <t>Widthwise</t>
  </si>
  <si>
    <t>Flow ID</t>
  </si>
  <si>
    <t>Questions for Aravind</t>
  </si>
  <si>
    <t>Why not have split the caches on both sides of the cell so that access to the 2nd position is easier and faster</t>
  </si>
  <si>
    <t>→</t>
  </si>
  <si>
    <t>←</t>
  </si>
  <si>
    <t>↕</t>
  </si>
  <si>
    <t>↔</t>
  </si>
  <si>
    <t>Functional area to module map</t>
  </si>
  <si>
    <t>Pallet forklift</t>
  </si>
  <si>
    <t>MTO (cells tbd)</t>
  </si>
  <si>
    <t>Functional area</t>
  </si>
  <si>
    <t>Fulfill</t>
  </si>
  <si>
    <t>Stack</t>
  </si>
  <si>
    <t xml:space="preserve">Pallet </t>
  </si>
  <si>
    <t>handler</t>
  </si>
  <si>
    <t>guide</t>
  </si>
  <si>
    <t>closer</t>
  </si>
  <si>
    <t>erector</t>
  </si>
  <si>
    <t>Y**</t>
  </si>
  <si>
    <t>Size by %</t>
  </si>
  <si>
    <t>Items/container</t>
  </si>
  <si>
    <t>1.s</t>
  </si>
  <si>
    <t>1.m</t>
  </si>
  <si>
    <t>1.t</t>
  </si>
  <si>
    <t>2.m</t>
  </si>
  <si>
    <t>2.t</t>
  </si>
  <si>
    <t>4.m</t>
  </si>
  <si>
    <t>8.s</t>
  </si>
  <si>
    <t>Container size</t>
  </si>
  <si>
    <t>Casepack</t>
  </si>
  <si>
    <t xml:space="preserve">Carted </t>
  </si>
  <si>
    <t>Produce MTO (bypass module)</t>
  </si>
  <si>
    <t>Orders per year</t>
  </si>
  <si>
    <t>Annual units delivered per year</t>
  </si>
  <si>
    <t>Total (via modules)</t>
  </si>
  <si>
    <t>12/24/2018: Section to break down SKU counts</t>
  </si>
  <si>
    <t>12/24/2018: Is it worth breaking this by temp and/or form?</t>
  </si>
  <si>
    <t>Line items and tote stats</t>
  </si>
  <si>
    <t>Units per line item</t>
  </si>
  <si>
    <t>Units per tote</t>
  </si>
  <si>
    <t>Units per order</t>
  </si>
  <si>
    <t>12/24/2018: Discrepancy between assumptions on the receiving tab and the 'By ambience' tabs on the distribution of sales</t>
  </si>
  <si>
    <t>12/24/2018: Main difference in chilled assumption- 19% or 30%?</t>
  </si>
  <si>
    <t>Sales %</t>
  </si>
  <si>
    <t>12/24/2018: Section to account for inventory positions</t>
  </si>
  <si>
    <t>Average units per day</t>
  </si>
  <si>
    <t>Peak units per day</t>
  </si>
  <si>
    <t>Others</t>
  </si>
  <si>
    <t>Operation hours by module</t>
  </si>
  <si>
    <t>Peak containers per day</t>
  </si>
  <si>
    <t>Totes</t>
  </si>
  <si>
    <t>12/24/2018: Assumes that casepacks, and oversize items don’t fit the totes; but large carted items do…</t>
  </si>
  <si>
    <t>Peak containers per minute</t>
  </si>
  <si>
    <t>Peak containers per hour</t>
  </si>
  <si>
    <t>Line item breakdown by profile</t>
  </si>
  <si>
    <t>Tray types and containerization</t>
  </si>
  <si>
    <t>Average line items per day</t>
  </si>
  <si>
    <t>(based on Pack operations)</t>
  </si>
  <si>
    <t>Peak line items per hour</t>
  </si>
  <si>
    <t>Peak line items per minute</t>
  </si>
  <si>
    <t>12/26/2018: New parameter introduced based on line items per day assumptions in the 'By ambience' tab.</t>
  </si>
  <si>
    <t>Average units delivered per day</t>
  </si>
  <si>
    <t>12/26/2018: Design peak has been introduced as a intra week peak</t>
  </si>
  <si>
    <t>Peak units in receiving per minute</t>
  </si>
  <si>
    <t>(based on Receiving operations)</t>
  </si>
  <si>
    <t>Peak units in pack per minute</t>
  </si>
  <si>
    <t>Hours per day</t>
  </si>
  <si>
    <t>Overall peak factor</t>
  </si>
  <si>
    <t>Average revenue per day</t>
  </si>
  <si>
    <t>Season (Normal vs Peak)</t>
  </si>
  <si>
    <t>Week (Thanksgiving week in November)</t>
  </si>
  <si>
    <t>Day (Monday replenishment vs Rest of week)</t>
  </si>
  <si>
    <t>Shift (Day vs Night)</t>
  </si>
  <si>
    <t>Hour (Preferred time windows vs Early hours)</t>
  </si>
  <si>
    <t>Minute (Towards 30 or 15 mins cut off times)</t>
  </si>
  <si>
    <t>SKU count % by SKU Velocity</t>
  </si>
  <si>
    <t>Sales % by SKU Velocity</t>
  </si>
  <si>
    <t>12/26/2018: Added sales %</t>
  </si>
  <si>
    <t>12/26/2018: Useful to have it in a central place</t>
  </si>
  <si>
    <t>Typical order units</t>
  </si>
  <si>
    <t>Flow direction</t>
  </si>
  <si>
    <t>Down</t>
  </si>
  <si>
    <t>Left</t>
  </si>
  <si>
    <t>Up</t>
  </si>
  <si>
    <t>Right</t>
  </si>
  <si>
    <t>Partial</t>
  </si>
  <si>
    <t>Full</t>
  </si>
  <si>
    <t>Empty</t>
  </si>
  <si>
    <t>From the master metrics sheet</t>
  </si>
  <si>
    <t>Peak containers per minute- Totes</t>
  </si>
  <si>
    <t>Peak line items per minute- Regular</t>
  </si>
  <si>
    <t>Required # of KD totes per minute</t>
  </si>
  <si>
    <t># of KD totes per tote stack</t>
  </si>
  <si>
    <t># of trays per tray stack</t>
  </si>
  <si>
    <t># of operational hours at Pack</t>
  </si>
  <si>
    <t>Design peak factor at pack</t>
  </si>
  <si>
    <t># of trays stacks per MR</t>
  </si>
  <si>
    <t>Throughput per minute</t>
  </si>
  <si>
    <t># of compartments per tray (non 1.x)</t>
  </si>
  <si>
    <t># of compartments per tray (all)</t>
  </si>
  <si>
    <t>SKU count / line items per tray</t>
  </si>
  <si>
    <t># of line items per tray</t>
  </si>
  <si>
    <t># of trays per minute</t>
  </si>
  <si>
    <t># of tray stacks per minute</t>
  </si>
  <si>
    <t># of incoming MRs per minute</t>
  </si>
  <si>
    <t>New calculations in this sheet</t>
  </si>
  <si>
    <t># of line items per tote</t>
  </si>
  <si>
    <t>OriginDestination</t>
  </si>
  <si>
    <t>Symbol</t>
  </si>
  <si>
    <t>UpDown</t>
  </si>
  <si>
    <t>LeftRight</t>
  </si>
  <si>
    <t>UpRight</t>
  </si>
  <si>
    <t>UpLeft</t>
  </si>
  <si>
    <t>DownRight</t>
  </si>
  <si>
    <t>DownLeft</t>
  </si>
  <si>
    <t>↖</t>
  </si>
  <si>
    <t>↗</t>
  </si>
  <si>
    <t>↘</t>
  </si>
  <si>
    <t>↙</t>
  </si>
  <si>
    <t>Flow Indicator</t>
  </si>
  <si>
    <t>DownUp</t>
  </si>
  <si>
    <t>RightLeft</t>
  </si>
  <si>
    <t>Formula copy &amp; paste</t>
  </si>
  <si>
    <t># of tote stacks per MR</t>
  </si>
  <si>
    <t># of totes per tray stack</t>
  </si>
  <si>
    <t>Are we planning on KD Trays or not; if not what is the function of the Tray Erector</t>
  </si>
  <si>
    <t>% of totes needing shuffling</t>
  </si>
  <si>
    <t>% of totes requiring manual pack</t>
  </si>
  <si>
    <t>% of totes requiring tote in items</t>
  </si>
  <si>
    <t>max # of line items available per minute</t>
  </si>
  <si>
    <t>trays to totes fulfilment ratio</t>
  </si>
  <si>
    <t>% of totes which come to Manual pack requiring VAS</t>
  </si>
  <si>
    <t>Containers per stack</t>
  </si>
  <si>
    <t>Questions for Dave</t>
  </si>
  <si>
    <t>KD totes don’t go through the destacker per the design</t>
  </si>
  <si>
    <t>VAS inflows come from Manual pack</t>
  </si>
  <si>
    <t>% of trays requiring shuffling</t>
  </si>
  <si>
    <t>% of trays diverted to manual pack</t>
  </si>
  <si>
    <t># of KD trays per tray stack</t>
  </si>
  <si>
    <t>Didn't see a tote opener cell- is the tote erector also opening the totes?</t>
  </si>
  <si>
    <t>Is there a way to allow the buffering of empty trays at the Tote out cell so as to be conveyed to the stacker in a sequence or to the mobile robot for transport somewhere else?</t>
  </si>
  <si>
    <t>Are there specific buffer lanes for totes and trays? If not it'll cause sequencing issues…</t>
  </si>
  <si>
    <t>Are the buffers only meant to have stacks of totes and trays. How about singles? If so, can the tray erector and tote erector be designed to also handle singles?</t>
  </si>
  <si>
    <t>Is it fair to assume that the IO connector has 3 lanes for HDS. The third lane connects it to the tote out and tote closer cells?</t>
  </si>
  <si>
    <t>Sankey</t>
  </si>
  <si>
    <t>isGroup</t>
  </si>
  <si>
    <t>group</t>
  </si>
  <si>
    <t>y</t>
  </si>
  <si>
    <t>location</t>
  </si>
  <si>
    <t>Empties management</t>
  </si>
  <si>
    <t>node data</t>
  </si>
  <si>
    <t>flag</t>
  </si>
  <si>
    <t>first</t>
  </si>
  <si>
    <t>last</t>
  </si>
  <si>
    <t>Concatenated</t>
  </si>
  <si>
    <t>GoJS flag</t>
  </si>
  <si>
    <t>GoJS line</t>
  </si>
  <si>
    <t>GoJS concatenated</t>
  </si>
  <si>
    <t>GoJS final</t>
  </si>
  <si>
    <t>GoJS with comment</t>
  </si>
  <si>
    <t>scale</t>
  </si>
  <si>
    <t>Carted</t>
  </si>
  <si>
    <t>1/3/2018: Added to account for differences in containerization by temp zones and to help with receive flows</t>
  </si>
  <si>
    <t>Inbound cartonization cartons per layer</t>
  </si>
  <si>
    <t>Inbound cartonization layers per pallet</t>
  </si>
  <si>
    <t>Inbound containerization items per pallet</t>
  </si>
  <si>
    <t>Peak receiving rate per minute - regular</t>
  </si>
  <si>
    <t>Peak receiving rate per minute - casepack</t>
  </si>
  <si>
    <t>Peak receiving rate per minute - carted</t>
  </si>
  <si>
    <t>Peak receiving rate per minute - oversize</t>
  </si>
  <si>
    <t>Items per pallet - regular</t>
  </si>
  <si>
    <t>Items per pallet - casepack</t>
  </si>
  <si>
    <t>Items per pallet - carted</t>
  </si>
  <si>
    <t>Items per pallet - oversize</t>
  </si>
  <si>
    <t>Peak receiving rate pallets per minute - regular+casepack</t>
  </si>
  <si>
    <t>% of automated casepack receiving</t>
  </si>
  <si>
    <t>Inbound cartonization items per case</t>
  </si>
  <si>
    <t>Item containerization items per case - regular</t>
  </si>
  <si>
    <t>1.x compartments %</t>
  </si>
  <si>
    <t>non 1.x compartments %</t>
  </si>
  <si>
    <t>% of compartment by size</t>
  </si>
  <si>
    <t># of items per compartment</t>
  </si>
  <si>
    <t>Avg. # of items in 1.x</t>
  </si>
  <si>
    <t>Total # of compartments to support peak per minute</t>
  </si>
  <si>
    <t>Total # of non 1.x compartments to support peak per minute</t>
  </si>
  <si>
    <t>Compartment</t>
  </si>
  <si>
    <t>Size</t>
  </si>
  <si>
    <t>Standard</t>
  </si>
  <si>
    <t>Content</t>
  </si>
  <si>
    <t>Layer</t>
  </si>
  <si>
    <t>Other controls (future)</t>
  </si>
  <si>
    <t>Adjusted compartment% by size</t>
  </si>
  <si>
    <t>Case receiving</t>
  </si>
  <si>
    <t>Manual receiving</t>
  </si>
  <si>
    <t>Non 1.x (2.m:21%, 2.t:21%, 4.m:36%, 8.s:21%</t>
  </si>
  <si>
    <t>Sequence id</t>
  </si>
  <si>
    <t>Total # of 1.x compartments to support peak per minute</t>
  </si>
  <si>
    <t>Reprocessing</t>
  </si>
  <si>
    <t># of emptying non 1.x compartments per minute</t>
  </si>
  <si>
    <t># of trays per minute being redirected towards traymaker</t>
  </si>
  <si>
    <t>Emptying 1.x compartments per minute</t>
  </si>
  <si>
    <t>Emptying 1.x trays with casepacks per minute</t>
  </si>
  <si>
    <t>Total 1.x trays being emptied</t>
  </si>
  <si>
    <t>non 1.x</t>
  </si>
  <si>
    <t># of regular SKU</t>
  </si>
  <si>
    <t># of trays per day which undergo non 1.x reorg</t>
  </si>
  <si>
    <t>% of overall SKUs needing reorg per day</t>
  </si>
  <si>
    <t># of SKUs needing reorg per day</t>
  </si>
  <si>
    <t># of receiving hours</t>
  </si>
  <si>
    <t>SKU reorg</t>
  </si>
  <si>
    <t>`</t>
  </si>
  <si>
    <t>% of trays undergoing reorg with SKU that need reorg</t>
  </si>
  <si>
    <t># of SKUs in trays needing reorg</t>
  </si>
  <si>
    <t># of trays needing reorg per minute</t>
  </si>
  <si>
    <t># of trays in tray stack</t>
  </si>
  <si>
    <t>Reorg</t>
  </si>
  <si>
    <t>Trayframe</t>
  </si>
  <si>
    <t>Beta 1a</t>
  </si>
  <si>
    <t>HDS # 1</t>
  </si>
  <si>
    <t>release</t>
  </si>
  <si>
    <t>Color</t>
  </si>
  <si>
    <t>Flow color</t>
  </si>
  <si>
    <t>Arrowhead color</t>
  </si>
  <si>
    <t>rgb(199,227,114)</t>
  </si>
  <si>
    <t>rgb(255,199,1)</t>
  </si>
  <si>
    <t>rgb(239,90,104)</t>
  </si>
  <si>
    <t>rgb(154,208,220)</t>
  </si>
  <si>
    <t>rgb(212,221,218)</t>
  </si>
  <si>
    <t>rgb(62,172,171)</t>
  </si>
  <si>
    <t>rgb(194,220,188)</t>
  </si>
  <si>
    <t>rgb(162,212,171)</t>
  </si>
  <si>
    <t>rgb(113,190,138)</t>
  </si>
  <si>
    <t>Destacking</t>
  </si>
  <si>
    <t>Comments</t>
  </si>
  <si>
    <t>*Tray represents a set of trayframe with compartment(s)</t>
  </si>
  <si>
    <t>Inventory trays show up on mobile robot as stacks. The MR is able to bring in 2 stacks of upto 4 trays each.</t>
  </si>
  <si>
    <t>The inventory trays get conveyed for destacking operations</t>
  </si>
  <si>
    <t>Once destacked, the singulated inventory trays make their way towards the IO connector</t>
  </si>
  <si>
    <t>The inventory trays next get transferred onto the main connector</t>
  </si>
  <si>
    <t>Some inventory head straight towards the pick cell and others could diverted towards manual stations</t>
  </si>
  <si>
    <t>These are the trays which are suitable for robotic picking</t>
  </si>
  <si>
    <t>The trays get placed in the cache locations or immediately consumed for orders that are waiting on the SKUs that just arrived</t>
  </si>
  <si>
    <t>Tray configuration</t>
  </si>
  <si>
    <t>with 1.x compartments</t>
  </si>
  <si>
    <t>with non 1.x compartments</t>
  </si>
  <si>
    <t>Once one of the compartments in a tray becomes empty, it may be directed out of the cell. Alternatively this could also happen if the tray isn't seen to be consumed in the near term or if the SKU is needed in the manual stations</t>
  </si>
  <si>
    <t>The trays may get conveyed to the mainline for transportation to another pick cell. Most of the times though, they'll head towards the main connector</t>
  </si>
  <si>
    <t>Trays have the option to now go back towards the traymaker for reorganization, fill-up, back to the tray storage for slow movers or the manual stations depending on the orders and situation</t>
  </si>
  <si>
    <t>If the inventory trays need to be shuffled or made to wait for other trays which are not quite available immediately, they head towards the shuffler cells where they wait to get combined with other appropriate trays.</t>
  </si>
  <si>
    <t>Once the trays are shuffled in the required order, they are ready to be released back to the main connector in sequence</t>
  </si>
  <si>
    <t>Trays coming out of the main connector are then conveyed back to the IO connector</t>
  </si>
  <si>
    <t>Stack the trays up depending on the destination- tray storage, or the receiving area</t>
  </si>
  <si>
    <t>Convey the stacks back to the stack handler for their outbound journey</t>
  </si>
  <si>
    <t>Transfer the stacks of trays back to an outbound MR, ideally 2 stacks at a time</t>
  </si>
  <si>
    <t>We will plan on keeping SKUs that need manual picking/packaging together - meaning the trays will tend to have all such SKUs together. This strategy will ensure minimal movement of such trays between manual and automated packaging lines</t>
  </si>
  <si>
    <t xml:space="preserve">For operations that need services that are more than just manual pick and place, like gift wrapping or kitting like steps, operators will move inventory trays from the manual pack cell onto their VAS station. </t>
  </si>
  <si>
    <t>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t>
  </si>
  <si>
    <t>Assuming that the tray with inventory has been used for the purposes of manual picking and packaging into the tote, it can be sent back to the main connector for return</t>
  </si>
  <si>
    <t>The empty tray is sent to the tote in cell where it is combined with the empty tote coming from the tote erector cell</t>
  </si>
  <si>
    <t>Once the tray with the tote is assembled, it is conveyed to the IO connector to eventually reach the pick cell</t>
  </si>
  <si>
    <t>After the manual packing of the tote is completed at a manual pack station, the tote and tray need to be separated. This process starts by conveying those trays to the tote out cell</t>
  </si>
  <si>
    <t>The empty tray is now sent back to the IO connector for eventual induction back to the buffer</t>
  </si>
  <si>
    <t>break</t>
  </si>
  <si>
    <t>GoJS without long</t>
  </si>
  <si>
    <t>Each</t>
  </si>
  <si>
    <t>Varies</t>
  </si>
  <si>
    <t>None</t>
  </si>
  <si>
    <t>Pick cell</t>
  </si>
  <si>
    <t>Autopack pod disabled</t>
  </si>
  <si>
    <t>Starting sequence</t>
  </si>
  <si>
    <t>Tray-KD</t>
  </si>
  <si>
    <t>Tray-inventory</t>
  </si>
  <si>
    <t>Tote-KD</t>
  </si>
  <si>
    <t>KD totes show up on mobile robot as stacks. The MR is able to bring in 2 stacks of upto 6 totes each.</t>
  </si>
  <si>
    <t>Stacks of KD totes are conveyed onto the empties connector. They don't need to be destacked because the tote erectors also have destacking capabilities</t>
  </si>
  <si>
    <t>KD totes are then buffered on buffer lanes</t>
  </si>
  <si>
    <t>An order fulfilment triggers a certain # of totes to be released from the buffer towards the empties connector for conveyance to the tote erector</t>
  </si>
  <si>
    <t>The stack of KD tote is pushed towards the tote erector</t>
  </si>
  <si>
    <t>The erected singulated totes are conveyed back to the empties connector</t>
  </si>
  <si>
    <t>The erected totes now merge into the outbound lane from destacking operations for eventual merge into the IO connector</t>
  </si>
  <si>
    <t>The singulated totes move onto the IO connector</t>
  </si>
  <si>
    <t>The main connector received singulated totes for processing into an appropriate outlet- mainline where most of the totes will head or manual pack</t>
  </si>
  <si>
    <t>The majority of totes will move towards the mainline for robotic picking and placement of goods</t>
  </si>
  <si>
    <t>The totes move to different pick cells in the order in which items needs to be placed on the totes bottoms up</t>
  </si>
  <si>
    <t>The handlers transfer totes as required into the autopack pod place positions in the appropriate sequence</t>
  </si>
  <si>
    <t>Once the item is placed into the totes, its moved to the handler for transportation to either the next picking cell or back to the main connector</t>
  </si>
  <si>
    <t>Once the items relevant to a pick cell are placed into the totes, it is moved to the handler for transportation to either the next picking cell or back to the main connector</t>
  </si>
  <si>
    <t>After all the items that can be robotically picked and placed in a tote, are put or the tote is full, the tote is sent back to the main connector. Here one of two things can happen. It can go to a manual pack station for certain line items or conveyed towards outbound cells</t>
  </si>
  <si>
    <t>The move to the shuffling cells helps with the sequencing of totes in a certain order as required by outbound operations including stack forming and transportation by a MR</t>
  </si>
  <si>
    <t>Once shuffled to the right sequence, the series of totes head back to the main connector</t>
  </si>
  <si>
    <t>The filled totes now move to the IO connector for subsequent operations</t>
  </si>
  <si>
    <t>For tottes which are complete, they move on to the tote closer for closing the tote</t>
  </si>
  <si>
    <t>After the tote is closed, it is sent back to the IO connector for further processing towards outbound</t>
  </si>
  <si>
    <t>Totes are sent to the stacker for stacking operations with similar outbound destinations</t>
  </si>
  <si>
    <t>Stacks of totes move on to the stack handler for transfer to MR</t>
  </si>
  <si>
    <t>The stacks of totes are placed for transportation by MRs towards outbound and load</t>
  </si>
  <si>
    <t>Some totes will need manual packing operations and thus this movement</t>
  </si>
  <si>
    <t>If the totes requires an item that involves VAS like giftwrapping, the tote is transferred to the VAS station</t>
  </si>
  <si>
    <t>Once the VAS is administered on the tote, it is transferred back to the main connector</t>
  </si>
  <si>
    <t>After manual packaging finishes, the tote is sent back to the IO connector from manual pack</t>
  </si>
  <si>
    <t>Once the tote is out of the tray, it is conveyed towards outbound operations through the IO connector</t>
  </si>
  <si>
    <t>A percentage of totes which need manual packing are combined with 1.m trays in the cell</t>
  </si>
  <si>
    <t>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t>
  </si>
  <si>
    <t>Empty 1.m trays go back to the empties conenector to buffer for the next set of tote in orders</t>
  </si>
  <si>
    <t>Empty 1.m trays finally reach the buffer wait to be summoned again for an appropriate order</t>
  </si>
  <si>
    <t>Move the totes in tray from the main connector to the manual pack</t>
  </si>
  <si>
    <t>After manual packaging finishes, the tray and tote in it are brough back to the main connector</t>
  </si>
  <si>
    <t>KD stack of 1.m trays then need to go through the inbound of the tote erector as a pass through operation</t>
  </si>
  <si>
    <t>The stack of empty KD 1.m trays then reaches the tray erector to be erected as well as singulated</t>
  </si>
  <si>
    <t>Empty 1.m trays go through stacking operations. They get there in order to get to the buffer for the next set of totes requiring tote in operations</t>
  </si>
  <si>
    <t>1.m trays move to the IO connector for tote out operations</t>
  </si>
  <si>
    <t>Cart</t>
  </si>
  <si>
    <t>A certain percentage of large items which can fit into totes will come to the manual pack via a LiteIO module configuration which has an MR pad.</t>
  </si>
  <si>
    <t>Large</t>
  </si>
  <si>
    <t>Cart-Large</t>
  </si>
  <si>
    <t>Once the large item is manually placed in a tote, the cart is sent back to parking- long or short term depending on the work  sequence</t>
  </si>
  <si>
    <t xml:space="preserve">rgb(144,166,248) </t>
  </si>
  <si>
    <t>% of large items that can fit in totes</t>
  </si>
  <si>
    <t>% of large items in each tote</t>
  </si>
  <si>
    <t>rgb(12,172,171)</t>
  </si>
  <si>
    <t xml:space="preserve">Autopack pod </t>
  </si>
  <si>
    <t>Avg. # of empty non 1.x compartments per tray</t>
  </si>
  <si>
    <t>% of trays needing shuffling</t>
  </si>
  <si>
    <t>Compartment, Casepack</t>
  </si>
  <si>
    <t>Pallets are brought into receiving from the inbound dock or pallet storage area via PMRs. Each PMR is capable of transporting 1 pallet at a time..</t>
  </si>
  <si>
    <t>Pallets are conveyed from the pallet handler after being handed off by the PMR into the depalletizer cell which has the ability to  present 1 pallet at a time to operators working at an elevated platform</t>
  </si>
  <si>
    <t>Operators process layers of pallets and pass along cases of product to the next steps in the process</t>
  </si>
  <si>
    <t>A high percentage of SKUs that get sold as casepacks will be directed to the case receiving backend cell for automated induction into trays</t>
  </si>
  <si>
    <t>Casepacks in trays are then passed along to the manual receiving backend cell via the lower lane</t>
  </si>
  <si>
    <t>The remaining cases use the passthrough lane to come to the manual receiving frontend cell</t>
  </si>
  <si>
    <t>SKUs that need to be decanted into individual compartments show up in the manual receiving backend cell as cases where the operator unloads them into system recommended containers. This cell also has the ability to process SKUs that arrive via carts or manual jacks</t>
  </si>
  <si>
    <t>This flow represents casepacks that need manual assistance for being transferred into trays</t>
  </si>
  <si>
    <t>SKUs that get decanted into non 1.x containers will need to eventually go to the traymaker for being combined into viable trays</t>
  </si>
  <si>
    <t>This flow represents 1.x compartments which bypass the traymaking process</t>
  </si>
  <si>
    <t>This the flow which is inherited from the upstream process of automated casepack receiving cell</t>
  </si>
  <si>
    <t>Non 1.x containers and their contents are being verified for accuracy using scales</t>
  </si>
  <si>
    <t>1.x containers and their contents are being verified for accuracy using scales</t>
  </si>
  <si>
    <t>Trays with casepacks and their contents are being verified for accuracy using scales</t>
  </si>
  <si>
    <t>Non 1.x containers which need to be constituted into appropriate tray configuration head towards the traymaker using the outfeed lane of the inbound connector cell</t>
  </si>
  <si>
    <t>This flow of empty traystacks will be used to receive casepacks</t>
  </si>
  <si>
    <t>Stacks of empty 1.x trays are brought in to receive appropriate SKUs</t>
  </si>
  <si>
    <t>Stacks of partial trays housing non 1.x compartments, with one or more empty compartments heading for reprocessing using the traymaker.</t>
  </si>
  <si>
    <t>Represents flow of stacks of trays with non 1.x compartments that need SKU reorganization</t>
  </si>
  <si>
    <t>Empty traystacks for casepacks are sent for destacking</t>
  </si>
  <si>
    <t>Empty 1.x traystacks are directed towards destacking</t>
  </si>
  <si>
    <t>Partial non 1.x traystacks are moved towards destacking</t>
  </si>
  <si>
    <t>Non 1.x traystacks needed reorganization are conveyed for destacking operations</t>
  </si>
  <si>
    <t>Empty singulated trays for housing casepacks head towards traybreaker</t>
  </si>
  <si>
    <t>Empty 1.x  singulated trays head towards traybreaking</t>
  </si>
  <si>
    <t>Partial singulated trays with empty non 1.x compartments head towards traybreaker</t>
  </si>
  <si>
    <t>Singulated trays with non 1.x compartments needing reorganization head towards the traybreaker</t>
  </si>
  <si>
    <t>Assuming that casepacks are housed in trayframes, the trayframes head towards the inbound connector to be matched with the corresponding casepacks</t>
  </si>
  <si>
    <t>There is nothing specific that happens to the 1.x trays via the traybreaker cell and so they just pass through to the inbound connector</t>
  </si>
  <si>
    <t>The trayframes get separated from the non 1.x compartments needing reorganization and both are directed towards the inbound connector</t>
  </si>
  <si>
    <t>The trayframes get separated from the non 1.x compartments, some of which might be empty and both are directed towards the inbound connector</t>
  </si>
  <si>
    <t>The empty trayframes required to contain the casepacks head from the master dispenser to the case receiving backend</t>
  </si>
  <si>
    <t>After traybreaking, empty trayframes move from spur3 in the traybreaker cell to the inbound connector</t>
  </si>
  <si>
    <t>This represents the non empty compartments which need to go back to the traymaking process for reconstitution with other compartments</t>
  </si>
  <si>
    <t>A certain number of trayframes will now be directed from the inbound connector to the traymaker- this will be used to house the newly formed trays after the traymaking process</t>
  </si>
  <si>
    <t>As new trays are made at the traymaker, they move to the outbound connector</t>
  </si>
  <si>
    <t>1.x compartments don't need to go through the process of traymaking and hence these flow directly from the inbound to the outbound connector</t>
  </si>
  <si>
    <t>Casepacks in trays also need not go through the traymaking process. They directly flow from the inbound to the outbound connector</t>
  </si>
  <si>
    <t>Everything flowing in the outbound connector will have the option to go through the shuffler (currently assumed at 30% of the times) for the purposes of creating appropriate stacks for eventual transportation via MR</t>
  </si>
  <si>
    <t>Represents the flow which goes to the shuffler for sequencing purposes and its eventual return back to the outbound connector</t>
  </si>
  <si>
    <t>All the trays going through the outbound connector finally go through stacking operations for the creation of stacks</t>
  </si>
  <si>
    <t>Outbound stacks of trays now move from the stacker to the stack handler for transportation to an appropriate destination</t>
  </si>
  <si>
    <t>Assignment of stacks to an MR happens at this step</t>
  </si>
  <si>
    <t>Empty 1.x compartments get directed from the inbound connector to the lower buffer lanes in the manual receiving backend for eventual fulfilment purposes</t>
  </si>
  <si>
    <t>The empty 1.x compartments flow from the manual receiving backend lower buffer lanes to the ones in the case receiving backend cell</t>
  </si>
  <si>
    <t>Empty non 1.x compartments get directed from the inbound connector to the upper buffer lanes in the manual receiving backend for eventual fulfilment purposes</t>
  </si>
  <si>
    <t>Empty non 1.x compartments then flow from upper buffer lanes in the manual receiving backend to the case receiving backend cell</t>
  </si>
  <si>
    <t>Empty 1.x compartments then flow on to the master dispenser cell</t>
  </si>
  <si>
    <t>Empty non 1.x compartments then flow on to the master dispenser cell</t>
  </si>
  <si>
    <t xml:space="preserve">A low percentage of empty trayframes that do not get consumed at the case receiving backend flow into the manual receiving backend cell for manual processing </t>
  </si>
  <si>
    <t>Non 1.x compartments from upper infeed to the upper outfeed via the upper transfer lane in the master dispenser towards the case receiving backend cell</t>
  </si>
  <si>
    <t>The empty non 1.x compartments go on to the appropriate manual receiving backend cell for providing them as an input to the manual decanting process involving the storing of product within the assigned compartment</t>
  </si>
  <si>
    <t>Total # of trays in the facility</t>
  </si>
  <si>
    <t>Total # of compartments in the facility</t>
  </si>
  <si>
    <t>Changed on 03/22 based on Dave's catch. Reorg trays wont have empty compartments, so the formula needed to be adjusted for that</t>
  </si>
  <si>
    <t># of trays to be washed per min</t>
  </si>
  <si>
    <t># of compartments to be washed per min</t>
  </si>
  <si>
    <t>Compartment and tray washing frequency (every x refills)</t>
  </si>
  <si>
    <t>Trays will need to be washed once every x refills, so they get diverted to the Prep cell for the same</t>
  </si>
  <si>
    <t>1.x compartments will need to be washed once every x refills, so they get diverted to the Prep cell for the same</t>
  </si>
  <si>
    <t>Non 1.x compartments will need to be washed once every x refills, so they get diverted to the Prep cell for the same</t>
  </si>
  <si>
    <t>The prep operator is responsible to take the trayframe from the traybreaker infeed lane to the infeed of the prep cell</t>
  </si>
  <si>
    <t>The prep operator is responsible to take the 1.x compartment from the traybreaker infeed lane to the infeed of the prep cell</t>
  </si>
  <si>
    <t>The prep operator is responsible to take the non 1.x compartment from the traybreaker infeed lane to the infeed of the prep cell</t>
  </si>
  <si>
    <t>The prep operator is responsible to take the cleaned up trayframe from the tray wash outfeed lane back to the prep cell for induction into receiving</t>
  </si>
  <si>
    <t>The prep operator is responsible to take the cleaned up 1.x compartment from the tray wash outfeed lane back to the prep cell for induction into receiving</t>
  </si>
  <si>
    <t>The prep operator is responsible to take the cleaned up non 1.x compartment from the tray wash outfeed lane back to the prep cell for induction into receiving</t>
  </si>
  <si>
    <t>The cleaned up trayframe is sent back to the inbound connector</t>
  </si>
  <si>
    <t>The cleaned up 1.x compartment is sent back to the inbound connector</t>
  </si>
  <si>
    <t>The cleaned up non 1.x compartment is sent back to the inbound connector</t>
  </si>
  <si>
    <t>A certain portion of all flows (trays with cases, trays of 1.x compartments and trays containing non 1.x compartments) will fail the weight check and will need an manual intervention by the prep operator. It could be a system override needed because item induction wasn't done properly or the # of items recorded in the previous manual step was incorrect. Once corrected, the prep cell will send the tray back to the inbound connector for planned processing</t>
  </si>
  <si>
    <t># of containers that fail the weight test at prep</t>
  </si>
  <si>
    <t>11/03/2019: Reduce it from 20 to 15 (2 shifts)</t>
  </si>
  <si>
    <t>11/03/2019: Reduce it from 14 to 11 (7am-8pm)</t>
  </si>
  <si>
    <t>11/03/2019: Changed from 3.5 to 3 totes since the items have reduced from 35 to 25</t>
  </si>
  <si>
    <t>11/03/2019: Changed from 25 to 20 totes since the items have reduced from 35 to 25</t>
  </si>
  <si>
    <t># of SKU hits per tray for order fulfillment</t>
  </si>
  <si>
    <t>Units to Line items ratio</t>
  </si>
  <si>
    <t>Inventory trays</t>
  </si>
  <si>
    <t xml:space="preserve">Flags, OEM </t>
  </si>
  <si>
    <t>Costing</t>
  </si>
  <si>
    <t>Beta Plan</t>
  </si>
  <si>
    <t>Do not erase this data.  It is used to populate the Beta Reporting tab.</t>
  </si>
  <si>
    <t>Cost estimate</t>
  </si>
  <si>
    <t>Drop ship $ (excluding controls)</t>
  </si>
  <si>
    <t>Average installation (20th FC)</t>
  </si>
  <si>
    <t>OEM Lead --&gt;</t>
  </si>
  <si>
    <t>Module --&gt;</t>
  </si>
  <si>
    <t>Trayxl</t>
  </si>
  <si>
    <t>"'</t>
  </si>
  <si>
    <t>Total Quantity</t>
  </si>
  <si>
    <t>Supplier</t>
  </si>
  <si>
    <t>HDS team member</t>
  </si>
  <si>
    <t>Sizing cell *</t>
  </si>
  <si>
    <t>HDS only**</t>
  </si>
  <si>
    <t>Modular</t>
  </si>
  <si>
    <t>Risk (1-4)</t>
  </si>
  <si>
    <t>At launch</t>
  </si>
  <si>
    <t>Major cell</t>
  </si>
  <si>
    <t>1 st FC</t>
  </si>
  <si>
    <t>10 FCs /year</t>
  </si>
  <si>
    <t>50 FCs /year</t>
  </si>
  <si>
    <t>Qty</t>
  </si>
  <si>
    <t>Extension</t>
  </si>
  <si>
    <t>Net extension</t>
  </si>
  <si>
    <t>NRE</t>
  </si>
  <si>
    <t>Unit cost</t>
  </si>
  <si>
    <t>Version --&gt;</t>
  </si>
  <si>
    <t>1a</t>
  </si>
  <si>
    <t>Status</t>
  </si>
  <si>
    <t>1b</t>
  </si>
  <si>
    <t>2 FC</t>
  </si>
  <si>
    <t>OEM Lead</t>
  </si>
  <si>
    <t>Committed (or very likely)</t>
  </si>
  <si>
    <t>Expanded Scope</t>
  </si>
  <si>
    <t>1st</t>
  </si>
  <si>
    <t>2nd</t>
  </si>
  <si>
    <t>HDS-only</t>
  </si>
  <si>
    <t>Racking</t>
  </si>
  <si>
    <t>Not started</t>
  </si>
  <si>
    <t>* sizing cell - buffer cell has a value of 2, one for pack module and one for load module</t>
  </si>
  <si>
    <t xml:space="preserve">**     If the module is RPP but a cell in it is HDS-only it is noted here. </t>
  </si>
  <si>
    <t>Reduction</t>
  </si>
  <si>
    <t xml:space="preserve"> If the module is HDS only (Col. D), that it is HDS-only is not noted in Col. J</t>
  </si>
  <si>
    <t>As % of cost</t>
  </si>
  <si>
    <t xml:space="preserve">Design in process </t>
  </si>
  <si>
    <t>Freezer</t>
  </si>
  <si>
    <t>FZ</t>
  </si>
  <si>
    <t>Storage calculations</t>
  </si>
  <si>
    <t>Per cell</t>
  </si>
  <si>
    <t>Pos. ave.</t>
  </si>
  <si>
    <t>Columns</t>
  </si>
  <si>
    <t>Depth</t>
  </si>
  <si>
    <t>Rows</t>
  </si>
  <si>
    <t>Positions</t>
  </si>
  <si>
    <t>Installation</t>
  </si>
  <si>
    <t>Instructions</t>
  </si>
  <si>
    <t>Add a cell</t>
  </si>
  <si>
    <t>Insert row in the table but do not use the last row.</t>
  </si>
  <si>
    <t>Fill out all of the columns with the correseponding information required.</t>
  </si>
  <si>
    <t>Unhide column F and copy the formula in that column into the new row.</t>
  </si>
  <si>
    <t>Hide column F</t>
  </si>
  <si>
    <t>Make sure to update other tabs accordingly that might be affected.</t>
  </si>
  <si>
    <t>Legend</t>
  </si>
  <si>
    <t>Sizing cell</t>
  </si>
  <si>
    <t>Sizing</t>
  </si>
  <si>
    <t>Configured</t>
  </si>
  <si>
    <t>Undersized</t>
  </si>
  <si>
    <t>Oversized</t>
  </si>
  <si>
    <t>Module #</t>
  </si>
  <si>
    <t>TA 1</t>
  </si>
  <si>
    <t>Quantity</t>
  </si>
  <si>
    <t>Cell/subcells</t>
  </si>
  <si>
    <t>This is the best guess at this point; once you have a layout I'll update the distances to recalculate this #</t>
  </si>
  <si>
    <t>MR chargers as % of MRs</t>
  </si>
  <si>
    <t>PMR chargers as % of PMRs</t>
  </si>
  <si>
    <t>Forklift chargers as % of forklifts</t>
  </si>
  <si>
    <t>Pallet jack chargers as % of pallet jacks</t>
  </si>
  <si>
    <t>RV 1</t>
  </si>
  <si>
    <t>TS 1</t>
  </si>
  <si>
    <t>Oversizing to account for higher than required tray rate- MFD vs this excel file; transaction rate per hour 12x144=1730</t>
  </si>
  <si>
    <t>Racks per row</t>
  </si>
  <si>
    <t>Totals</t>
  </si>
  <si>
    <t>Total racks per module</t>
  </si>
  <si>
    <t>Total for this configuration</t>
  </si>
  <si>
    <t>Total racks for this scenario</t>
  </si>
  <si>
    <t>12 roboframes, each having access to 11 racks on each side</t>
  </si>
  <si>
    <t>CS 1</t>
  </si>
  <si>
    <t>CS2</t>
  </si>
  <si>
    <t>CS1</t>
  </si>
  <si>
    <t>CS3</t>
  </si>
  <si>
    <t>Aisles</t>
  </si>
  <si>
    <t>Length</t>
  </si>
  <si>
    <t>Total position per module</t>
  </si>
  <si>
    <t>Please feel free to change the quantities, aisles and length as is appropriate per the remaining space in the layout</t>
  </si>
  <si>
    <t>PS 1</t>
  </si>
  <si>
    <t>Total 4D racks per module</t>
  </si>
  <si>
    <t>We need to plan for 51 + 17 = 68 racks. 17 racks correspond to oversize items which will get stored in pallet storage area</t>
  </si>
  <si>
    <t>Reserve forklift</t>
  </si>
  <si>
    <t>1 forklift for 2 aisles</t>
  </si>
  <si>
    <t>Pack module</t>
  </si>
  <si>
    <t>PA 1</t>
  </si>
  <si>
    <t>Oversized a bit to keep it symmetrical between manual pack and VAS</t>
  </si>
  <si>
    <t>TX 1</t>
  </si>
  <si>
    <t>Qty for shipping dock</t>
  </si>
  <si>
    <t>For pallet building and transportation lane specific loading</t>
  </si>
  <si>
    <t>Qty for small parcel sort</t>
  </si>
  <si>
    <t>Qty for casepack labeling</t>
  </si>
  <si>
    <t>1 automated casepack labeling machine would be enough to meet the needs</t>
  </si>
  <si>
    <t>Qty for packaging</t>
  </si>
  <si>
    <t>Based on the need for 6 semi-automated packaging machines; needs to output 60 cartons per minute; each machine has a 6 second cycle time</t>
  </si>
  <si>
    <t>LiteIO (1 pallet handler)</t>
  </si>
  <si>
    <t>LI 1</t>
  </si>
  <si>
    <t>Qty for pallet storage</t>
  </si>
  <si>
    <t>Qty for receiving dock</t>
  </si>
  <si>
    <t>LiteIO (1 MR position)</t>
  </si>
  <si>
    <t>Qty for pack</t>
  </si>
  <si>
    <t>One per manual pack station</t>
  </si>
  <si>
    <t>Qty for OB</t>
  </si>
  <si>
    <t>Qty for boxing</t>
  </si>
  <si>
    <t>One per packaging/boxing station for large items</t>
  </si>
  <si>
    <t>MR Pad</t>
  </si>
  <si>
    <t>LiteIO (1 Pallet station &amp; 1 MR position)</t>
  </si>
  <si>
    <t>Standalone</t>
  </si>
  <si>
    <t>W manual boxing station 1</t>
  </si>
  <si>
    <t>W semi-automated boxing station 1</t>
  </si>
  <si>
    <t>OS 1</t>
  </si>
  <si>
    <t>Total oversize racks per module</t>
  </si>
  <si>
    <t>We're not going with the original sizing calculation since 67% of oversize will be part of pallet storage itself</t>
  </si>
  <si>
    <t>Assuming that 1 should be enough to serve the 33 racks</t>
  </si>
  <si>
    <t>To add later</t>
  </si>
  <si>
    <t>LiteIO (other configs)</t>
  </si>
  <si>
    <t>Trays (with RFID tag)</t>
  </si>
  <si>
    <t>IT, RFID</t>
  </si>
  <si>
    <t>Carts (with RFID tag)</t>
  </si>
  <si>
    <t>A_4D rack</t>
  </si>
  <si>
    <t>A_Inbound dock</t>
  </si>
  <si>
    <t>Launch 1.0</t>
  </si>
  <si>
    <t>C_Inbound dock</t>
  </si>
  <si>
    <t>C_4D rack</t>
  </si>
  <si>
    <t>C_Shuffler</t>
  </si>
  <si>
    <t>C_Stack handler</t>
  </si>
  <si>
    <t>C_Master dispenser</t>
  </si>
  <si>
    <t>C_Manual receiving frontend</t>
  </si>
  <si>
    <t>C_Manual receiving backend</t>
  </si>
  <si>
    <t>C_Traybreaker</t>
  </si>
  <si>
    <t>C_Inbound connector</t>
  </si>
  <si>
    <t>C_Traymaker</t>
  </si>
  <si>
    <t>C_Tray wash</t>
  </si>
  <si>
    <t>C_Lite IO (PMR position)</t>
  </si>
  <si>
    <t>C_Stacker (stacking)</t>
  </si>
  <si>
    <t>C_Stacker (destacking)</t>
  </si>
  <si>
    <t>C_Lite IO (MR pad)</t>
  </si>
  <si>
    <t>F_Shelves</t>
  </si>
  <si>
    <t>Launch 1.1</t>
  </si>
  <si>
    <t>Launch 1.2</t>
  </si>
  <si>
    <t>Launch 1.3</t>
  </si>
  <si>
    <t>Launch 1.4</t>
  </si>
  <si>
    <t>Launch 1.5</t>
  </si>
  <si>
    <t>Launch 1.6</t>
  </si>
  <si>
    <t>Launch 1.7</t>
  </si>
  <si>
    <t>Launch 1.8</t>
  </si>
  <si>
    <t>Launch 1.9</t>
  </si>
  <si>
    <t>Cool</t>
  </si>
  <si>
    <t>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t>
  </si>
  <si>
    <t>Average pallets per day</t>
  </si>
  <si>
    <t>New assumptions for Launch 1.0</t>
  </si>
  <si>
    <t>% of ambient SKUs that need pallet storage</t>
  </si>
  <si>
    <t>% of chilled SKUs that need pallet storage</t>
  </si>
  <si>
    <t>Average days of hand for Ambient SKUs</t>
  </si>
  <si>
    <t>Average days of hand for Chilled SKUs</t>
  </si>
  <si>
    <t>Ambient SKUs - receiving rate per minute</t>
  </si>
  <si>
    <t>Chilled SKUs- receiving rate per minute</t>
  </si>
  <si>
    <t>A certain portion of pallets are taken directly from the dock to the receiving stations</t>
  </si>
  <si>
    <t>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t>
  </si>
  <si>
    <t>Pallets which are sent to the 4D rack temporarily and brought back to the PMR position in the receiving area as time permits. Other than that some of the chilled SKUs will end up being in pallets</t>
  </si>
  <si>
    <t>Pallets which are sent to the 4D rack temporarily and brought back to the PMR position in the receiving area as time permits. Other than that some of the ambient SKUs will end up being in pallets</t>
  </si>
  <si>
    <t>Manual operator receives individual items into compartments of appropriate sizes</t>
  </si>
  <si>
    <t>Peak pallets per hour</t>
  </si>
  <si>
    <t>Peak pallets per minute</t>
  </si>
  <si>
    <t># of eaches per Chilled pallet</t>
  </si>
  <si>
    <t># of eaches per Ambient pallet</t>
  </si>
  <si>
    <t># of eaches per compartment</t>
  </si>
  <si>
    <t>Compartments move from the frontend to the backend of the receiving cell to merge with the outfeed lane</t>
  </si>
  <si>
    <t>Compartments use the outfeed of the manual receiving cell to reach the receiving conector to get split into 1.x and non 1.x's for appropriate diverts to the traymaker</t>
  </si>
  <si>
    <t>C_Outbound connector</t>
  </si>
  <si>
    <t>Only the non 1.x compartments go to the traymaker</t>
  </si>
  <si>
    <t>% of non 1.x compartments</t>
  </si>
  <si>
    <t># of compartments per tray in non 1.x tray</t>
  </si>
  <si>
    <t>The 1.x trays directly go from inbound to outbound connector</t>
  </si>
  <si>
    <t>All inventory trays head towards the stacker for stacking</t>
  </si>
  <si>
    <t>Inventory trays get stacked and then head towards the stack handler to be transferred onto a MR</t>
  </si>
  <si>
    <t>A_TS_Rack</t>
  </si>
  <si>
    <t>C_TS_Rack</t>
  </si>
  <si>
    <t>A_MPP_TrayXL</t>
  </si>
  <si>
    <t>A_MPP_Putwall</t>
  </si>
  <si>
    <t>A_MPP_Tote cart</t>
  </si>
  <si>
    <t>C_MPP_TrayXL</t>
  </si>
  <si>
    <t>C_MPP_Putwall</t>
  </si>
  <si>
    <t>C_MPP_Tote cart</t>
  </si>
  <si>
    <t>A_CS_Cart position</t>
  </si>
  <si>
    <t>A_OS_Oversize rack</t>
  </si>
  <si>
    <t>C_Stack hander</t>
  </si>
  <si>
    <t>Chilled SKUs go to the tray storage in the chilled section</t>
  </si>
  <si>
    <t>Ambient SKUs go to the tray storage in the chilled section</t>
  </si>
  <si>
    <t>Sales split between ambient and chilled</t>
  </si>
  <si>
    <t>Chilled SKUs are retrieved from the chilled tray storage to the manual pick pack TrayXL interface</t>
  </si>
  <si>
    <t>Ambient SKUs are retrieved from the ambient tray storage to the manual pick pack TrayXL interface</t>
  </si>
  <si>
    <t># of trays per stack out of tray storage for packing</t>
  </si>
  <si>
    <t># of trays per stack out of receiving</t>
  </si>
  <si>
    <t># of ambient inventory trays required at MPP per minute</t>
  </si>
  <si>
    <t># of chilled inventory trays required at MPP per minute</t>
  </si>
  <si>
    <t>Item</t>
  </si>
  <si>
    <t>Eaches</t>
  </si>
  <si>
    <t>PW cubby</t>
  </si>
  <si>
    <t>Once a cubby has all the required eaches associated with a particular order tote, the operator takes the cubby from the putwall location and assembles the items nicely into an order tote close to their workstation</t>
  </si>
  <si>
    <t>Manual operator singulates eaches from the chilled inventory tray as he/she destacks them and transfer them into a cubby on the putwall. There is a 1:1 association between a cubby and an order tote</t>
  </si>
  <si>
    <t>Manual operator singulates eaches from the ambit inventory tray as he/she destacks them and transfer them into a cubby on the putwall. There is a 1:1 association between a cubby and an order tote</t>
  </si>
  <si>
    <t>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t>
  </si>
  <si>
    <t>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t>
  </si>
  <si>
    <t>Units per tote - Ambient</t>
  </si>
  <si>
    <t>Units per tote - Chilled</t>
  </si>
  <si>
    <t>Units per tote - Frozen</t>
  </si>
  <si>
    <t># of order totes in tote cart</t>
  </si>
  <si>
    <t>Tote cart</t>
  </si>
  <si>
    <t>Once a van rack is completed - meaning it has all the order totes associated with orders which are part of the van route, it is loaded into a van and dispatched to the route for delivery</t>
  </si>
  <si>
    <t># of order totes in one order</t>
  </si>
  <si>
    <t># of orders in one van rack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</si>
</sst>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 #,##0_);_(* \(#,##0\);_(* &quot;-&quot;??_);_(@_)"/>
    <numFmt numFmtId="165" formatCode="_(* #,##0.0_);_(* \(#,##0.0\);_(* &quot;-&quot;??_);_(@_)"/>
    <numFmt numFmtId="166" formatCode="0.00_)"/>
    <numFmt numFmtId="167" formatCode="0.0%"/>
    <numFmt numFmtId="168" formatCode="&quot;$&quot;#,##0"/>
    <numFmt numFmtId="169" formatCode="_(&quot;$&quot;* #,##0_);_(&quot;$&quot;* \(#,##0\);_(&quot;$&quot;* &quot;-&quot;??_);_(@_)"/>
    <numFmt numFmtId="170" formatCode="0.000%"/>
  </numFmts>
  <fonts count="34">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Calibri"/>
      <family val="2"/>
    </font>
    <font>
      <sz val="12"/>
      <color theme="1"/>
      <name val="Arial"/>
      <family val="2"/>
    </font>
    <font>
      <sz val="12"/>
      <color theme="1"/>
      <name val="Calibri"/>
      <family val="2"/>
      <charset val="128"/>
      <scheme val="minor"/>
    </font>
    <font>
      <sz val="10"/>
      <name val="MS Sans Serif"/>
      <family val="2"/>
    </font>
    <font>
      <sz val="11"/>
      <color theme="1"/>
      <name val="Calibri"/>
      <family val="2"/>
      <scheme val="minor"/>
    </font>
    <font>
      <b/>
      <sz val="8"/>
      <name val="Arial"/>
      <family val="2"/>
    </font>
    <font>
      <sz val="10"/>
      <name val="Arial"/>
      <family val="2"/>
    </font>
    <font>
      <sz val="12"/>
      <name val="Arial"/>
      <family val="2"/>
    </font>
    <font>
      <sz val="12"/>
      <color indexed="8"/>
      <name val="Arial"/>
      <family val="2"/>
    </font>
    <font>
      <sz val="8"/>
      <name val="Arial"/>
      <family val="2"/>
    </font>
    <font>
      <b/>
      <i/>
      <sz val="16"/>
      <name val="Helvetica"/>
      <family val="2"/>
    </font>
    <font>
      <u/>
      <sz val="12"/>
      <color theme="10"/>
      <name val="Calibri"/>
      <family val="2"/>
      <charset val="128"/>
      <scheme val="minor"/>
    </font>
    <font>
      <u/>
      <sz val="12"/>
      <color theme="11"/>
      <name val="Calibri"/>
      <family val="2"/>
      <charset val="128"/>
      <scheme val="minor"/>
    </font>
    <font>
      <sz val="12"/>
      <color theme="1"/>
      <name val="Calibri"/>
      <family val="2"/>
      <scheme val="minor"/>
    </font>
    <font>
      <b/>
      <sz val="12"/>
      <color theme="1"/>
      <name val="Calibri"/>
      <family val="2"/>
      <scheme val="minor"/>
    </font>
    <font>
      <b/>
      <sz val="12"/>
      <color rgb="FF0000FF"/>
      <name val="Calibri"/>
      <family val="2"/>
    </font>
    <font>
      <b/>
      <sz val="12"/>
      <color rgb="FF800080"/>
      <name val="Calibri"/>
      <family val="2"/>
    </font>
    <font>
      <sz val="12"/>
      <color rgb="FFFF0000"/>
      <name val="Calibri"/>
      <family val="2"/>
      <scheme val="minor"/>
    </font>
    <font>
      <b/>
      <sz val="12"/>
      <color rgb="FFFF0000"/>
      <name val="Calibri"/>
      <family val="2"/>
      <scheme val="minor"/>
    </font>
    <font>
      <b/>
      <sz val="9"/>
      <color theme="1"/>
      <name val="Calibri"/>
      <family val="2"/>
      <scheme val="minor"/>
    </font>
    <font>
      <b/>
      <sz val="10"/>
      <color rgb="FFFF0000"/>
      <name val="Calibri"/>
      <family val="2"/>
      <scheme val="minor"/>
    </font>
    <font>
      <sz val="8"/>
      <name val="Calibri"/>
      <family val="2"/>
      <scheme val="minor"/>
    </font>
  </fonts>
  <fills count="14">
    <fill>
      <patternFill patternType="none"/>
    </fill>
    <fill>
      <patternFill patternType="gray125"/>
    </fill>
    <fill>
      <patternFill patternType="solid">
        <fgColor theme="6" tint="0.79998168889431442"/>
        <bgColor indexed="65"/>
      </patternFill>
    </fill>
    <fill>
      <patternFill patternType="solid">
        <fgColor rgb="FFD5FFFF"/>
        <bgColor indexed="64"/>
      </patternFill>
    </fill>
    <fill>
      <patternFill patternType="solid">
        <fgColor indexed="22"/>
        <bgColor indexed="64"/>
      </patternFill>
    </fill>
    <fill>
      <patternFill patternType="solid">
        <fgColor indexed="26"/>
        <bgColor indexed="64"/>
      </patternFill>
    </fill>
    <fill>
      <patternFill patternType="solid">
        <fgColor rgb="FFFFFF00"/>
        <bgColor indexed="64"/>
      </patternFill>
    </fill>
    <fill>
      <patternFill patternType="solid">
        <fgColor rgb="FF92D050"/>
        <bgColor indexed="64"/>
      </patternFill>
    </fill>
    <fill>
      <patternFill patternType="solid">
        <fgColor rgb="FFCCFFFF"/>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FFC000"/>
        <bgColor indexed="64"/>
      </patternFill>
    </fill>
    <fill>
      <patternFill patternType="solid">
        <fgColor theme="7" tint="0.79998168889431442"/>
        <bgColor indexed="64"/>
      </patternFill>
    </fill>
    <fill>
      <patternFill patternType="solid">
        <fgColor theme="0" tint="-4.9989318521683403E-2"/>
        <bgColor indexed="64"/>
      </patternFill>
    </fill>
  </fills>
  <borders count="49">
    <border>
      <left/>
      <right/>
      <top/>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style="thin">
        <color indexed="64"/>
      </left>
      <right style="thin">
        <color indexed="64"/>
      </right>
      <top/>
      <bottom style="thin">
        <color auto="1"/>
      </bottom>
      <diagonal/>
    </border>
    <border>
      <left/>
      <right/>
      <top/>
      <bottom style="medium">
        <color indexed="64"/>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s>
  <cellStyleXfs count="172">
    <xf numFmtId="0" fontId="0" fillId="0" borderId="0"/>
    <xf numFmtId="43" fontId="12" fillId="0" borderId="0" applyFont="0" applyFill="0" applyBorder="0" applyAlignment="0" applyProtection="0"/>
    <xf numFmtId="0" fontId="13" fillId="0" borderId="0"/>
    <xf numFmtId="43" fontId="14" fillId="0" borderId="0" applyFont="0" applyFill="0" applyBorder="0" applyAlignment="0" applyProtection="0"/>
    <xf numFmtId="1" fontId="15" fillId="0" borderId="0"/>
    <xf numFmtId="0" fontId="16" fillId="2" borderId="0" applyNumberFormat="0" applyBorder="0" applyAlignment="0" applyProtection="0"/>
    <xf numFmtId="0" fontId="17" fillId="0" borderId="12">
      <alignment horizontal="center"/>
    </xf>
    <xf numFmtId="43" fontId="16"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8" fillId="0" borderId="0" applyFont="0" applyFill="0" applyBorder="0" applyAlignment="0" applyProtection="0"/>
    <xf numFmtId="43" fontId="14" fillId="0" borderId="0" applyFont="0" applyFill="0" applyBorder="0" applyAlignment="0" applyProtection="0"/>
    <xf numFmtId="43" fontId="19" fillId="0" borderId="0" applyFont="0" applyFill="0" applyBorder="0" applyAlignment="0" applyProtection="0"/>
    <xf numFmtId="43" fontId="19" fillId="0" borderId="0" applyFont="0" applyFill="0" applyBorder="0" applyAlignment="0" applyProtection="0"/>
    <xf numFmtId="43" fontId="18" fillId="0" borderId="0" applyFont="0" applyFill="0" applyBorder="0" applyAlignment="0" applyProtection="0"/>
    <xf numFmtId="43" fontId="1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3" fontId="18" fillId="0" borderId="0" applyFont="0" applyFill="0" applyBorder="0" applyAlignment="0" applyProtection="0"/>
    <xf numFmtId="44" fontId="20" fillId="0" borderId="0" applyFont="0" applyFill="0" applyBorder="0" applyAlignment="0" applyProtection="0"/>
    <xf numFmtId="44" fontId="18"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5" fontId="18" fillId="0" borderId="0" applyFont="0" applyFill="0" applyBorder="0" applyAlignment="0" applyProtection="0"/>
    <xf numFmtId="0" fontId="18" fillId="0" borderId="0" applyFont="0" applyFill="0" applyBorder="0" applyAlignment="0" applyProtection="0"/>
    <xf numFmtId="2" fontId="18" fillId="0" borderId="0" applyFont="0" applyFill="0" applyBorder="0" applyAlignment="0" applyProtection="0"/>
    <xf numFmtId="38" fontId="21" fillId="4" borderId="0" applyNumberFormat="0" applyBorder="0" applyAlignment="0" applyProtection="0"/>
    <xf numFmtId="10" fontId="21" fillId="5" borderId="13" applyNumberFormat="0" applyBorder="0" applyAlignment="0" applyProtection="0"/>
    <xf numFmtId="166" fontId="22" fillId="0" borderId="0"/>
    <xf numFmtId="0" fontId="13" fillId="0" borderId="0"/>
    <xf numFmtId="0" fontId="19" fillId="0" borderId="0"/>
    <xf numFmtId="0" fontId="19" fillId="0" borderId="0"/>
    <xf numFmtId="0" fontId="14" fillId="0" borderId="0"/>
    <xf numFmtId="0" fontId="13" fillId="0" borderId="0"/>
    <xf numFmtId="0" fontId="16" fillId="0" borderId="0"/>
    <xf numFmtId="0" fontId="14" fillId="0" borderId="0"/>
    <xf numFmtId="0" fontId="14" fillId="0" borderId="0"/>
    <xf numFmtId="0" fontId="11" fillId="0" borderId="0"/>
    <xf numFmtId="0" fontId="11" fillId="0" borderId="0"/>
    <xf numFmtId="0" fontId="11" fillId="0" borderId="0"/>
    <xf numFmtId="10" fontId="18" fillId="0" borderId="0" applyFont="0" applyFill="0" applyBorder="0" applyAlignment="0" applyProtection="0"/>
    <xf numFmtId="9" fontId="11" fillId="0" borderId="0" applyFont="0" applyFill="0" applyBorder="0" applyAlignment="0" applyProtection="0"/>
    <xf numFmtId="9" fontId="20" fillId="0" borderId="0" applyFont="0" applyFill="0" applyBorder="0" applyAlignment="0" applyProtection="0"/>
    <xf numFmtId="9" fontId="18" fillId="0" borderId="0" applyFont="0" applyFill="0" applyBorder="0" applyAlignment="0" applyProtection="0"/>
    <xf numFmtId="9" fontId="14" fillId="0" borderId="0" applyFont="0" applyFill="0" applyBorder="0" applyAlignment="0" applyProtection="0"/>
    <xf numFmtId="9" fontId="19" fillId="0" borderId="0" applyFont="0" applyFill="0" applyBorder="0" applyAlignment="0" applyProtection="0"/>
    <xf numFmtId="9" fontId="18"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9" fontId="14"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6" fillId="0" borderId="0" applyFont="0" applyFill="0" applyBorder="0" applyAlignment="0" applyProtection="0"/>
    <xf numFmtId="43" fontId="5"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44" fontId="2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14" fillId="0" borderId="0" applyFont="0" applyFill="0" applyBorder="0" applyAlignment="0" applyProtection="0"/>
    <xf numFmtId="0" fontId="5" fillId="0" borderId="0"/>
    <xf numFmtId="43" fontId="5" fillId="0" borderId="0" applyFont="0" applyFill="0" applyBorder="0" applyAlignment="0" applyProtection="0"/>
    <xf numFmtId="0" fontId="23" fillId="0" borderId="0" applyNumberFormat="0" applyFill="0" applyBorder="0" applyAlignment="0" applyProtection="0"/>
    <xf numFmtId="43" fontId="4" fillId="0" borderId="0" applyFont="0" applyFill="0" applyBorder="0" applyAlignment="0" applyProtection="0"/>
    <xf numFmtId="43" fontId="3" fillId="0" borderId="0" applyFont="0" applyFill="0" applyBorder="0" applyAlignment="0" applyProtection="0"/>
    <xf numFmtId="0" fontId="2" fillId="2" borderId="0" applyNumberFormat="0" applyBorder="0" applyAlignment="0" applyProtection="0"/>
    <xf numFmtId="43" fontId="2" fillId="0" borderId="0" applyFont="0" applyFill="0" applyBorder="0" applyAlignment="0" applyProtection="0"/>
    <xf numFmtId="0" fontId="2" fillId="0" borderId="0"/>
    <xf numFmtId="0" fontId="5" fillId="0" borderId="0"/>
    <xf numFmtId="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1" fillId="0" borderId="0"/>
    <xf numFmtId="0" fontId="25" fillId="0" borderId="0"/>
    <xf numFmtId="43" fontId="5" fillId="0" borderId="0" applyFont="0" applyFill="0" applyBorder="0" applyAlignment="0" applyProtection="0"/>
    <xf numFmtId="9" fontId="14" fillId="0" borderId="0" applyFont="0" applyFill="0" applyBorder="0" applyAlignment="0" applyProtection="0"/>
    <xf numFmtId="43" fontId="1" fillId="0" borderId="0" applyFont="0" applyFill="0" applyBorder="0" applyAlignment="0" applyProtection="0"/>
    <xf numFmtId="44" fontId="25" fillId="0" borderId="0" applyFont="0" applyFill="0" applyBorder="0" applyAlignment="0" applyProtection="0"/>
    <xf numFmtId="0" fontId="1" fillId="2" borderId="0" applyNumberFormat="0" applyBorder="0" applyAlignment="0" applyProtection="0"/>
    <xf numFmtId="43" fontId="13" fillId="0" borderId="0" applyFont="0" applyFill="0" applyBorder="0" applyAlignment="0" applyProtection="0"/>
    <xf numFmtId="44" fontId="20" fillId="0" borderId="0" applyFont="0" applyFill="0" applyBorder="0" applyAlignment="0" applyProtection="0"/>
    <xf numFmtId="0" fontId="19" fillId="0" borderId="0"/>
    <xf numFmtId="0" fontId="1" fillId="0" borderId="0"/>
    <xf numFmtId="9" fontId="20"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25" fillId="0" borderId="0"/>
    <xf numFmtId="9" fontId="14" fillId="0" borderId="0" applyFont="0" applyFill="0" applyBorder="0" applyAlignment="0" applyProtection="0"/>
    <xf numFmtId="0" fontId="1" fillId="2" borderId="0" applyNumberFormat="0" applyBorder="0" applyAlignment="0" applyProtection="0"/>
    <xf numFmtId="43" fontId="1" fillId="0" borderId="0" applyFont="0" applyFill="0" applyBorder="0" applyAlignment="0" applyProtection="0"/>
    <xf numFmtId="0" fontId="1" fillId="0" borderId="0"/>
    <xf numFmtId="9" fontId="14" fillId="0" borderId="0" applyFont="0" applyFill="0" applyBorder="0" applyAlignment="0" applyProtection="0"/>
    <xf numFmtId="0" fontId="25" fillId="0" borderId="0"/>
    <xf numFmtId="0" fontId="25" fillId="0" borderId="0"/>
    <xf numFmtId="9" fontId="14" fillId="0" borderId="0" applyFont="0" applyFill="0" applyBorder="0" applyAlignment="0" applyProtection="0"/>
    <xf numFmtId="43"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cellStyleXfs>
  <cellXfs count="514">
    <xf numFmtId="0" fontId="0" fillId="0" borderId="0" xfId="0"/>
    <xf numFmtId="0" fontId="0" fillId="0" borderId="9" xfId="2" applyFont="1" applyBorder="1"/>
    <xf numFmtId="0" fontId="0" fillId="0" borderId="4" xfId="2" applyFont="1" applyBorder="1"/>
    <xf numFmtId="0" fontId="0" fillId="0" borderId="7" xfId="2" applyFont="1" applyBorder="1"/>
    <xf numFmtId="0" fontId="0" fillId="0" borderId="1" xfId="0" applyBorder="1"/>
    <xf numFmtId="164" fontId="0" fillId="0" borderId="0" xfId="1" applyNumberFormat="1" applyFont="1"/>
    <xf numFmtId="0" fontId="26" fillId="0" borderId="0" xfId="2" applyFont="1" applyAlignment="1">
      <alignment horizontal="right"/>
    </xf>
    <xf numFmtId="0" fontId="0" fillId="0" borderId="0" xfId="0" applyAlignment="1">
      <alignment horizontal="right"/>
    </xf>
    <xf numFmtId="164" fontId="0" fillId="0" borderId="9" xfId="1" applyNumberFormat="1" applyFont="1" applyBorder="1"/>
    <xf numFmtId="164" fontId="0" fillId="0" borderId="10" xfId="1" applyNumberFormat="1" applyFont="1" applyBorder="1"/>
    <xf numFmtId="43" fontId="0" fillId="0" borderId="0" xfId="0" applyNumberFormat="1"/>
    <xf numFmtId="9" fontId="0" fillId="0" borderId="0" xfId="62" applyFont="1"/>
    <xf numFmtId="43" fontId="0" fillId="0" borderId="0" xfId="1" applyFont="1"/>
    <xf numFmtId="0" fontId="0" fillId="0" borderId="16" xfId="0" applyBorder="1"/>
    <xf numFmtId="0" fontId="0" fillId="0" borderId="2" xfId="2" applyFont="1" applyBorder="1"/>
    <xf numFmtId="0" fontId="0" fillId="0" borderId="0" xfId="2" applyFont="1"/>
    <xf numFmtId="164" fontId="0" fillId="3" borderId="0" xfId="1" applyNumberFormat="1" applyFont="1" applyFill="1"/>
    <xf numFmtId="0" fontId="0" fillId="0" borderId="0" xfId="2" applyFont="1" applyAlignment="1">
      <alignment horizontal="right"/>
    </xf>
    <xf numFmtId="0" fontId="0" fillId="0" borderId="19" xfId="0" applyBorder="1"/>
    <xf numFmtId="0" fontId="0" fillId="0" borderId="22" xfId="0" applyBorder="1"/>
    <xf numFmtId="6" fontId="0" fillId="3" borderId="0" xfId="0" applyNumberFormat="1" applyFill="1"/>
    <xf numFmtId="168" fontId="0" fillId="3" borderId="0" xfId="0" applyNumberFormat="1" applyFill="1"/>
    <xf numFmtId="0" fontId="0" fillId="3" borderId="0" xfId="0" applyFill="1"/>
    <xf numFmtId="164" fontId="1" fillId="0" borderId="0" xfId="129" applyNumberFormat="1" applyFont="1"/>
    <xf numFmtId="0" fontId="25" fillId="0" borderId="0" xfId="146"/>
    <xf numFmtId="0" fontId="0" fillId="0" borderId="21" xfId="0" applyBorder="1"/>
    <xf numFmtId="0" fontId="0" fillId="0" borderId="23" xfId="0" applyBorder="1"/>
    <xf numFmtId="0" fontId="26" fillId="0" borderId="0" xfId="0" applyFont="1"/>
    <xf numFmtId="0" fontId="26" fillId="0" borderId="7" xfId="0" applyFont="1" applyBorder="1"/>
    <xf numFmtId="0" fontId="0" fillId="0" borderId="6" xfId="0" applyBorder="1"/>
    <xf numFmtId="0" fontId="26" fillId="0" borderId="0" xfId="0" applyFont="1" applyAlignment="1">
      <alignment horizontal="right"/>
    </xf>
    <xf numFmtId="0" fontId="26" fillId="0" borderId="4" xfId="0" applyFont="1" applyBorder="1"/>
    <xf numFmtId="164" fontId="0" fillId="0" borderId="0" xfId="169" applyNumberFormat="1" applyFont="1" applyAlignment="1">
      <alignment horizontal="center"/>
    </xf>
    <xf numFmtId="164" fontId="0" fillId="0" borderId="0" xfId="169" applyNumberFormat="1" applyFont="1" applyAlignment="1">
      <alignment horizontal="right"/>
    </xf>
    <xf numFmtId="0" fontId="26" fillId="0" borderId="12" xfId="0" applyFont="1" applyBorder="1" applyAlignment="1">
      <alignment horizontal="right"/>
    </xf>
    <xf numFmtId="0" fontId="26" fillId="0" borderId="11" xfId="0" applyFont="1" applyBorder="1" applyAlignment="1">
      <alignment horizontal="right"/>
    </xf>
    <xf numFmtId="0" fontId="26" fillId="0" borderId="3" xfId="0" applyFont="1" applyBorder="1" applyAlignment="1">
      <alignment horizontal="right"/>
    </xf>
    <xf numFmtId="164" fontId="0" fillId="0" borderId="6" xfId="169" applyNumberFormat="1" applyFont="1" applyBorder="1" applyAlignment="1">
      <alignment horizontal="right"/>
    </xf>
    <xf numFmtId="0" fontId="26" fillId="0" borderId="9" xfId="0" applyFont="1" applyBorder="1" applyAlignment="1">
      <alignment horizontal="center"/>
    </xf>
    <xf numFmtId="0" fontId="26" fillId="0" borderId="10" xfId="0" applyFont="1" applyBorder="1"/>
    <xf numFmtId="0" fontId="0" fillId="0" borderId="0" xfId="0" applyAlignment="1">
      <alignment horizontal="left"/>
    </xf>
    <xf numFmtId="44" fontId="0" fillId="0" borderId="0" xfId="0" applyNumberFormat="1"/>
    <xf numFmtId="10" fontId="0" fillId="0" borderId="0" xfId="0" applyNumberFormat="1"/>
    <xf numFmtId="0" fontId="0" fillId="0" borderId="0" xfId="146" applyFont="1"/>
    <xf numFmtId="0" fontId="26" fillId="0" borderId="8" xfId="0" applyFont="1" applyBorder="1"/>
    <xf numFmtId="169" fontId="0" fillId="0" borderId="12" xfId="128" applyNumberFormat="1" applyFont="1" applyBorder="1"/>
    <xf numFmtId="0" fontId="0" fillId="0" borderId="6" xfId="0" applyBorder="1" applyAlignment="1">
      <alignment horizontal="right"/>
    </xf>
    <xf numFmtId="169" fontId="0" fillId="0" borderId="1" xfId="128" applyNumberFormat="1" applyFont="1" applyBorder="1"/>
    <xf numFmtId="43" fontId="0" fillId="0" borderId="15" xfId="1" applyFont="1" applyBorder="1"/>
    <xf numFmtId="43" fontId="0" fillId="0" borderId="14" xfId="1" applyFont="1" applyBorder="1"/>
    <xf numFmtId="0" fontId="0" fillId="0" borderId="4" xfId="0" applyBorder="1"/>
    <xf numFmtId="43" fontId="0" fillId="0" borderId="11" xfId="1" applyFont="1" applyBorder="1"/>
    <xf numFmtId="0" fontId="0" fillId="0" borderId="20" xfId="0" applyBorder="1"/>
    <xf numFmtId="165" fontId="0" fillId="0" borderId="0" xfId="1" applyNumberFormat="1" applyFont="1"/>
    <xf numFmtId="165" fontId="0" fillId="0" borderId="9" xfId="1" applyNumberFormat="1" applyFont="1" applyBorder="1"/>
    <xf numFmtId="9" fontId="26" fillId="0" borderId="11" xfId="0" applyNumberFormat="1" applyFont="1" applyBorder="1"/>
    <xf numFmtId="0" fontId="26" fillId="0" borderId="16" xfId="0" applyFont="1" applyBorder="1"/>
    <xf numFmtId="164" fontId="0" fillId="0" borderId="5" xfId="1" applyNumberFormat="1" applyFont="1" applyBorder="1"/>
    <xf numFmtId="164" fontId="0" fillId="0" borderId="3" xfId="1" applyNumberFormat="1" applyFont="1" applyBorder="1"/>
    <xf numFmtId="164" fontId="0" fillId="0" borderId="4" xfId="1" applyNumberFormat="1" applyFont="1" applyBorder="1"/>
    <xf numFmtId="164" fontId="0" fillId="0" borderId="6" xfId="1" applyNumberFormat="1" applyFont="1" applyBorder="1"/>
    <xf numFmtId="164" fontId="0" fillId="0" borderId="8" xfId="1" applyNumberFormat="1" applyFont="1" applyBorder="1"/>
    <xf numFmtId="0" fontId="26" fillId="0" borderId="5" xfId="0" applyFont="1" applyBorder="1"/>
    <xf numFmtId="164" fontId="0" fillId="0" borderId="1" xfId="169" applyNumberFormat="1" applyFont="1" applyBorder="1" applyAlignment="1">
      <alignment horizontal="center"/>
    </xf>
    <xf numFmtId="0" fontId="26" fillId="0" borderId="2" xfId="0" applyFont="1" applyBorder="1"/>
    <xf numFmtId="0" fontId="0" fillId="0" borderId="0" xfId="0" applyAlignment="1">
      <alignment wrapText="1"/>
    </xf>
    <xf numFmtId="0" fontId="0" fillId="0" borderId="5" xfId="0" applyBorder="1" applyAlignment="1">
      <alignment wrapText="1"/>
    </xf>
    <xf numFmtId="169" fontId="0" fillId="0" borderId="6" xfId="128" applyNumberFormat="1" applyFont="1" applyBorder="1"/>
    <xf numFmtId="164" fontId="0" fillId="0" borderId="1" xfId="1" applyNumberFormat="1" applyFont="1" applyBorder="1"/>
    <xf numFmtId="43" fontId="0" fillId="0" borderId="3" xfId="1" applyFont="1" applyBorder="1"/>
    <xf numFmtId="165" fontId="0" fillId="0" borderId="7" xfId="1" applyNumberFormat="1" applyFont="1" applyBorder="1"/>
    <xf numFmtId="165" fontId="0" fillId="0" borderId="1" xfId="1" applyNumberFormat="1" applyFont="1" applyBorder="1"/>
    <xf numFmtId="164" fontId="0" fillId="0" borderId="7" xfId="1" applyNumberFormat="1" applyFont="1" applyBorder="1"/>
    <xf numFmtId="165" fontId="0" fillId="0" borderId="4" xfId="1" applyNumberFormat="1" applyFont="1" applyBorder="1"/>
    <xf numFmtId="165" fontId="0" fillId="0" borderId="6" xfId="1" applyNumberFormat="1" applyFont="1" applyBorder="1"/>
    <xf numFmtId="164" fontId="0" fillId="0" borderId="11" xfId="1" applyNumberFormat="1" applyFont="1" applyBorder="1"/>
    <xf numFmtId="43" fontId="0" fillId="3" borderId="1" xfId="1" applyFont="1" applyFill="1" applyBorder="1"/>
    <xf numFmtId="164" fontId="0" fillId="3" borderId="14" xfId="8" applyNumberFormat="1" applyFont="1" applyFill="1" applyBorder="1"/>
    <xf numFmtId="43" fontId="0" fillId="3" borderId="4" xfId="1" applyFont="1" applyFill="1" applyBorder="1"/>
    <xf numFmtId="43" fontId="0" fillId="3" borderId="9" xfId="1" applyFont="1" applyFill="1" applyBorder="1"/>
    <xf numFmtId="43" fontId="0" fillId="3" borderId="7" xfId="1" applyFont="1" applyFill="1" applyBorder="1"/>
    <xf numFmtId="0" fontId="0" fillId="0" borderId="26" xfId="0" applyBorder="1" applyAlignment="1">
      <alignment horizontal="center" wrapText="1"/>
    </xf>
    <xf numFmtId="164" fontId="0" fillId="0" borderId="1" xfId="169" applyNumberFormat="1" applyFont="1" applyBorder="1" applyAlignment="1">
      <alignment horizontal="right"/>
    </xf>
    <xf numFmtId="0" fontId="0" fillId="0" borderId="1" xfId="0" applyBorder="1" applyAlignment="1">
      <alignment horizontal="right"/>
    </xf>
    <xf numFmtId="0" fontId="26" fillId="0" borderId="12" xfId="0" applyFont="1" applyBorder="1"/>
    <xf numFmtId="164" fontId="26" fillId="0" borderId="5" xfId="169" applyNumberFormat="1" applyFont="1" applyBorder="1"/>
    <xf numFmtId="164" fontId="26" fillId="0" borderId="4" xfId="169" applyNumberFormat="1" applyFont="1" applyBorder="1"/>
    <xf numFmtId="0" fontId="26" fillId="0" borderId="15" xfId="0" applyFont="1" applyBorder="1"/>
    <xf numFmtId="164" fontId="26" fillId="0" borderId="8" xfId="169" applyNumberFormat="1" applyFont="1" applyBorder="1"/>
    <xf numFmtId="164" fontId="26" fillId="0" borderId="7" xfId="169" applyNumberFormat="1" applyFont="1" applyBorder="1"/>
    <xf numFmtId="164" fontId="0" fillId="0" borderId="6" xfId="169" applyNumberFormat="1" applyFont="1" applyBorder="1" applyAlignment="1">
      <alignment horizontal="center"/>
    </xf>
    <xf numFmtId="164" fontId="0" fillId="0" borderId="12" xfId="169" applyNumberFormat="1" applyFont="1" applyBorder="1" applyAlignment="1">
      <alignment horizontal="center"/>
    </xf>
    <xf numFmtId="164" fontId="0" fillId="0" borderId="4" xfId="169" applyNumberFormat="1" applyFont="1" applyBorder="1" applyAlignment="1">
      <alignment horizontal="center"/>
    </xf>
    <xf numFmtId="164" fontId="0" fillId="0" borderId="14" xfId="169" applyNumberFormat="1" applyFont="1" applyBorder="1" applyAlignment="1">
      <alignment horizontal="center"/>
    </xf>
    <xf numFmtId="164" fontId="0" fillId="0" borderId="9" xfId="169" applyNumberFormat="1" applyFont="1" applyBorder="1" applyAlignment="1">
      <alignment horizontal="center"/>
    </xf>
    <xf numFmtId="164" fontId="0" fillId="0" borderId="15" xfId="169" applyNumberFormat="1" applyFont="1" applyBorder="1" applyAlignment="1">
      <alignment horizontal="center"/>
    </xf>
    <xf numFmtId="164" fontId="0" fillId="0" borderId="7" xfId="169" applyNumberFormat="1" applyFont="1" applyBorder="1" applyAlignment="1">
      <alignment horizontal="center"/>
    </xf>
    <xf numFmtId="164" fontId="0" fillId="8" borderId="5" xfId="8" applyNumberFormat="1" applyFont="1" applyFill="1" applyBorder="1"/>
    <xf numFmtId="164" fontId="0" fillId="3" borderId="10" xfId="8" applyNumberFormat="1" applyFont="1" applyFill="1" applyBorder="1"/>
    <xf numFmtId="164" fontId="0" fillId="8" borderId="10" xfId="8" applyNumberFormat="1" applyFont="1" applyFill="1" applyBorder="1"/>
    <xf numFmtId="164" fontId="0" fillId="8" borderId="8" xfId="8" applyNumberFormat="1" applyFont="1" applyFill="1" applyBorder="1"/>
    <xf numFmtId="9" fontId="0" fillId="0" borderId="15" xfId="170" applyFont="1" applyBorder="1"/>
    <xf numFmtId="9" fontId="0" fillId="0" borderId="8" xfId="170" applyFont="1" applyBorder="1"/>
    <xf numFmtId="164" fontId="26" fillId="0" borderId="0" xfId="1" applyNumberFormat="1" applyFont="1"/>
    <xf numFmtId="9" fontId="26" fillId="0" borderId="0" xfId="0" applyNumberFormat="1" applyFont="1"/>
    <xf numFmtId="43" fontId="0" fillId="0" borderId="4" xfId="1" applyFont="1" applyBorder="1"/>
    <xf numFmtId="43" fontId="0" fillId="0" borderId="6" xfId="1" applyFont="1" applyBorder="1"/>
    <xf numFmtId="43" fontId="0" fillId="0" borderId="9" xfId="1" applyFont="1" applyBorder="1"/>
    <xf numFmtId="43" fontId="0" fillId="0" borderId="7" xfId="1" applyFont="1" applyBorder="1"/>
    <xf numFmtId="43" fontId="0" fillId="0" borderId="1" xfId="1" applyFont="1" applyBorder="1"/>
    <xf numFmtId="165" fontId="0" fillId="0" borderId="11" xfId="1" applyNumberFormat="1" applyFont="1" applyBorder="1"/>
    <xf numFmtId="169" fontId="0" fillId="0" borderId="0" xfId="128" applyNumberFormat="1" applyFont="1"/>
    <xf numFmtId="169" fontId="0" fillId="0" borderId="11" xfId="128" applyNumberFormat="1" applyFont="1" applyBorder="1"/>
    <xf numFmtId="14" fontId="26" fillId="0" borderId="3" xfId="0" applyNumberFormat="1" applyFont="1" applyBorder="1"/>
    <xf numFmtId="164" fontId="0" fillId="3" borderId="12" xfId="1" applyNumberFormat="1" applyFont="1" applyFill="1" applyBorder="1"/>
    <xf numFmtId="164" fontId="0" fillId="3" borderId="14" xfId="1" applyNumberFormat="1" applyFont="1" applyFill="1" applyBorder="1"/>
    <xf numFmtId="164" fontId="0" fillId="0" borderId="14" xfId="1" applyNumberFormat="1" applyFont="1" applyBorder="1"/>
    <xf numFmtId="165" fontId="0" fillId="0" borderId="14" xfId="1" applyNumberFormat="1" applyFont="1" applyBorder="1"/>
    <xf numFmtId="44" fontId="0" fillId="0" borderId="15" xfId="128" applyFont="1" applyBorder="1"/>
    <xf numFmtId="43" fontId="0" fillId="3" borderId="12" xfId="1" applyFont="1" applyFill="1" applyBorder="1"/>
    <xf numFmtId="164" fontId="0" fillId="0" borderId="0" xfId="8" applyNumberFormat="1" applyFont="1"/>
    <xf numFmtId="9" fontId="0" fillId="0" borderId="1" xfId="170" applyFont="1" applyBorder="1"/>
    <xf numFmtId="164" fontId="0" fillId="0" borderId="12" xfId="1" applyNumberFormat="1" applyFont="1" applyBorder="1"/>
    <xf numFmtId="164" fontId="0" fillId="0" borderId="15" xfId="1" applyNumberFormat="1" applyFont="1" applyBorder="1"/>
    <xf numFmtId="164" fontId="0" fillId="0" borderId="13" xfId="1" applyNumberFormat="1" applyFont="1" applyBorder="1"/>
    <xf numFmtId="43" fontId="0" fillId="3" borderId="14" xfId="1" applyFont="1" applyFill="1" applyBorder="1"/>
    <xf numFmtId="165" fontId="0" fillId="0" borderId="15" xfId="1" applyNumberFormat="1" applyFont="1" applyBorder="1"/>
    <xf numFmtId="164" fontId="0" fillId="3" borderId="11" xfId="8" applyNumberFormat="1" applyFont="1" applyFill="1" applyBorder="1"/>
    <xf numFmtId="165" fontId="0" fillId="0" borderId="12" xfId="1" applyNumberFormat="1" applyFont="1" applyBorder="1"/>
    <xf numFmtId="165" fontId="0" fillId="0" borderId="13" xfId="1" applyNumberFormat="1" applyFont="1" applyBorder="1"/>
    <xf numFmtId="164" fontId="0" fillId="0" borderId="2" xfId="1" applyNumberFormat="1" applyFont="1" applyBorder="1"/>
    <xf numFmtId="169" fontId="0" fillId="0" borderId="4" xfId="128" applyNumberFormat="1" applyFont="1" applyBorder="1"/>
    <xf numFmtId="169" fontId="0" fillId="0" borderId="9" xfId="128" applyNumberFormat="1" applyFont="1" applyBorder="1"/>
    <xf numFmtId="169" fontId="0" fillId="0" borderId="7" xfId="128" applyNumberFormat="1" applyFont="1" applyBorder="1"/>
    <xf numFmtId="169" fontId="0" fillId="0" borderId="2" xfId="128" applyNumberFormat="1" applyFont="1" applyBorder="1"/>
    <xf numFmtId="9" fontId="0" fillId="0" borderId="15" xfId="62" applyFont="1" applyBorder="1"/>
    <xf numFmtId="165" fontId="0" fillId="3" borderId="12" xfId="1" applyNumberFormat="1" applyFont="1" applyFill="1" applyBorder="1"/>
    <xf numFmtId="169" fontId="0" fillId="0" borderId="14" xfId="128" applyNumberFormat="1" applyFont="1" applyBorder="1"/>
    <xf numFmtId="169" fontId="0" fillId="0" borderId="15" xfId="128" applyNumberFormat="1" applyFont="1" applyBorder="1"/>
    <xf numFmtId="169" fontId="0" fillId="0" borderId="13" xfId="128" applyNumberFormat="1" applyFont="1" applyBorder="1"/>
    <xf numFmtId="167" fontId="0" fillId="0" borderId="12" xfId="62" applyNumberFormat="1" applyFont="1" applyBorder="1"/>
    <xf numFmtId="167" fontId="0" fillId="0" borderId="14" xfId="62" applyNumberFormat="1" applyFont="1" applyBorder="1"/>
    <xf numFmtId="167" fontId="0" fillId="0" borderId="15" xfId="62" applyNumberFormat="1" applyFont="1" applyBorder="1"/>
    <xf numFmtId="0" fontId="0" fillId="9" borderId="5" xfId="0" applyFill="1" applyBorder="1"/>
    <xf numFmtId="0" fontId="0" fillId="0" borderId="9" xfId="0" applyBorder="1"/>
    <xf numFmtId="0" fontId="0" fillId="6" borderId="10" xfId="0" applyFill="1" applyBorder="1"/>
    <xf numFmtId="0" fontId="0" fillId="0" borderId="7" xfId="0" applyBorder="1"/>
    <xf numFmtId="0" fontId="0" fillId="7" borderId="8" xfId="0" applyFill="1" applyBorder="1"/>
    <xf numFmtId="0" fontId="0" fillId="0" borderId="12" xfId="0" applyBorder="1"/>
    <xf numFmtId="0" fontId="0" fillId="0" borderId="14" xfId="0" applyBorder="1"/>
    <xf numFmtId="0" fontId="0" fillId="0" borderId="8" xfId="0" applyBorder="1"/>
    <xf numFmtId="6" fontId="0" fillId="3" borderId="14" xfId="0" applyNumberFormat="1" applyFill="1" applyBorder="1"/>
    <xf numFmtId="0" fontId="0" fillId="0" borderId="15" xfId="0" applyBorder="1"/>
    <xf numFmtId="43" fontId="0" fillId="0" borderId="15" xfId="0" applyNumberFormat="1" applyBorder="1"/>
    <xf numFmtId="9" fontId="0" fillId="0" borderId="0" xfId="0" applyNumberFormat="1"/>
    <xf numFmtId="167" fontId="0" fillId="0" borderId="4" xfId="0" applyNumberFormat="1" applyBorder="1"/>
    <xf numFmtId="43" fontId="0" fillId="0" borderId="12" xfId="0" applyNumberFormat="1" applyBorder="1"/>
    <xf numFmtId="43" fontId="0" fillId="0" borderId="14" xfId="0" applyNumberFormat="1" applyBorder="1"/>
    <xf numFmtId="43" fontId="0" fillId="0" borderId="2" xfId="0" applyNumberFormat="1" applyBorder="1"/>
    <xf numFmtId="43" fontId="0" fillId="0" borderId="13" xfId="0" applyNumberFormat="1" applyBorder="1"/>
    <xf numFmtId="0" fontId="0" fillId="0" borderId="2" xfId="0" applyBorder="1"/>
    <xf numFmtId="0" fontId="0" fillId="0" borderId="12" xfId="0" applyBorder="1" applyAlignment="1">
      <alignment horizontal="left"/>
    </xf>
    <xf numFmtId="0" fontId="0" fillId="0" borderId="14" xfId="0" applyBorder="1" applyAlignment="1">
      <alignment horizontal="left"/>
    </xf>
    <xf numFmtId="0" fontId="0" fillId="0" borderId="15" xfId="0" applyBorder="1" applyAlignment="1">
      <alignment horizontal="left"/>
    </xf>
    <xf numFmtId="0" fontId="0" fillId="0" borderId="13" xfId="0" applyBorder="1" applyAlignment="1">
      <alignment horizontal="left"/>
    </xf>
    <xf numFmtId="0" fontId="0" fillId="0" borderId="4"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0" fontId="0" fillId="0" borderId="10" xfId="0" applyBorder="1"/>
    <xf numFmtId="0" fontId="0" fillId="3" borderId="12" xfId="0" applyFill="1" applyBorder="1"/>
    <xf numFmtId="43" fontId="0" fillId="0" borderId="6" xfId="0" applyNumberFormat="1" applyBorder="1"/>
    <xf numFmtId="43" fontId="0" fillId="0" borderId="5" xfId="0" applyNumberFormat="1" applyBorder="1"/>
    <xf numFmtId="0" fontId="0" fillId="3" borderId="14" xfId="0" applyFill="1" applyBorder="1"/>
    <xf numFmtId="43" fontId="0" fillId="0" borderId="10" xfId="0" applyNumberFormat="1" applyBorder="1"/>
    <xf numFmtId="0" fontId="0" fillId="3" borderId="15" xfId="0" applyFill="1" applyBorder="1"/>
    <xf numFmtId="43" fontId="0" fillId="0" borderId="1" xfId="0" applyNumberFormat="1" applyBorder="1"/>
    <xf numFmtId="43" fontId="0" fillId="0" borderId="8" xfId="0" applyNumberFormat="1" applyBorder="1"/>
    <xf numFmtId="0" fontId="0" fillId="3" borderId="1" xfId="0" applyFill="1" applyBorder="1"/>
    <xf numFmtId="43" fontId="0" fillId="0" borderId="0" xfId="169" applyFont="1" applyAlignment="1">
      <alignment horizontal="right"/>
    </xf>
    <xf numFmtId="0" fontId="0" fillId="0" borderId="12"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0" fillId="0" borderId="10" xfId="0" applyBorder="1" applyAlignment="1">
      <alignment horizontal="center"/>
    </xf>
    <xf numFmtId="0" fontId="0" fillId="0" borderId="7" xfId="0" applyBorder="1" applyAlignment="1">
      <alignment horizontal="center"/>
    </xf>
    <xf numFmtId="0" fontId="0" fillId="0" borderId="15" xfId="0" applyBorder="1" applyAlignment="1">
      <alignment horizontal="center"/>
    </xf>
    <xf numFmtId="0" fontId="0" fillId="0" borderId="8" xfId="0" applyBorder="1" applyAlignment="1">
      <alignment horizontal="center"/>
    </xf>
    <xf numFmtId="43" fontId="0" fillId="0" borderId="1" xfId="169" applyFont="1" applyBorder="1" applyAlignment="1">
      <alignment horizontal="right"/>
    </xf>
    <xf numFmtId="43" fontId="0" fillId="3" borderId="10" xfId="129" applyFont="1" applyFill="1" applyBorder="1" applyAlignment="1" applyProtection="1">
      <alignment horizontal="right"/>
      <protection locked="0"/>
    </xf>
    <xf numFmtId="164" fontId="0" fillId="0" borderId="4" xfId="8" applyNumberFormat="1" applyFont="1" applyBorder="1"/>
    <xf numFmtId="164" fontId="0" fillId="0" borderId="6" xfId="8" applyNumberFormat="1" applyFont="1" applyBorder="1"/>
    <xf numFmtId="164" fontId="0" fillId="0" borderId="12" xfId="8" applyNumberFormat="1" applyFont="1" applyBorder="1"/>
    <xf numFmtId="164" fontId="0" fillId="0" borderId="9" xfId="8" applyNumberFormat="1" applyFont="1" applyBorder="1"/>
    <xf numFmtId="164" fontId="0" fillId="0" borderId="7" xfId="8" applyNumberFormat="1" applyFont="1" applyBorder="1"/>
    <xf numFmtId="164" fontId="0" fillId="0" borderId="1" xfId="8" applyNumberFormat="1" applyFont="1" applyBorder="1"/>
    <xf numFmtId="164" fontId="0" fillId="8" borderId="15" xfId="8" applyNumberFormat="1" applyFont="1" applyFill="1" applyBorder="1"/>
    <xf numFmtId="164" fontId="0" fillId="0" borderId="2" xfId="8" applyNumberFormat="1" applyFont="1" applyBorder="1"/>
    <xf numFmtId="164" fontId="0" fillId="8" borderId="13" xfId="8" applyNumberFormat="1" applyFont="1" applyFill="1" applyBorder="1"/>
    <xf numFmtId="167" fontId="0" fillId="8" borderId="6" xfId="170" applyNumberFormat="1" applyFont="1" applyFill="1" applyBorder="1"/>
    <xf numFmtId="167" fontId="0" fillId="8" borderId="9" xfId="170" applyNumberFormat="1" applyFont="1" applyFill="1" applyBorder="1"/>
    <xf numFmtId="167" fontId="0" fillId="8" borderId="0" xfId="170" applyNumberFormat="1" applyFont="1" applyFill="1"/>
    <xf numFmtId="167" fontId="0" fillId="8" borderId="7" xfId="170" applyNumberFormat="1" applyFont="1" applyFill="1" applyBorder="1"/>
    <xf numFmtId="167" fontId="0" fillId="8" borderId="1" xfId="170" applyNumberFormat="1" applyFont="1" applyFill="1" applyBorder="1"/>
    <xf numFmtId="0" fontId="26" fillId="0" borderId="13" xfId="0" applyFont="1" applyBorder="1" applyAlignment="1">
      <alignment horizontal="left"/>
    </xf>
    <xf numFmtId="9" fontId="0" fillId="8" borderId="12" xfId="170" applyFont="1" applyFill="1" applyBorder="1"/>
    <xf numFmtId="9" fontId="0" fillId="8" borderId="14" xfId="170" applyFont="1" applyFill="1" applyBorder="1"/>
    <xf numFmtId="167" fontId="0" fillId="0" borderId="7" xfId="0" applyNumberFormat="1" applyBorder="1"/>
    <xf numFmtId="167" fontId="0" fillId="0" borderId="1" xfId="0" applyNumberFormat="1" applyBorder="1"/>
    <xf numFmtId="164" fontId="26" fillId="0" borderId="2" xfId="1" applyNumberFormat="1" applyFont="1" applyBorder="1"/>
    <xf numFmtId="0" fontId="26" fillId="0" borderId="3" xfId="0" applyFont="1" applyBorder="1"/>
    <xf numFmtId="0" fontId="26" fillId="0" borderId="13" xfId="0" applyFont="1" applyBorder="1"/>
    <xf numFmtId="165" fontId="0" fillId="0" borderId="2" xfId="1" applyNumberFormat="1" applyFont="1" applyBorder="1"/>
    <xf numFmtId="0" fontId="0" fillId="0" borderId="13" xfId="0" applyBorder="1"/>
    <xf numFmtId="9" fontId="0" fillId="0" borderId="15" xfId="0" applyNumberFormat="1" applyBorder="1"/>
    <xf numFmtId="9" fontId="0" fillId="8" borderId="4" xfId="170" applyFont="1" applyFill="1" applyBorder="1"/>
    <xf numFmtId="9" fontId="0" fillId="8" borderId="6" xfId="170" applyFont="1" applyFill="1" applyBorder="1"/>
    <xf numFmtId="9" fontId="0" fillId="8" borderId="5" xfId="170" applyFont="1" applyFill="1" applyBorder="1"/>
    <xf numFmtId="9" fontId="0" fillId="8" borderId="9" xfId="170" applyFont="1" applyFill="1" applyBorder="1"/>
    <xf numFmtId="9" fontId="0" fillId="8" borderId="0" xfId="170" applyFont="1" applyFill="1"/>
    <xf numFmtId="9" fontId="0" fillId="8" borderId="10" xfId="170" applyFont="1" applyFill="1" applyBorder="1"/>
    <xf numFmtId="9" fontId="0" fillId="0" borderId="7" xfId="170" applyFont="1" applyBorder="1"/>
    <xf numFmtId="9" fontId="0" fillId="0" borderId="12" xfId="0" applyNumberFormat="1" applyBorder="1"/>
    <xf numFmtId="9" fontId="0" fillId="0" borderId="14" xfId="0" applyNumberFormat="1" applyBorder="1"/>
    <xf numFmtId="0" fontId="0" fillId="7" borderId="0" xfId="0" applyFill="1"/>
    <xf numFmtId="0" fontId="0" fillId="6" borderId="0" xfId="0" applyFill="1"/>
    <xf numFmtId="0" fontId="0" fillId="0" borderId="6" xfId="0" applyBorder="1" applyAlignment="1">
      <alignment wrapText="1"/>
    </xf>
    <xf numFmtId="0" fontId="0" fillId="0" borderId="9" xfId="0" applyBorder="1" applyAlignment="1">
      <alignment wrapText="1"/>
    </xf>
    <xf numFmtId="43" fontId="0" fillId="0" borderId="10" xfId="1" applyFont="1" applyBorder="1"/>
    <xf numFmtId="0" fontId="0" fillId="0" borderId="5" xfId="0" applyBorder="1"/>
    <xf numFmtId="43" fontId="0" fillId="3" borderId="10" xfId="1" applyFont="1" applyFill="1" applyBorder="1"/>
    <xf numFmtId="0" fontId="0" fillId="0" borderId="10" xfId="0" applyBorder="1" applyAlignment="1">
      <alignment wrapText="1"/>
    </xf>
    <xf numFmtId="0" fontId="0" fillId="0" borderId="7" xfId="0" applyBorder="1" applyAlignment="1">
      <alignment wrapText="1"/>
    </xf>
    <xf numFmtId="0" fontId="0" fillId="0" borderId="1" xfId="0" applyBorder="1" applyAlignment="1">
      <alignment wrapText="1"/>
    </xf>
    <xf numFmtId="0" fontId="0" fillId="0" borderId="8" xfId="0" applyBorder="1" applyAlignment="1">
      <alignment wrapText="1"/>
    </xf>
    <xf numFmtId="0" fontId="26" fillId="0" borderId="17" xfId="0" applyFont="1" applyBorder="1"/>
    <xf numFmtId="0" fontId="0" fillId="0" borderId="30" xfId="0" applyBorder="1" applyAlignment="1">
      <alignment wrapText="1"/>
    </xf>
    <xf numFmtId="0" fontId="0" fillId="0" borderId="25" xfId="0" applyBorder="1" applyAlignment="1">
      <alignment wrapText="1"/>
    </xf>
    <xf numFmtId="9" fontId="0" fillId="3" borderId="10" xfId="62" applyFont="1" applyFill="1" applyBorder="1"/>
    <xf numFmtId="0" fontId="0" fillId="0" borderId="0" xfId="0" applyAlignment="1">
      <alignment horizontal="center" wrapText="1"/>
    </xf>
    <xf numFmtId="9" fontId="0" fillId="3" borderId="10" xfId="0" applyNumberFormat="1" applyFill="1" applyBorder="1"/>
    <xf numFmtId="0" fontId="26" fillId="0" borderId="0" xfId="0" applyFont="1" applyAlignment="1">
      <alignment wrapText="1"/>
    </xf>
    <xf numFmtId="0" fontId="26" fillId="0" borderId="30" xfId="0" applyFont="1" applyBorder="1"/>
    <xf numFmtId="0" fontId="26" fillId="0" borderId="25" xfId="0" applyFont="1" applyBorder="1"/>
    <xf numFmtId="0" fontId="0" fillId="3" borderId="0" xfId="0" applyFill="1" applyAlignment="1">
      <alignment horizontal="left"/>
    </xf>
    <xf numFmtId="0" fontId="0" fillId="3" borderId="0" xfId="0" applyFill="1" applyAlignment="1">
      <alignment wrapText="1"/>
    </xf>
    <xf numFmtId="0" fontId="26" fillId="3" borderId="25" xfId="0" applyFont="1" applyFill="1" applyBorder="1"/>
    <xf numFmtId="0" fontId="26" fillId="3" borderId="0" xfId="0" applyFont="1" applyFill="1"/>
    <xf numFmtId="0" fontId="26" fillId="3" borderId="0" xfId="0" applyFont="1" applyFill="1" applyAlignment="1">
      <alignment wrapText="1"/>
    </xf>
    <xf numFmtId="0" fontId="26" fillId="6" borderId="0" xfId="2" applyFont="1" applyFill="1" applyAlignment="1">
      <alignment horizontal="right"/>
    </xf>
    <xf numFmtId="43" fontId="0" fillId="3" borderId="6" xfId="1" applyFont="1" applyFill="1" applyBorder="1"/>
    <xf numFmtId="43" fontId="0" fillId="3" borderId="5" xfId="1" applyFont="1" applyFill="1" applyBorder="1"/>
    <xf numFmtId="43" fontId="0" fillId="0" borderId="12" xfId="1" applyFont="1" applyBorder="1"/>
    <xf numFmtId="43" fontId="0" fillId="3" borderId="0" xfId="1" applyFont="1" applyFill="1"/>
    <xf numFmtId="43" fontId="0" fillId="3" borderId="8" xfId="1" applyFont="1" applyFill="1" applyBorder="1"/>
    <xf numFmtId="43" fontId="0" fillId="0" borderId="2" xfId="1" applyFont="1" applyBorder="1"/>
    <xf numFmtId="43" fontId="0" fillId="0" borderId="13" xfId="1" applyFont="1" applyBorder="1"/>
    <xf numFmtId="9" fontId="0" fillId="0" borderId="10" xfId="62" applyFont="1" applyBorder="1"/>
    <xf numFmtId="9" fontId="0" fillId="0" borderId="10" xfId="1" applyNumberFormat="1" applyFont="1" applyBorder="1"/>
    <xf numFmtId="9" fontId="0" fillId="3" borderId="10" xfId="1" applyNumberFormat="1" applyFont="1" applyFill="1" applyBorder="1"/>
    <xf numFmtId="165" fontId="0" fillId="0" borderId="10" xfId="1" applyNumberFormat="1" applyFont="1" applyBorder="1"/>
    <xf numFmtId="165" fontId="0" fillId="0" borderId="10" xfId="0" applyNumberFormat="1" applyBorder="1"/>
    <xf numFmtId="165" fontId="0" fillId="3" borderId="10" xfId="1" applyNumberFormat="1" applyFont="1" applyFill="1" applyBorder="1"/>
    <xf numFmtId="170" fontId="0" fillId="0" borderId="0" xfId="62" applyNumberFormat="1" applyFont="1" applyAlignment="1">
      <alignment wrapText="1"/>
    </xf>
    <xf numFmtId="9" fontId="0" fillId="0" borderId="10" xfId="62" applyFont="1" applyBorder="1" applyAlignment="1">
      <alignment wrapText="1"/>
    </xf>
    <xf numFmtId="164" fontId="0" fillId="0" borderId="10" xfId="1" applyNumberFormat="1" applyFont="1" applyBorder="1" applyAlignment="1">
      <alignment wrapText="1"/>
    </xf>
    <xf numFmtId="164" fontId="0" fillId="0" borderId="10" xfId="0" applyNumberFormat="1" applyBorder="1"/>
    <xf numFmtId="43" fontId="0" fillId="0" borderId="10" xfId="0" applyNumberFormat="1" applyBorder="1" applyAlignment="1">
      <alignment wrapText="1"/>
    </xf>
    <xf numFmtId="0" fontId="0" fillId="3" borderId="9" xfId="0" applyFill="1" applyBorder="1" applyAlignment="1">
      <alignment wrapText="1"/>
    </xf>
    <xf numFmtId="0" fontId="26" fillId="3" borderId="10" xfId="0" applyFont="1" applyFill="1" applyBorder="1"/>
    <xf numFmtId="0" fontId="0" fillId="3" borderId="10" xfId="0" applyFill="1" applyBorder="1"/>
    <xf numFmtId="0" fontId="0" fillId="3" borderId="7" xfId="0" applyFill="1" applyBorder="1" applyAlignment="1">
      <alignment wrapText="1"/>
    </xf>
    <xf numFmtId="0" fontId="0" fillId="3" borderId="8" xfId="0" applyFill="1" applyBorder="1"/>
    <xf numFmtId="0" fontId="26" fillId="0" borderId="4" xfId="0" applyFont="1" applyBorder="1" applyAlignment="1">
      <alignment wrapText="1"/>
    </xf>
    <xf numFmtId="0" fontId="26" fillId="0" borderId="6" xfId="0" applyFont="1" applyBorder="1" applyAlignment="1">
      <alignment wrapText="1"/>
    </xf>
    <xf numFmtId="0" fontId="26" fillId="3" borderId="5" xfId="0" applyFont="1" applyFill="1" applyBorder="1" applyAlignment="1">
      <alignment wrapText="1"/>
    </xf>
    <xf numFmtId="0" fontId="26" fillId="0" borderId="5" xfId="0" applyFont="1" applyBorder="1" applyAlignment="1">
      <alignment wrapText="1"/>
    </xf>
    <xf numFmtId="9" fontId="0" fillId="3" borderId="0" xfId="0" applyNumberFormat="1" applyFill="1"/>
    <xf numFmtId="9" fontId="0" fillId="0" borderId="10" xfId="0" applyNumberFormat="1" applyBorder="1" applyAlignment="1">
      <alignment wrapText="1"/>
    </xf>
    <xf numFmtId="0" fontId="26" fillId="3" borderId="6" xfId="0" applyFont="1" applyFill="1" applyBorder="1" applyAlignment="1">
      <alignment wrapText="1"/>
    </xf>
    <xf numFmtId="9" fontId="0" fillId="3" borderId="10" xfId="0" applyNumberFormat="1" applyFill="1" applyBorder="1" applyAlignment="1">
      <alignment wrapText="1"/>
    </xf>
    <xf numFmtId="10" fontId="0" fillId="0" borderId="0" xfId="62" applyNumberFormat="1" applyFont="1" applyAlignment="1">
      <alignment wrapText="1"/>
    </xf>
    <xf numFmtId="0" fontId="0" fillId="0" borderId="0" xfId="0" applyAlignment="1">
      <alignment wrapText="1"/>
    </xf>
    <xf numFmtId="0" fontId="0" fillId="0" borderId="0" xfId="0" applyAlignment="1">
      <alignment horizontal="center" wrapText="1"/>
    </xf>
    <xf numFmtId="0" fontId="0" fillId="0" borderId="0" xfId="0"/>
    <xf numFmtId="0" fontId="0" fillId="0" borderId="21" xfId="0" applyBorder="1"/>
    <xf numFmtId="0" fontId="0" fillId="0" borderId="20" xfId="0" applyBorder="1"/>
    <xf numFmtId="0" fontId="0" fillId="0" borderId="23" xfId="0" applyBorder="1"/>
    <xf numFmtId="164" fontId="0" fillId="3" borderId="10" xfId="1" applyNumberFormat="1" applyFont="1" applyFill="1" applyBorder="1"/>
    <xf numFmtId="43" fontId="0" fillId="10" borderId="0" xfId="1" applyFont="1" applyFill="1"/>
    <xf numFmtId="0" fontId="0" fillId="10" borderId="0" xfId="0" applyFill="1"/>
    <xf numFmtId="0" fontId="26" fillId="0" borderId="2" xfId="0" applyFont="1" applyBorder="1" applyAlignment="1">
      <alignment horizontal="center"/>
    </xf>
    <xf numFmtId="0" fontId="26" fillId="0" borderId="11" xfId="0" applyFont="1" applyBorder="1" applyAlignment="1">
      <alignment horizontal="center"/>
    </xf>
    <xf numFmtId="0" fontId="26" fillId="0" borderId="3" xfId="0" applyFont="1" applyBorder="1" applyAlignment="1">
      <alignment horizontal="center"/>
    </xf>
    <xf numFmtId="0" fontId="0" fillId="0" borderId="0" xfId="0" applyAlignment="1">
      <alignment wrapText="1"/>
    </xf>
    <xf numFmtId="0" fontId="0" fillId="0" borderId="0" xfId="0"/>
    <xf numFmtId="0" fontId="0" fillId="0" borderId="13" xfId="0" applyFill="1" applyBorder="1" applyAlignment="1">
      <alignment horizontal="left"/>
    </xf>
    <xf numFmtId="0" fontId="0" fillId="11" borderId="0" xfId="0" applyFill="1"/>
    <xf numFmtId="43" fontId="0" fillId="3" borderId="13" xfId="0" applyNumberFormat="1" applyFill="1" applyBorder="1"/>
    <xf numFmtId="165" fontId="0" fillId="0" borderId="12" xfId="1" applyNumberFormat="1" applyFont="1" applyFill="1" applyBorder="1"/>
    <xf numFmtId="0" fontId="26" fillId="0" borderId="2" xfId="0" applyFont="1" applyBorder="1" applyAlignment="1">
      <alignment horizontal="center"/>
    </xf>
    <xf numFmtId="0" fontId="26" fillId="0" borderId="11" xfId="0" applyFont="1" applyBorder="1" applyAlignment="1">
      <alignment horizontal="center"/>
    </xf>
    <xf numFmtId="0" fontId="26" fillId="0" borderId="3" xfId="0" applyFont="1" applyBorder="1" applyAlignment="1">
      <alignment horizontal="center"/>
    </xf>
    <xf numFmtId="0" fontId="0" fillId="0" borderId="0" xfId="0" applyAlignment="1">
      <alignment horizontal="center" wrapText="1"/>
    </xf>
    <xf numFmtId="0" fontId="0" fillId="0" borderId="0" xfId="0" applyAlignment="1">
      <alignment wrapText="1"/>
    </xf>
    <xf numFmtId="0" fontId="0" fillId="0" borderId="0" xfId="0"/>
    <xf numFmtId="0" fontId="0" fillId="0" borderId="27"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27" xfId="0" applyBorder="1" applyAlignment="1">
      <alignment horizontal="center" wrapText="1"/>
    </xf>
    <xf numFmtId="0" fontId="0" fillId="0" borderId="30" xfId="0" applyBorder="1" applyAlignment="1">
      <alignment horizontal="center" wrapText="1"/>
    </xf>
    <xf numFmtId="0" fontId="0" fillId="0" borderId="25" xfId="0" applyBorder="1" applyAlignment="1">
      <alignment wrapText="1"/>
    </xf>
    <xf numFmtId="0" fontId="0" fillId="0" borderId="17" xfId="0" applyBorder="1" applyAlignment="1">
      <alignment wrapText="1"/>
    </xf>
    <xf numFmtId="0" fontId="0" fillId="0" borderId="18" xfId="0" applyBorder="1"/>
    <xf numFmtId="0" fontId="0" fillId="0" borderId="21" xfId="0" applyBorder="1"/>
    <xf numFmtId="0" fontId="0" fillId="0" borderId="20" xfId="0" applyBorder="1"/>
    <xf numFmtId="0" fontId="0" fillId="0" borderId="16" xfId="0" applyBorder="1"/>
    <xf numFmtId="0" fontId="0" fillId="0" borderId="23" xfId="0" applyBorder="1"/>
    <xf numFmtId="0" fontId="0" fillId="0" borderId="24" xfId="0" applyBorder="1" applyAlignment="1">
      <alignment wrapText="1"/>
    </xf>
    <xf numFmtId="0" fontId="0" fillId="0" borderId="18" xfId="0" applyBorder="1" applyAlignment="1">
      <alignment wrapText="1"/>
    </xf>
    <xf numFmtId="0" fontId="0" fillId="0" borderId="21" xfId="0" applyBorder="1" applyAlignment="1">
      <alignment wrapText="1"/>
    </xf>
    <xf numFmtId="0" fontId="0" fillId="0" borderId="20" xfId="0" applyBorder="1" applyAlignment="1">
      <alignment wrapText="1"/>
    </xf>
    <xf numFmtId="0" fontId="0" fillId="0" borderId="16" xfId="0" applyBorder="1" applyAlignment="1">
      <alignment wrapText="1"/>
    </xf>
    <xf numFmtId="0" fontId="0" fillId="0" borderId="23" xfId="0" applyBorder="1" applyAlignment="1">
      <alignment wrapText="1"/>
    </xf>
    <xf numFmtId="0" fontId="0" fillId="0" borderId="19" xfId="0" applyBorder="1" applyAlignment="1">
      <alignment wrapText="1"/>
    </xf>
    <xf numFmtId="0" fontId="0" fillId="0" borderId="22" xfId="0" applyBorder="1" applyAlignment="1">
      <alignment wrapText="1"/>
    </xf>
    <xf numFmtId="0" fontId="29" fillId="0" borderId="0" xfId="0" applyFont="1"/>
    <xf numFmtId="0" fontId="0" fillId="0" borderId="0" xfId="0" applyAlignment="1">
      <alignment horizontal="center"/>
    </xf>
    <xf numFmtId="164" fontId="0" fillId="0" borderId="0" xfId="169" applyNumberFormat="1" applyFont="1"/>
    <xf numFmtId="164" fontId="26" fillId="0" borderId="0" xfId="0" applyNumberFormat="1" applyFont="1"/>
    <xf numFmtId="0" fontId="30" fillId="0" borderId="0" xfId="0" applyFont="1"/>
    <xf numFmtId="0" fontId="26" fillId="0" borderId="4" xfId="0" applyFont="1" applyBorder="1" applyAlignment="1">
      <alignment horizontal="center"/>
    </xf>
    <xf numFmtId="0" fontId="26" fillId="0" borderId="6" xfId="0" applyFont="1" applyBorder="1" applyAlignment="1">
      <alignment horizontal="center"/>
    </xf>
    <xf numFmtId="0" fontId="26" fillId="0" borderId="5" xfId="0" applyFont="1" applyBorder="1" applyAlignment="1">
      <alignment horizontal="center"/>
    </xf>
    <xf numFmtId="0" fontId="26" fillId="0" borderId="0" xfId="0" applyFont="1" applyAlignment="1">
      <alignment horizontal="center"/>
    </xf>
    <xf numFmtId="0" fontId="26" fillId="0" borderId="9" xfId="0" applyFont="1" applyBorder="1"/>
    <xf numFmtId="164" fontId="26" fillId="0" borderId="2" xfId="169" applyNumberFormat="1" applyFont="1" applyBorder="1" applyAlignment="1">
      <alignment horizontal="center"/>
    </xf>
    <xf numFmtId="164" fontId="26" fillId="0" borderId="11" xfId="169" applyNumberFormat="1" applyFont="1" applyBorder="1" applyAlignment="1">
      <alignment horizontal="center"/>
    </xf>
    <xf numFmtId="164" fontId="26" fillId="0" borderId="3" xfId="169" applyNumberFormat="1" applyFont="1" applyBorder="1" applyAlignment="1">
      <alignment horizontal="center"/>
    </xf>
    <xf numFmtId="0" fontId="26" fillId="0" borderId="9" xfId="0" applyFont="1" applyBorder="1" applyAlignment="1">
      <alignment horizontal="right"/>
    </xf>
    <xf numFmtId="0" fontId="26" fillId="0" borderId="19" xfId="0" applyFont="1" applyBorder="1" applyAlignment="1">
      <alignment horizontal="center"/>
    </xf>
    <xf numFmtId="0" fontId="26" fillId="0" borderId="0" xfId="0" applyFont="1" applyAlignment="1">
      <alignment horizontal="center"/>
    </xf>
    <xf numFmtId="0" fontId="26" fillId="0" borderId="22" xfId="0" applyFont="1" applyBorder="1" applyAlignment="1">
      <alignment horizontal="center"/>
    </xf>
    <xf numFmtId="0" fontId="31" fillId="0" borderId="19" xfId="0" applyFont="1" applyBorder="1" applyAlignment="1">
      <alignment horizontal="center"/>
    </xf>
    <xf numFmtId="0" fontId="31" fillId="0" borderId="0" xfId="0" applyFont="1" applyAlignment="1">
      <alignment horizontal="center"/>
    </xf>
    <xf numFmtId="0" fontId="31" fillId="0" borderId="22" xfId="0" applyFont="1" applyBorder="1" applyAlignment="1">
      <alignment horizontal="center"/>
    </xf>
    <xf numFmtId="0" fontId="26" fillId="0" borderId="6" xfId="0" applyFont="1" applyBorder="1"/>
    <xf numFmtId="164" fontId="26" fillId="0" borderId="9" xfId="169" applyNumberFormat="1" applyFont="1" applyBorder="1" applyAlignment="1">
      <alignment horizontal="center"/>
    </xf>
    <xf numFmtId="164" fontId="26" fillId="0" borderId="0" xfId="169" applyNumberFormat="1" applyFont="1" applyAlignment="1">
      <alignment horizontal="center"/>
    </xf>
    <xf numFmtId="0" fontId="0" fillId="0" borderId="11" xfId="0" applyBorder="1"/>
    <xf numFmtId="0" fontId="0" fillId="0" borderId="3" xfId="0" applyBorder="1"/>
    <xf numFmtId="164" fontId="26" fillId="0" borderId="2" xfId="169" applyNumberFormat="1" applyFont="1" applyBorder="1" applyAlignment="1">
      <alignment horizontal="right"/>
    </xf>
    <xf numFmtId="0" fontId="26" fillId="0" borderId="17" xfId="0" applyFont="1" applyBorder="1" applyAlignment="1">
      <alignment horizontal="center"/>
    </xf>
    <xf numFmtId="0" fontId="26" fillId="0" borderId="18" xfId="0" applyFont="1" applyBorder="1" applyAlignment="1">
      <alignment horizontal="center"/>
    </xf>
    <xf numFmtId="0" fontId="26" fillId="0" borderId="31" xfId="0" applyFont="1" applyBorder="1" applyAlignment="1">
      <alignment horizontal="center"/>
    </xf>
    <xf numFmtId="0" fontId="26" fillId="0" borderId="32" xfId="0" applyFont="1" applyBorder="1" applyAlignment="1">
      <alignment horizontal="center"/>
    </xf>
    <xf numFmtId="0" fontId="26" fillId="0" borderId="21" xfId="0" applyFont="1" applyBorder="1" applyAlignment="1">
      <alignment horizontal="center"/>
    </xf>
    <xf numFmtId="0" fontId="26" fillId="0" borderId="33" xfId="0" applyFont="1" applyBorder="1" applyAlignment="1">
      <alignment horizontal="center"/>
    </xf>
    <xf numFmtId="0" fontId="26" fillId="0" borderId="34" xfId="0" applyFont="1" applyBorder="1" applyAlignment="1">
      <alignment horizontal="center"/>
    </xf>
    <xf numFmtId="0" fontId="26" fillId="0" borderId="35" xfId="0" applyFont="1" applyBorder="1" applyAlignment="1">
      <alignment horizontal="center"/>
    </xf>
    <xf numFmtId="0" fontId="26" fillId="0" borderId="36" xfId="0" applyFont="1" applyBorder="1" applyAlignment="1">
      <alignment horizontal="center"/>
    </xf>
    <xf numFmtId="0" fontId="26" fillId="0" borderId="37" xfId="0" applyFont="1" applyBorder="1" applyAlignment="1">
      <alignment horizontal="center"/>
    </xf>
    <xf numFmtId="0" fontId="30" fillId="0" borderId="33" xfId="0" applyFont="1" applyBorder="1" applyAlignment="1">
      <alignment horizontal="center"/>
    </xf>
    <xf numFmtId="0" fontId="30" fillId="0" borderId="34" xfId="0" applyFont="1" applyBorder="1" applyAlignment="1">
      <alignment horizontal="center"/>
    </xf>
    <xf numFmtId="0" fontId="29" fillId="0" borderId="27" xfId="0" applyFont="1" applyBorder="1"/>
    <xf numFmtId="0" fontId="30" fillId="0" borderId="35" xfId="0" applyFont="1" applyBorder="1" applyAlignment="1">
      <alignment horizontal="center"/>
    </xf>
    <xf numFmtId="0" fontId="26" fillId="0" borderId="2" xfId="0" applyFont="1" applyBorder="1" applyAlignment="1">
      <alignment horizontal="right"/>
    </xf>
    <xf numFmtId="164" fontId="26" fillId="0" borderId="7" xfId="169" applyNumberFormat="1" applyFont="1" applyBorder="1" applyAlignment="1">
      <alignment horizontal="center"/>
    </xf>
    <xf numFmtId="0" fontId="26" fillId="0" borderId="1" xfId="0" applyFont="1" applyBorder="1"/>
    <xf numFmtId="0" fontId="26" fillId="0" borderId="1" xfId="0" applyFont="1" applyBorder="1" applyAlignment="1">
      <alignment horizontal="center"/>
    </xf>
    <xf numFmtId="164" fontId="26" fillId="0" borderId="1" xfId="169" applyNumberFormat="1" applyFont="1" applyBorder="1" applyAlignment="1">
      <alignment horizontal="right"/>
    </xf>
    <xf numFmtId="164" fontId="26" fillId="0" borderId="9" xfId="169" applyNumberFormat="1" applyFont="1" applyBorder="1" applyAlignment="1">
      <alignment horizontal="right"/>
    </xf>
    <xf numFmtId="164" fontId="26" fillId="0" borderId="0" xfId="169" applyNumberFormat="1" applyFont="1" applyAlignment="1">
      <alignment horizontal="right"/>
    </xf>
    <xf numFmtId="164" fontId="26" fillId="0" borderId="11" xfId="169" applyNumberFormat="1" applyFont="1" applyBorder="1" applyAlignment="1">
      <alignment horizontal="right"/>
    </xf>
    <xf numFmtId="164" fontId="26" fillId="0" borderId="3" xfId="169" applyNumberFormat="1" applyFont="1" applyBorder="1" applyAlignment="1">
      <alignment horizontal="right"/>
    </xf>
    <xf numFmtId="164" fontId="26" fillId="0" borderId="13" xfId="169" applyNumberFormat="1" applyFont="1" applyBorder="1" applyAlignment="1">
      <alignment horizontal="right"/>
    </xf>
    <xf numFmtId="43" fontId="26" fillId="0" borderId="38" xfId="169" applyFont="1" applyBorder="1" applyAlignment="1">
      <alignment horizontal="left"/>
    </xf>
    <xf numFmtId="43" fontId="26" fillId="0" borderId="6" xfId="169" applyFont="1" applyBorder="1" applyAlignment="1">
      <alignment horizontal="left"/>
    </xf>
    <xf numFmtId="43" fontId="26" fillId="0" borderId="5" xfId="169" applyFont="1" applyBorder="1" applyAlignment="1">
      <alignment horizontal="left"/>
    </xf>
    <xf numFmtId="43" fontId="26" fillId="0" borderId="4" xfId="169" applyFont="1" applyBorder="1" applyAlignment="1">
      <alignment horizontal="left"/>
    </xf>
    <xf numFmtId="43" fontId="26" fillId="0" borderId="39" xfId="169" applyFont="1" applyBorder="1" applyAlignment="1">
      <alignment horizontal="left"/>
    </xf>
    <xf numFmtId="43" fontId="26" fillId="0" borderId="40" xfId="169" applyFont="1" applyBorder="1" applyAlignment="1">
      <alignment horizontal="left"/>
    </xf>
    <xf numFmtId="43" fontId="26" fillId="0" borderId="11" xfId="169" applyFont="1" applyBorder="1" applyAlignment="1">
      <alignment horizontal="left"/>
    </xf>
    <xf numFmtId="43" fontId="26" fillId="0" borderId="3" xfId="169" applyFont="1" applyBorder="1" applyAlignment="1">
      <alignment horizontal="left"/>
    </xf>
    <xf numFmtId="43" fontId="26" fillId="0" borderId="2" xfId="169" applyFont="1" applyBorder="1" applyAlignment="1">
      <alignment horizontal="left"/>
    </xf>
    <xf numFmtId="43" fontId="26" fillId="0" borderId="41" xfId="169" applyFont="1" applyBorder="1" applyAlignment="1">
      <alignment horizontal="left"/>
    </xf>
    <xf numFmtId="43" fontId="30" fillId="0" borderId="42" xfId="169" applyFont="1" applyBorder="1" applyAlignment="1">
      <alignment horizontal="left"/>
    </xf>
    <xf numFmtId="43" fontId="30" fillId="0" borderId="1" xfId="169" applyFont="1" applyBorder="1" applyAlignment="1">
      <alignment horizontal="left"/>
    </xf>
    <xf numFmtId="43" fontId="30" fillId="0" borderId="8" xfId="169" applyFont="1" applyBorder="1" applyAlignment="1">
      <alignment horizontal="left"/>
    </xf>
    <xf numFmtId="0" fontId="29" fillId="0" borderId="43" xfId="0" applyFont="1" applyBorder="1"/>
    <xf numFmtId="0" fontId="32" fillId="0" borderId="44" xfId="0" applyFont="1" applyBorder="1"/>
    <xf numFmtId="164" fontId="30" fillId="0" borderId="41" xfId="169" applyNumberFormat="1" applyFont="1" applyBorder="1" applyAlignment="1">
      <alignment horizontal="right"/>
    </xf>
    <xf numFmtId="0" fontId="30" fillId="0" borderId="44" xfId="0" applyFont="1" applyBorder="1" applyAlignment="1">
      <alignment horizontal="center"/>
    </xf>
    <xf numFmtId="164" fontId="30" fillId="0" borderId="41" xfId="169" applyNumberFormat="1" applyFont="1" applyBorder="1" applyAlignment="1">
      <alignment horizontal="center"/>
    </xf>
    <xf numFmtId="43" fontId="26" fillId="0" borderId="0" xfId="169" applyFont="1" applyAlignment="1">
      <alignment horizontal="right"/>
    </xf>
    <xf numFmtId="0" fontId="0" fillId="3" borderId="9" xfId="0" applyFill="1" applyBorder="1" applyAlignment="1">
      <alignment horizontal="center"/>
    </xf>
    <xf numFmtId="0" fontId="0" fillId="3" borderId="0" xfId="0" applyFill="1" applyAlignment="1">
      <alignment horizontal="center"/>
    </xf>
    <xf numFmtId="41" fontId="0" fillId="3" borderId="4" xfId="169" applyNumberFormat="1" applyFont="1" applyFill="1" applyBorder="1"/>
    <xf numFmtId="41" fontId="0" fillId="3" borderId="6" xfId="169" applyNumberFormat="1" applyFont="1" applyFill="1" applyBorder="1"/>
    <xf numFmtId="41" fontId="0" fillId="3" borderId="6" xfId="169" applyNumberFormat="1" applyFont="1" applyFill="1" applyBorder="1" applyAlignment="1">
      <alignment horizontal="center"/>
    </xf>
    <xf numFmtId="164" fontId="0" fillId="3" borderId="6" xfId="169" applyNumberFormat="1" applyFont="1" applyFill="1" applyBorder="1" applyAlignment="1">
      <alignment horizontal="center"/>
    </xf>
    <xf numFmtId="164" fontId="0" fillId="0" borderId="6" xfId="169" applyNumberFormat="1" applyFont="1" applyBorder="1"/>
    <xf numFmtId="164" fontId="0" fillId="0" borderId="5" xfId="0" applyNumberFormat="1" applyBorder="1"/>
    <xf numFmtId="41" fontId="0" fillId="3" borderId="4" xfId="169" applyNumberFormat="1" applyFont="1" applyFill="1" applyBorder="1" applyAlignment="1">
      <alignment horizontal="center"/>
    </xf>
    <xf numFmtId="41" fontId="0" fillId="3" borderId="5" xfId="169" applyNumberFormat="1" applyFont="1" applyFill="1" applyBorder="1" applyAlignment="1">
      <alignment horizontal="center"/>
    </xf>
    <xf numFmtId="164" fontId="0" fillId="3" borderId="38" xfId="169" applyNumberFormat="1" applyFont="1" applyFill="1" applyBorder="1"/>
    <xf numFmtId="164" fontId="0" fillId="3" borderId="6" xfId="169" applyNumberFormat="1" applyFont="1" applyFill="1" applyBorder="1"/>
    <xf numFmtId="164" fontId="0" fillId="3" borderId="5" xfId="169" applyNumberFormat="1" applyFont="1" applyFill="1" applyBorder="1"/>
    <xf numFmtId="164" fontId="0" fillId="3" borderId="4" xfId="169" applyNumberFormat="1" applyFont="1" applyFill="1" applyBorder="1"/>
    <xf numFmtId="164" fontId="0" fillId="3" borderId="39" xfId="169" applyNumberFormat="1" applyFont="1" applyFill="1" applyBorder="1"/>
    <xf numFmtId="41" fontId="29" fillId="0" borderId="0" xfId="0" applyNumberFormat="1" applyFont="1"/>
    <xf numFmtId="41" fontId="29" fillId="0" borderId="38" xfId="169" applyNumberFormat="1" applyFont="1" applyBorder="1"/>
    <xf numFmtId="41" fontId="29" fillId="0" borderId="6" xfId="169" applyNumberFormat="1" applyFont="1" applyBorder="1"/>
    <xf numFmtId="41" fontId="29" fillId="0" borderId="5" xfId="169" applyNumberFormat="1" applyFont="1" applyBorder="1"/>
    <xf numFmtId="0" fontId="29" fillId="0" borderId="28" xfId="0" applyFont="1" applyBorder="1" applyAlignment="1">
      <alignment horizontal="left"/>
    </xf>
    <xf numFmtId="0" fontId="29" fillId="0" borderId="19" xfId="0" applyFont="1" applyBorder="1" applyAlignment="1">
      <alignment horizontal="left"/>
    </xf>
    <xf numFmtId="0" fontId="29" fillId="0" borderId="22" xfId="0" applyFont="1" applyBorder="1" applyAlignment="1">
      <alignment horizontal="left"/>
    </xf>
    <xf numFmtId="41" fontId="0" fillId="3" borderId="9" xfId="169" applyNumberFormat="1" applyFont="1" applyFill="1" applyBorder="1"/>
    <xf numFmtId="41" fontId="0" fillId="3" borderId="0" xfId="169" applyNumberFormat="1" applyFont="1" applyFill="1"/>
    <xf numFmtId="41" fontId="0" fillId="3" borderId="0" xfId="169" applyNumberFormat="1" applyFont="1" applyFill="1" applyAlignment="1">
      <alignment horizontal="center"/>
    </xf>
    <xf numFmtId="164" fontId="0" fillId="3" borderId="0" xfId="169" applyNumberFormat="1" applyFont="1" applyFill="1" applyAlignment="1">
      <alignment horizontal="center"/>
    </xf>
    <xf numFmtId="41" fontId="0" fillId="3" borderId="9" xfId="169" applyNumberFormat="1" applyFont="1" applyFill="1" applyBorder="1" applyAlignment="1">
      <alignment horizontal="center"/>
    </xf>
    <xf numFmtId="41" fontId="0" fillId="3" borderId="10" xfId="169" applyNumberFormat="1" applyFont="1" applyFill="1" applyBorder="1" applyAlignment="1">
      <alignment horizontal="center"/>
    </xf>
    <xf numFmtId="164" fontId="0" fillId="3" borderId="19" xfId="169" applyNumberFormat="1" applyFont="1" applyFill="1" applyBorder="1"/>
    <xf numFmtId="164" fontId="0" fillId="3" borderId="0" xfId="169" applyNumberFormat="1" applyFont="1" applyFill="1"/>
    <xf numFmtId="164" fontId="0" fillId="3" borderId="10" xfId="169" applyNumberFormat="1" applyFont="1" applyFill="1" applyBorder="1"/>
    <xf numFmtId="164" fontId="0" fillId="3" borderId="9" xfId="169" applyNumberFormat="1" applyFont="1" applyFill="1" applyBorder="1"/>
    <xf numFmtId="164" fontId="0" fillId="3" borderId="22" xfId="169" applyNumberFormat="1" applyFont="1" applyFill="1" applyBorder="1"/>
    <xf numFmtId="41" fontId="29" fillId="0" borderId="19" xfId="169" applyNumberFormat="1" applyFont="1" applyBorder="1"/>
    <xf numFmtId="41" fontId="29" fillId="0" borderId="0" xfId="169" applyNumberFormat="1" applyFont="1"/>
    <xf numFmtId="41" fontId="29" fillId="0" borderId="10" xfId="169" applyNumberFormat="1" applyFont="1" applyBorder="1"/>
    <xf numFmtId="41" fontId="0" fillId="3" borderId="9" xfId="169" applyNumberFormat="1" applyFont="1" applyFill="1" applyBorder="1" applyAlignment="1">
      <alignment horizontal="right"/>
    </xf>
    <xf numFmtId="41" fontId="0" fillId="3" borderId="0" xfId="169" applyNumberFormat="1" applyFont="1" applyFill="1" applyAlignment="1">
      <alignment horizontal="right"/>
    </xf>
    <xf numFmtId="0" fontId="26" fillId="0" borderId="1" xfId="0" applyFont="1" applyBorder="1" applyAlignment="1">
      <alignment horizontal="right"/>
    </xf>
    <xf numFmtId="43" fontId="26" fillId="0" borderId="1" xfId="169" applyFont="1" applyBorder="1" applyAlignment="1">
      <alignment horizontal="right"/>
    </xf>
    <xf numFmtId="0" fontId="0" fillId="3" borderId="7" xfId="0" applyFill="1" applyBorder="1" applyAlignment="1">
      <alignment horizontal="center"/>
    </xf>
    <xf numFmtId="0" fontId="0" fillId="0" borderId="1" xfId="0" applyBorder="1" applyAlignment="1">
      <alignment horizontal="center"/>
    </xf>
    <xf numFmtId="0" fontId="0" fillId="3" borderId="1" xfId="0" applyFill="1" applyBorder="1" applyAlignment="1">
      <alignment horizontal="center"/>
    </xf>
    <xf numFmtId="41" fontId="0" fillId="3" borderId="7" xfId="169" applyNumberFormat="1" applyFont="1" applyFill="1" applyBorder="1"/>
    <xf numFmtId="41" fontId="0" fillId="3" borderId="1" xfId="169" applyNumberFormat="1" applyFont="1" applyFill="1" applyBorder="1"/>
    <xf numFmtId="41" fontId="0" fillId="3" borderId="1" xfId="169" applyNumberFormat="1" applyFont="1" applyFill="1" applyBorder="1" applyAlignment="1">
      <alignment horizontal="center"/>
    </xf>
    <xf numFmtId="164" fontId="0" fillId="3" borderId="1" xfId="169" applyNumberFormat="1" applyFont="1" applyFill="1" applyBorder="1" applyAlignment="1">
      <alignment horizontal="center"/>
    </xf>
    <xf numFmtId="164" fontId="0" fillId="0" borderId="1" xfId="169" applyNumberFormat="1" applyFont="1" applyBorder="1"/>
    <xf numFmtId="164" fontId="0" fillId="0" borderId="8" xfId="0" applyNumberFormat="1" applyBorder="1"/>
    <xf numFmtId="41" fontId="0" fillId="3" borderId="7" xfId="169" applyNumberFormat="1" applyFont="1" applyFill="1" applyBorder="1" applyAlignment="1">
      <alignment horizontal="center"/>
    </xf>
    <xf numFmtId="41" fontId="0" fillId="3" borderId="8" xfId="169" applyNumberFormat="1" applyFont="1" applyFill="1" applyBorder="1" applyAlignment="1">
      <alignment horizontal="center"/>
    </xf>
    <xf numFmtId="164" fontId="0" fillId="3" borderId="20" xfId="169" applyNumberFormat="1" applyFont="1" applyFill="1" applyBorder="1"/>
    <xf numFmtId="164" fontId="0" fillId="3" borderId="16" xfId="169" applyNumberFormat="1" applyFont="1" applyFill="1" applyBorder="1"/>
    <xf numFmtId="164" fontId="0" fillId="3" borderId="45" xfId="169" applyNumberFormat="1" applyFont="1" applyFill="1" applyBorder="1"/>
    <xf numFmtId="164" fontId="0" fillId="3" borderId="46" xfId="169" applyNumberFormat="1" applyFont="1" applyFill="1" applyBorder="1"/>
    <xf numFmtId="164" fontId="0" fillId="3" borderId="23" xfId="169" applyNumberFormat="1" applyFont="1" applyFill="1" applyBorder="1"/>
    <xf numFmtId="41" fontId="29" fillId="0" borderId="20" xfId="169" applyNumberFormat="1" applyFont="1" applyBorder="1"/>
    <xf numFmtId="41" fontId="29" fillId="0" borderId="16" xfId="169" applyNumberFormat="1" applyFont="1" applyBorder="1"/>
    <xf numFmtId="41" fontId="29" fillId="0" borderId="45" xfId="169" applyNumberFormat="1" applyFont="1" applyBorder="1"/>
    <xf numFmtId="0" fontId="29" fillId="0" borderId="20" xfId="0" applyFont="1" applyBorder="1" applyAlignment="1">
      <alignment horizontal="left"/>
    </xf>
    <xf numFmtId="0" fontId="29" fillId="0" borderId="23" xfId="0" applyFont="1" applyBorder="1" applyAlignment="1">
      <alignment horizontal="left"/>
    </xf>
    <xf numFmtId="164" fontId="0" fillId="0" borderId="0" xfId="0" applyNumberFormat="1"/>
    <xf numFmtId="41" fontId="26" fillId="0" borderId="30" xfId="169" applyNumberFormat="1" applyFont="1" applyBorder="1"/>
    <xf numFmtId="41" fontId="26" fillId="0" borderId="24" xfId="169" applyNumberFormat="1" applyFont="1" applyBorder="1"/>
    <xf numFmtId="41" fontId="26" fillId="0" borderId="47" xfId="169" applyNumberFormat="1" applyFont="1" applyBorder="1"/>
    <xf numFmtId="41" fontId="26" fillId="0" borderId="48" xfId="169" applyNumberFormat="1" applyFont="1" applyBorder="1"/>
    <xf numFmtId="41" fontId="26" fillId="0" borderId="25" xfId="169" applyNumberFormat="1" applyFont="1" applyBorder="1"/>
    <xf numFmtId="41" fontId="30" fillId="0" borderId="30" xfId="169" applyNumberFormat="1" applyFont="1" applyBorder="1"/>
    <xf numFmtId="41" fontId="30" fillId="0" borderId="24" xfId="169" applyNumberFormat="1" applyFont="1" applyBorder="1"/>
    <xf numFmtId="41" fontId="30" fillId="0" borderId="47" xfId="169" applyNumberFormat="1" applyFont="1" applyBorder="1"/>
    <xf numFmtId="0" fontId="29" fillId="0" borderId="26" xfId="0" applyFont="1" applyBorder="1"/>
    <xf numFmtId="0" fontId="29" fillId="0" borderId="30" xfId="0" applyFont="1" applyBorder="1"/>
    <xf numFmtId="0" fontId="29" fillId="0" borderId="25" xfId="0" applyFont="1" applyBorder="1"/>
    <xf numFmtId="167" fontId="0" fillId="0" borderId="0" xfId="170" applyNumberFormat="1" applyFont="1"/>
    <xf numFmtId="0" fontId="0" fillId="0" borderId="3" xfId="0" applyBorder="1" applyAlignment="1">
      <alignment horizontal="center"/>
    </xf>
    <xf numFmtId="0" fontId="26" fillId="0" borderId="5" xfId="0" applyFont="1" applyBorder="1" applyAlignment="1">
      <alignment horizontal="right"/>
    </xf>
    <xf numFmtId="0" fontId="26" fillId="0" borderId="7" xfId="0" applyFont="1" applyBorder="1" applyAlignment="1">
      <alignment horizontal="right"/>
    </xf>
    <xf numFmtId="0" fontId="26" fillId="0" borderId="8" xfId="0" applyFont="1" applyBorder="1" applyAlignment="1">
      <alignment horizontal="right"/>
    </xf>
    <xf numFmtId="0" fontId="26" fillId="0" borderId="15" xfId="0" applyFont="1" applyBorder="1" applyAlignment="1">
      <alignment horizontal="right"/>
    </xf>
    <xf numFmtId="0" fontId="0" fillId="0" borderId="4" xfId="0" applyBorder="1" applyAlignment="1">
      <alignment horizontal="left"/>
    </xf>
    <xf numFmtId="164" fontId="0" fillId="3" borderId="5" xfId="169" applyNumberFormat="1" applyFont="1" applyFill="1" applyBorder="1" applyAlignment="1">
      <alignment horizontal="center"/>
    </xf>
    <xf numFmtId="0" fontId="0" fillId="0" borderId="5" xfId="0" applyBorder="1" applyAlignment="1">
      <alignment horizontal="right"/>
    </xf>
    <xf numFmtId="164" fontId="0" fillId="0" borderId="12" xfId="0" applyNumberFormat="1" applyBorder="1"/>
    <xf numFmtId="0" fontId="0" fillId="0" borderId="9" xfId="0" applyBorder="1" applyAlignment="1">
      <alignment horizontal="left"/>
    </xf>
    <xf numFmtId="164" fontId="0" fillId="3" borderId="10" xfId="169" applyNumberFormat="1" applyFont="1" applyFill="1" applyBorder="1" applyAlignment="1">
      <alignment horizontal="center"/>
    </xf>
    <xf numFmtId="0" fontId="0" fillId="0" borderId="10" xfId="0" applyBorder="1" applyAlignment="1">
      <alignment horizontal="right"/>
    </xf>
    <xf numFmtId="164" fontId="0" fillId="0" borderId="14" xfId="0" applyNumberFormat="1" applyBorder="1"/>
    <xf numFmtId="0" fontId="0" fillId="0" borderId="7" xfId="0" applyBorder="1" applyAlignment="1">
      <alignment horizontal="left"/>
    </xf>
    <xf numFmtId="164" fontId="0" fillId="3" borderId="7" xfId="169" applyNumberFormat="1" applyFont="1" applyFill="1" applyBorder="1"/>
    <xf numFmtId="164" fontId="0" fillId="3" borderId="1" xfId="169" applyNumberFormat="1" applyFont="1" applyFill="1" applyBorder="1"/>
    <xf numFmtId="164" fontId="0" fillId="3" borderId="8" xfId="169" applyNumberFormat="1" applyFont="1" applyFill="1" applyBorder="1" applyAlignment="1">
      <alignment horizontal="center"/>
    </xf>
    <xf numFmtId="0" fontId="0" fillId="0" borderId="8" xfId="0" applyBorder="1" applyAlignment="1">
      <alignment horizontal="right"/>
    </xf>
    <xf numFmtId="164" fontId="0" fillId="0" borderId="15" xfId="0" applyNumberFormat="1" applyBorder="1"/>
    <xf numFmtId="0" fontId="26" fillId="0" borderId="0" xfId="0" applyFont="1" applyAlignment="1">
      <alignment horizontal="left"/>
    </xf>
    <xf numFmtId="164" fontId="0" fillId="0" borderId="9" xfId="129" applyNumberFormat="1" applyFont="1" applyBorder="1"/>
    <xf numFmtId="164" fontId="0" fillId="0" borderId="0" xfId="129" applyNumberFormat="1" applyFont="1"/>
    <xf numFmtId="164" fontId="0" fillId="0" borderId="10" xfId="129" applyNumberFormat="1" applyFont="1" applyBorder="1"/>
    <xf numFmtId="0" fontId="13" fillId="0" borderId="13" xfId="31" applyBorder="1"/>
    <xf numFmtId="0" fontId="13" fillId="3" borderId="13" xfId="31" applyFill="1" applyBorder="1"/>
    <xf numFmtId="0" fontId="0" fillId="12" borderId="0" xfId="0" applyFill="1"/>
    <xf numFmtId="0" fontId="0" fillId="0" borderId="4"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164" fontId="26" fillId="0" borderId="9" xfId="129" applyNumberFormat="1" applyFont="1" applyBorder="1"/>
    <xf numFmtId="164" fontId="0" fillId="3" borderId="0" xfId="169" applyNumberFormat="1" applyFont="1" applyFill="1" applyAlignment="1">
      <alignment horizontal="right"/>
    </xf>
    <xf numFmtId="9" fontId="0" fillId="3" borderId="5" xfId="170" applyFont="1" applyFill="1" applyBorder="1"/>
    <xf numFmtId="9" fontId="0" fillId="3" borderId="10" xfId="170" applyFont="1" applyFill="1" applyBorder="1"/>
    <xf numFmtId="9" fontId="0" fillId="3" borderId="8" xfId="170" applyFont="1" applyFill="1" applyBorder="1"/>
    <xf numFmtId="0" fontId="26" fillId="13" borderId="0" xfId="0" applyFont="1" applyFill="1"/>
    <xf numFmtId="0" fontId="0" fillId="13" borderId="0" xfId="0" applyFill="1"/>
    <xf numFmtId="164" fontId="0" fillId="13" borderId="0" xfId="169" applyNumberFormat="1" applyFont="1" applyFill="1"/>
    <xf numFmtId="164" fontId="0" fillId="0" borderId="11" xfId="169" applyNumberFormat="1" applyFont="1" applyBorder="1"/>
    <xf numFmtId="164" fontId="0" fillId="0" borderId="3" xfId="169" applyNumberFormat="1" applyFont="1" applyBorder="1"/>
    <xf numFmtId="164" fontId="0" fillId="3" borderId="0" xfId="129" applyNumberFormat="1" applyFont="1" applyFill="1"/>
    <xf numFmtId="164" fontId="0" fillId="3" borderId="0" xfId="0" applyNumberFormat="1" applyFill="1"/>
    <xf numFmtId="43" fontId="0" fillId="0" borderId="0" xfId="0" applyNumberFormat="1" applyAlignment="1">
      <alignment wrapText="1"/>
    </xf>
    <xf numFmtId="164" fontId="0" fillId="0" borderId="0" xfId="0" applyNumberFormat="1" applyAlignment="1">
      <alignment wrapText="1"/>
    </xf>
    <xf numFmtId="9" fontId="0" fillId="0" borderId="0" xfId="62" applyFont="1" applyAlignment="1">
      <alignment wrapText="1"/>
    </xf>
    <xf numFmtId="0" fontId="0" fillId="0" borderId="9" xfId="0" applyFill="1" applyBorder="1"/>
    <xf numFmtId="43" fontId="0" fillId="0" borderId="0" xfId="1" applyFont="1" applyAlignment="1">
      <alignment wrapText="1"/>
    </xf>
    <xf numFmtId="43" fontId="0" fillId="0" borderId="10" xfId="1" applyFont="1" applyFill="1" applyBorder="1"/>
  </cellXfs>
  <cellStyles count="172">
    <cellStyle name="0" xfId="4" xr:uid="{00000000-0005-0000-0000-000000000000}"/>
    <cellStyle name="20% - Accent3 2" xfId="5" xr:uid="{00000000-0005-0000-0000-000001000000}"/>
    <cellStyle name="20% - Accent3 2 2" xfId="137" xr:uid="{00000000-0005-0000-0000-000001000000}"/>
    <cellStyle name="20% - Accent3 2 2 2" xfId="162" xr:uid="{00000000-0005-0000-0000-000001000000}"/>
    <cellStyle name="20% - Accent3 2 3" xfId="151" xr:uid="{00000000-0005-0000-0000-000001000000}"/>
    <cellStyle name="Column_Title" xfId="6" xr:uid="{00000000-0005-0000-0000-000002000000}"/>
    <cellStyle name="Comma" xfId="1" builtinId="3"/>
    <cellStyle name="Comma 10" xfId="7" xr:uid="{00000000-0005-0000-0000-000004000000}"/>
    <cellStyle name="Comma 10 2" xfId="135" xr:uid="{CF1BF2E8-2C6E-4EAB-90E6-BB6B4C419955}"/>
    <cellStyle name="Comma 10 2 2" xfId="158" xr:uid="{CF1BF2E8-2C6E-4EAB-90E6-BB6B4C419955}"/>
    <cellStyle name="Comma 10 3" xfId="136" xr:uid="{308556FF-6240-4D42-91AD-27B4EEF455E2}"/>
    <cellStyle name="Comma 10 3 2" xfId="159" xr:uid="{308556FF-6240-4D42-91AD-27B4EEF455E2}"/>
    <cellStyle name="Comma 10 4" xfId="138" xr:uid="{00000000-0005-0000-0000-000004000000}"/>
    <cellStyle name="Comma 10 4 2" xfId="163" xr:uid="{00000000-0005-0000-0000-000004000000}"/>
    <cellStyle name="Comma 10 5" xfId="149" xr:uid="{B6A1C93A-BCCE-43BA-A3D0-A7B1FFDD8D33}"/>
    <cellStyle name="Comma 11" xfId="73" xr:uid="{00000000-0005-0000-0000-000005000000}"/>
    <cellStyle name="Comma 11 2" xfId="129" xr:uid="{B12BB10E-9DFD-450C-8A41-9ED1AB2A08D3}"/>
    <cellStyle name="Comma 12" xfId="74" xr:uid="{00000000-0005-0000-0000-000006000000}"/>
    <cellStyle name="Comma 12 2" xfId="130" xr:uid="{A119FC2A-43FC-4410-9D5E-FB8AA9877672}"/>
    <cellStyle name="Comma 13" xfId="79" xr:uid="{00000000-0005-0000-0000-000007000000}"/>
    <cellStyle name="Comma 13 2" xfId="142" xr:uid="{00000000-0005-0000-0000-000007000000}"/>
    <cellStyle name="Comma 14" xfId="80" xr:uid="{00000000-0005-0000-0000-000008000000}"/>
    <cellStyle name="Comma 14 2" xfId="143" xr:uid="{00000000-0005-0000-0000-000008000000}"/>
    <cellStyle name="Comma 15" xfId="83" xr:uid="{00000000-0005-0000-0000-000009000000}"/>
    <cellStyle name="Comma 15 2" xfId="144" xr:uid="{00000000-0005-0000-0000-000009000000}"/>
    <cellStyle name="Comma 16" xfId="84" xr:uid="{00000000-0005-0000-0000-00000A000000}"/>
    <cellStyle name="Comma 17" xfId="169" xr:uid="{383D8EB8-6E79-4306-A167-F790EFBD1795}"/>
    <cellStyle name="Comma 2" xfId="8" xr:uid="{00000000-0005-0000-0000-00000B000000}"/>
    <cellStyle name="Comma 2 2" xfId="9" xr:uid="{00000000-0005-0000-0000-00000C000000}"/>
    <cellStyle name="Comma 2 3" xfId="152" xr:uid="{00000000-0005-0000-0000-00000B000000}"/>
    <cellStyle name="Comma 2 4" xfId="147" xr:uid="{9B73B6FD-4152-4B32-9500-448EDC0B7DA8}"/>
    <cellStyle name="Comma 3" xfId="10" xr:uid="{00000000-0005-0000-0000-00000D000000}"/>
    <cellStyle name="Comma 3 2" xfId="11" xr:uid="{00000000-0005-0000-0000-00000E000000}"/>
    <cellStyle name="Comma 4" xfId="12" xr:uid="{00000000-0005-0000-0000-00000F000000}"/>
    <cellStyle name="Comma 4 2" xfId="13" xr:uid="{00000000-0005-0000-0000-000010000000}"/>
    <cellStyle name="Comma 5" xfId="14" xr:uid="{00000000-0005-0000-0000-000011000000}"/>
    <cellStyle name="Comma 6" xfId="15" xr:uid="{00000000-0005-0000-0000-000012000000}"/>
    <cellStyle name="Comma 7" xfId="16" xr:uid="{00000000-0005-0000-0000-000013000000}"/>
    <cellStyle name="Comma 7 2" xfId="3" xr:uid="{00000000-0005-0000-0000-000014000000}"/>
    <cellStyle name="Comma 8" xfId="17" xr:uid="{00000000-0005-0000-0000-000015000000}"/>
    <cellStyle name="Comma 9" xfId="18" xr:uid="{00000000-0005-0000-0000-000016000000}"/>
    <cellStyle name="Comma 9 2" xfId="19" xr:uid="{00000000-0005-0000-0000-000017000000}"/>
    <cellStyle name="Comma 9 2 2" xfId="81" xr:uid="{00000000-0005-0000-0000-000018000000}"/>
    <cellStyle name="Comma 9 2 2 2" xfId="133" xr:uid="{5CC05A95-79C2-414A-8D9F-453861C82F44}"/>
    <cellStyle name="Comma0" xfId="20" xr:uid="{00000000-0005-0000-0000-000019000000}"/>
    <cellStyle name="Currency" xfId="128" builtinId="4"/>
    <cellStyle name="Currency 2" xfId="21" xr:uid="{00000000-0005-0000-0000-00001A000000}"/>
    <cellStyle name="Currency 2 2" xfId="153" xr:uid="{00000000-0005-0000-0000-00001A000000}"/>
    <cellStyle name="Currency 2 3" xfId="150" xr:uid="{40A81F43-890C-4B9A-97E8-318DC6218318}"/>
    <cellStyle name="Currency 3" xfId="22" xr:uid="{00000000-0005-0000-0000-00001B000000}"/>
    <cellStyle name="Currency 4" xfId="23" xr:uid="{00000000-0005-0000-0000-00001C000000}"/>
    <cellStyle name="Currency 4 2" xfId="24" xr:uid="{00000000-0005-0000-0000-00001D000000}"/>
    <cellStyle name="Currency 5" xfId="131" xr:uid="{F7DD3388-B1B9-4A0B-B17F-B9A9E5986A9B}"/>
    <cellStyle name="Currency0" xfId="25" xr:uid="{00000000-0005-0000-0000-00001E000000}"/>
    <cellStyle name="Date" xfId="26" xr:uid="{00000000-0005-0000-0000-00001F000000}"/>
    <cellStyle name="Fixed" xfId="27" xr:uid="{00000000-0005-0000-0000-000020000000}"/>
    <cellStyle name="Followed Hyperlink" xfId="55" builtinId="9" hidden="1"/>
    <cellStyle name="Followed Hyperlink" xfId="57" builtinId="9" hidden="1"/>
    <cellStyle name="Followed Hyperlink" xfId="59" builtinId="9" hidden="1"/>
    <cellStyle name="Followed Hyperlink" xfId="61"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6" builtinId="9" hidden="1"/>
    <cellStyle name="Followed Hyperlink" xfId="78" builtinId="9" hidden="1"/>
    <cellStyle name="Followed Hyperlink" xfId="86"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Grey" xfId="28" xr:uid="{00000000-0005-0000-0000-000055000000}"/>
    <cellStyle name="Hyperlink" xfId="54" builtinId="8" hidden="1"/>
    <cellStyle name="Hyperlink" xfId="56" builtinId="8" hidden="1"/>
    <cellStyle name="Hyperlink" xfId="58" builtinId="8" hidden="1"/>
    <cellStyle name="Hyperlink" xfId="60"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5" builtinId="8" hidden="1"/>
    <cellStyle name="Hyperlink" xfId="77" builtinId="8" hidden="1"/>
    <cellStyle name="Hyperlink" xfId="85" builtinId="8" hidden="1"/>
    <cellStyle name="Hyperlink" xfId="87" builtinId="8" hidden="1"/>
    <cellStyle name="Hyperlink 2" xfId="134" xr:uid="{1B29D27E-C057-4BBE-B9C2-ADDF8FEEB4B6}"/>
    <cellStyle name="Input [yellow]" xfId="29" xr:uid="{00000000-0005-0000-0000-000063000000}"/>
    <cellStyle name="Normal" xfId="0" builtinId="0"/>
    <cellStyle name="Normal - Style1" xfId="30" xr:uid="{00000000-0005-0000-0000-000065000000}"/>
    <cellStyle name="Normal 10" xfId="145" xr:uid="{00000000-0005-0000-0000-0000C8000000}"/>
    <cellStyle name="Normal 11" xfId="166" xr:uid="{00000000-0005-0000-0000-00008B000000}"/>
    <cellStyle name="Normal 12" xfId="167" xr:uid="{00000000-0005-0000-0000-000092000000}"/>
    <cellStyle name="Normal 13" xfId="157" xr:uid="{00000000-0005-0000-0000-0000D1000000}"/>
    <cellStyle name="Normal 2" xfId="2" xr:uid="{00000000-0005-0000-0000-000066000000}"/>
    <cellStyle name="Normal 2 2" xfId="31" xr:uid="{00000000-0005-0000-0000-000067000000}"/>
    <cellStyle name="Normal 3" xfId="32" xr:uid="{00000000-0005-0000-0000-000068000000}"/>
    <cellStyle name="Normal 3 2" xfId="33" xr:uid="{00000000-0005-0000-0000-000069000000}"/>
    <cellStyle name="Normal 3 3" xfId="34" xr:uid="{00000000-0005-0000-0000-00006A000000}"/>
    <cellStyle name="Normal 3 4" xfId="154" xr:uid="{00000000-0005-0000-0000-000068000000}"/>
    <cellStyle name="Normal 3 5" xfId="146" xr:uid="{EB9D70BE-627A-4CA5-A590-5469C4A5FEFD}"/>
    <cellStyle name="Normal 4" xfId="35" xr:uid="{00000000-0005-0000-0000-00006B000000}"/>
    <cellStyle name="Normal 5" xfId="36" xr:uid="{00000000-0005-0000-0000-00006C000000}"/>
    <cellStyle name="Normal 5 2" xfId="37" xr:uid="{00000000-0005-0000-0000-00006D000000}"/>
    <cellStyle name="Normal 5 3" xfId="139" xr:uid="{00000000-0005-0000-0000-00006D000000}"/>
    <cellStyle name="Normal 5 3 2" xfId="164" xr:uid="{00000000-0005-0000-0000-00006D000000}"/>
    <cellStyle name="Normal 5 4" xfId="155" xr:uid="{00000000-0005-0000-0000-00006C000000}"/>
    <cellStyle name="Normal 6" xfId="38" xr:uid="{00000000-0005-0000-0000-00006E000000}"/>
    <cellStyle name="Normal 7" xfId="39" xr:uid="{00000000-0005-0000-0000-00006F000000}"/>
    <cellStyle name="Normal 7 2" xfId="40" xr:uid="{00000000-0005-0000-0000-000070000000}"/>
    <cellStyle name="Normal 7 2 2" xfId="82" xr:uid="{00000000-0005-0000-0000-000071000000}"/>
    <cellStyle name="Normal 7 2 2 2" xfId="132" xr:uid="{0353A86B-D22A-4991-BDCB-8E5495F0AA3F}"/>
    <cellStyle name="Normal 8" xfId="41" xr:uid="{00000000-0005-0000-0000-000072000000}"/>
    <cellStyle name="Normal 8 2" xfId="140" xr:uid="{00000000-0005-0000-0000-000073000000}"/>
    <cellStyle name="Normal 9" xfId="160" xr:uid="{00000000-0005-0000-0000-00007C000000}"/>
    <cellStyle name="Percent" xfId="62" builtinId="5"/>
    <cellStyle name="Percent [2]" xfId="42" xr:uid="{00000000-0005-0000-0000-000074000000}"/>
    <cellStyle name="Percent 10" xfId="43" xr:uid="{00000000-0005-0000-0000-000075000000}"/>
    <cellStyle name="Percent 10 2" xfId="141" xr:uid="{00000000-0005-0000-0000-000076000000}"/>
    <cellStyle name="Percent 11" xfId="161" xr:uid="{00000000-0005-0000-0000-00007F000000}"/>
    <cellStyle name="Percent 12" xfId="165" xr:uid="{00000000-0005-0000-0000-000090000000}"/>
    <cellStyle name="Percent 13" xfId="168" xr:uid="{00000000-0005-0000-0000-000093000000}"/>
    <cellStyle name="Percent 14" xfId="170" xr:uid="{51667CCD-8D52-4A7B-81B3-8A564DAF5021}"/>
    <cellStyle name="Percent 15" xfId="171" xr:uid="{00000000-0005-0000-0000-0000D8000000}"/>
    <cellStyle name="Percent 2" xfId="44" xr:uid="{00000000-0005-0000-0000-000076000000}"/>
    <cellStyle name="Percent 2 2" xfId="156" xr:uid="{00000000-0005-0000-0000-000076000000}"/>
    <cellStyle name="Percent 2 3" xfId="148" xr:uid="{35AFF5D0-0540-4206-92E1-7664A87F345C}"/>
    <cellStyle name="Percent 3" xfId="45" xr:uid="{00000000-0005-0000-0000-000077000000}"/>
    <cellStyle name="Percent 3 2" xfId="46" xr:uid="{00000000-0005-0000-0000-000078000000}"/>
    <cellStyle name="Percent 4" xfId="47" xr:uid="{00000000-0005-0000-0000-000079000000}"/>
    <cellStyle name="Percent 5" xfId="48" xr:uid="{00000000-0005-0000-0000-00007A000000}"/>
    <cellStyle name="Percent 6" xfId="49" xr:uid="{00000000-0005-0000-0000-00007B000000}"/>
    <cellStyle name="Percent 7" xfId="50" xr:uid="{00000000-0005-0000-0000-00007C000000}"/>
    <cellStyle name="Percent 7 2" xfId="51" xr:uid="{00000000-0005-0000-0000-00007D000000}"/>
    <cellStyle name="Percent 8" xfId="52" xr:uid="{00000000-0005-0000-0000-00007E000000}"/>
    <cellStyle name="Percent 9" xfId="53" xr:uid="{00000000-0005-0000-0000-00007F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D5FFFF"/>
      <color rgb="FF5B9BD5"/>
      <color rgb="FF929292"/>
      <color rgb="FFFF9300"/>
      <color rgb="FFED7D31"/>
      <color rgb="FFEBEBEB"/>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15</xdr:col>
      <xdr:colOff>80656</xdr:colOff>
      <xdr:row>17</xdr:row>
      <xdr:rowOff>77817</xdr:rowOff>
    </xdr:from>
    <xdr:to>
      <xdr:col>25</xdr:col>
      <xdr:colOff>79656</xdr:colOff>
      <xdr:row>41</xdr:row>
      <xdr:rowOff>6209</xdr:rowOff>
    </xdr:to>
    <xdr:pic>
      <xdr:nvPicPr>
        <xdr:cNvPr id="2" name="Picture 1">
          <a:extLst>
            <a:ext uri="{FF2B5EF4-FFF2-40B4-BE49-F238E27FC236}">
              <a16:creationId xmlns:a16="http://schemas.microsoft.com/office/drawing/2014/main" id="{07EE8960-4763-40F7-A548-4DBFF699F8C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675323" y="3496234"/>
          <a:ext cx="6560666" cy="47543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20</xdr:col>
      <xdr:colOff>5549</xdr:colOff>
      <xdr:row>2</xdr:row>
      <xdr:rowOff>0</xdr:rowOff>
    </xdr:from>
    <xdr:to>
      <xdr:col>26</xdr:col>
      <xdr:colOff>3377710</xdr:colOff>
      <xdr:row>30</xdr:row>
      <xdr:rowOff>17995</xdr:rowOff>
    </xdr:to>
    <xdr:pic>
      <xdr:nvPicPr>
        <xdr:cNvPr id="4" name="Picture 3">
          <a:extLst>
            <a:ext uri="{FF2B5EF4-FFF2-40B4-BE49-F238E27FC236}">
              <a16:creationId xmlns:a16="http://schemas.microsoft.com/office/drawing/2014/main" id="{2D13BB9A-990A-434D-BCA2-55039DD482B7}"/>
            </a:ext>
          </a:extLst>
        </xdr:cNvPr>
        <xdr:cNvPicPr>
          <a:picLocks noChangeAspect="1"/>
        </xdr:cNvPicPr>
      </xdr:nvPicPr>
      <xdr:blipFill>
        <a:blip xmlns:r="http://schemas.openxmlformats.org/officeDocument/2006/relationships" r:embed="rId1"/>
        <a:stretch>
          <a:fillRect/>
        </a:stretch>
      </xdr:blipFill>
      <xdr:spPr>
        <a:xfrm>
          <a:off x="13721549" y="392545"/>
          <a:ext cx="12723979" cy="5513632"/>
        </a:xfrm>
        <a:prstGeom prst="rect">
          <a:avLst/>
        </a:prstGeom>
      </xdr:spPr>
    </xdr:pic>
    <xdr:clientData/>
  </xdr:twoCellAnchor>
  <xdr:twoCellAnchor editAs="oneCell">
    <xdr:from>
      <xdr:col>27</xdr:col>
      <xdr:colOff>46182</xdr:colOff>
      <xdr:row>0</xdr:row>
      <xdr:rowOff>65056</xdr:rowOff>
    </xdr:from>
    <xdr:to>
      <xdr:col>38</xdr:col>
      <xdr:colOff>811585</xdr:colOff>
      <xdr:row>29</xdr:row>
      <xdr:rowOff>166634</xdr:rowOff>
    </xdr:to>
    <xdr:pic>
      <xdr:nvPicPr>
        <xdr:cNvPr id="5" name="Picture 4">
          <a:extLst>
            <a:ext uri="{FF2B5EF4-FFF2-40B4-BE49-F238E27FC236}">
              <a16:creationId xmlns:a16="http://schemas.microsoft.com/office/drawing/2014/main" id="{0CC80EB3-302D-45FE-A9D4-7C20BC4C9A16}"/>
            </a:ext>
          </a:extLst>
        </xdr:cNvPr>
        <xdr:cNvPicPr>
          <a:picLocks noChangeAspect="1"/>
        </xdr:cNvPicPr>
      </xdr:nvPicPr>
      <xdr:blipFill>
        <a:blip xmlns:r="http://schemas.openxmlformats.org/officeDocument/2006/relationships" r:embed="rId2"/>
        <a:stretch>
          <a:fillRect/>
        </a:stretch>
      </xdr:blipFill>
      <xdr:spPr>
        <a:xfrm>
          <a:off x="10529455" y="65056"/>
          <a:ext cx="13453857" cy="5793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214688</xdr:colOff>
      <xdr:row>0</xdr:row>
      <xdr:rowOff>183445</xdr:rowOff>
    </xdr:from>
    <xdr:to>
      <xdr:col>16</xdr:col>
      <xdr:colOff>415814</xdr:colOff>
      <xdr:row>27</xdr:row>
      <xdr:rowOff>133030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srcRect l="56558"/>
        <a:stretch/>
      </xdr:blipFill>
      <xdr:spPr>
        <a:xfrm>
          <a:off x="214688" y="183445"/>
          <a:ext cx="9518953" cy="5338014"/>
        </a:xfrm>
        <a:prstGeom prst="rect">
          <a:avLst/>
        </a:prstGeom>
      </xdr:spPr>
    </xdr:pic>
    <xdr:clientData/>
  </xdr:twoCellAnchor>
  <xdr:twoCellAnchor editAs="oneCell">
    <xdr:from>
      <xdr:col>25</xdr:col>
      <xdr:colOff>4593568</xdr:colOff>
      <xdr:row>0</xdr:row>
      <xdr:rowOff>156806</xdr:rowOff>
    </xdr:from>
    <xdr:to>
      <xdr:col>28</xdr:col>
      <xdr:colOff>1509468</xdr:colOff>
      <xdr:row>27</xdr:row>
      <xdr:rowOff>73451</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24046549" y="156806"/>
          <a:ext cx="9713592" cy="51920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27</xdr:col>
      <xdr:colOff>46182</xdr:colOff>
      <xdr:row>0</xdr:row>
      <xdr:rowOff>65056</xdr:rowOff>
    </xdr:from>
    <xdr:to>
      <xdr:col>38</xdr:col>
      <xdr:colOff>811585</xdr:colOff>
      <xdr:row>29</xdr:row>
      <xdr:rowOff>166634</xdr:rowOff>
    </xdr:to>
    <xdr:pic>
      <xdr:nvPicPr>
        <xdr:cNvPr id="3" name="Picture 2">
          <a:extLst>
            <a:ext uri="{FF2B5EF4-FFF2-40B4-BE49-F238E27FC236}">
              <a16:creationId xmlns:a16="http://schemas.microsoft.com/office/drawing/2014/main" id="{5C0BDF79-FF3F-4957-97BD-37F4719ACAF6}"/>
            </a:ext>
          </a:extLst>
        </xdr:cNvPr>
        <xdr:cNvPicPr>
          <a:picLocks noChangeAspect="1"/>
        </xdr:cNvPicPr>
      </xdr:nvPicPr>
      <xdr:blipFill>
        <a:blip xmlns:r="http://schemas.openxmlformats.org/officeDocument/2006/relationships" r:embed="rId1"/>
        <a:stretch>
          <a:fillRect/>
        </a:stretch>
      </xdr:blipFill>
      <xdr:spPr>
        <a:xfrm>
          <a:off x="29186332" y="65056"/>
          <a:ext cx="13452703" cy="5810228"/>
        </a:xfrm>
        <a:prstGeom prst="rect">
          <a:avLst/>
        </a:prstGeom>
      </xdr:spPr>
    </xdr:pic>
    <xdr:clientData/>
  </xdr:twoCellAnchor>
  <xdr:twoCellAnchor editAs="oneCell">
    <xdr:from>
      <xdr:col>1</xdr:col>
      <xdr:colOff>1</xdr:colOff>
      <xdr:row>1</xdr:row>
      <xdr:rowOff>0</xdr:rowOff>
    </xdr:from>
    <xdr:to>
      <xdr:col>16</xdr:col>
      <xdr:colOff>454121</xdr:colOff>
      <xdr:row>23</xdr:row>
      <xdr:rowOff>184727</xdr:rowOff>
    </xdr:to>
    <xdr:pic>
      <xdr:nvPicPr>
        <xdr:cNvPr id="5" name="table">
          <a:extLst>
            <a:ext uri="{FF2B5EF4-FFF2-40B4-BE49-F238E27FC236}">
              <a16:creationId xmlns:a16="http://schemas.microsoft.com/office/drawing/2014/main" id="{B39BEA3C-ED0C-4823-87D5-FA901D37F620}"/>
            </a:ext>
          </a:extLst>
        </xdr:cNvPr>
        <xdr:cNvPicPr>
          <a:picLocks noChangeAspect="1"/>
        </xdr:cNvPicPr>
      </xdr:nvPicPr>
      <xdr:blipFill>
        <a:blip xmlns:r="http://schemas.openxmlformats.org/officeDocument/2006/relationships" r:embed="rId2"/>
        <a:stretch>
          <a:fillRect/>
        </a:stretch>
      </xdr:blipFill>
      <xdr:spPr>
        <a:xfrm>
          <a:off x="150092" y="196273"/>
          <a:ext cx="10198484" cy="4502727"/>
        </a:xfrm>
        <a:prstGeom prst="rect">
          <a:avLst/>
        </a:prstGeom>
      </xdr:spPr>
    </xdr:pic>
    <xdr:clientData/>
  </xdr:twoCellAnchor>
  <xdr:twoCellAnchor editAs="oneCell">
    <xdr:from>
      <xdr:col>18</xdr:col>
      <xdr:colOff>277092</xdr:colOff>
      <xdr:row>0</xdr:row>
      <xdr:rowOff>0</xdr:rowOff>
    </xdr:from>
    <xdr:to>
      <xdr:col>26</xdr:col>
      <xdr:colOff>2551546</xdr:colOff>
      <xdr:row>35</xdr:row>
      <xdr:rowOff>66448</xdr:rowOff>
    </xdr:to>
    <xdr:pic>
      <xdr:nvPicPr>
        <xdr:cNvPr id="6" name="Picture 5">
          <a:extLst>
            <a:ext uri="{FF2B5EF4-FFF2-40B4-BE49-F238E27FC236}">
              <a16:creationId xmlns:a16="http://schemas.microsoft.com/office/drawing/2014/main" id="{31FCA16D-BBF5-DF42-8767-0F037ACCCF9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1464637" y="0"/>
          <a:ext cx="14859000" cy="693599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63500</xdr:colOff>
      <xdr:row>2</xdr:row>
      <xdr:rowOff>127000</xdr:rowOff>
    </xdr:from>
    <xdr:to>
      <xdr:col>0</xdr:col>
      <xdr:colOff>1041400</xdr:colOff>
      <xdr:row>6</xdr:row>
      <xdr:rowOff>50800</xdr:rowOff>
    </xdr:to>
    <xdr:sp macro="" textlink="">
      <xdr:nvSpPr>
        <xdr:cNvPr id="2" name="Button 7" hidden="1">
          <a:extLst>
            <a:ext uri="{63B3BB69-23CF-44E3-9099-C40C66FF867C}">
              <a14:compatExt xmlns:a14="http://schemas.microsoft.com/office/drawing/2010/main" spid="_x0000_s6151"/>
            </a:ext>
            <a:ext uri="{FF2B5EF4-FFF2-40B4-BE49-F238E27FC236}">
              <a16:creationId xmlns:a16="http://schemas.microsoft.com/office/drawing/2014/main" id="{36ECE711-1E23-46E6-BAA9-B90B04BBB97D}"/>
            </a:ext>
          </a:extLst>
        </xdr:cNvPr>
        <xdr:cNvSpPr/>
      </xdr:nvSpPr>
      <xdr:spPr bwMode="auto">
        <a:xfrm>
          <a:off x="63500" y="520700"/>
          <a:ext cx="977900" cy="7175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FF"/>
              </a:solidFill>
              <a:latin typeface="Calibri" pitchFamily="2" charset="0"/>
              <a:cs typeface="Calibri" pitchFamily="2" charset="0"/>
            </a:rPr>
            <a:t>Sort by</a:t>
          </a:r>
        </a:p>
        <a:p>
          <a:pPr algn="ctr" rtl="0">
            <a:defRPr sz="1000"/>
          </a:pPr>
          <a:r>
            <a:rPr lang="en-US" sz="1200" b="1" i="0" u="none" strike="noStrike" baseline="0">
              <a:solidFill>
                <a:srgbClr val="0000FF"/>
              </a:solidFill>
              <a:latin typeface="Calibri" pitchFamily="2" charset="0"/>
              <a:cs typeface="Calibri" pitchFamily="2" charset="0"/>
            </a:rPr>
            <a:t>OEM Group</a:t>
          </a:r>
        </a:p>
      </xdr:txBody>
    </xdr:sp>
    <xdr:clientData fPrintsWithSheet="0"/>
  </xdr:twoCellAnchor>
  <xdr:twoCellAnchor>
    <xdr:from>
      <xdr:col>0</xdr:col>
      <xdr:colOff>63500</xdr:colOff>
      <xdr:row>8</xdr:row>
      <xdr:rowOff>127000</xdr:rowOff>
    </xdr:from>
    <xdr:to>
      <xdr:col>0</xdr:col>
      <xdr:colOff>1041400</xdr:colOff>
      <xdr:row>11</xdr:row>
      <xdr:rowOff>50800</xdr:rowOff>
    </xdr:to>
    <xdr:sp macro="" textlink="">
      <xdr:nvSpPr>
        <xdr:cNvPr id="3" name="Button 8" hidden="1">
          <a:extLst>
            <a:ext uri="{63B3BB69-23CF-44E3-9099-C40C66FF867C}">
              <a14:compatExt xmlns:a14="http://schemas.microsoft.com/office/drawing/2010/main" spid="_x0000_s6152"/>
            </a:ext>
            <a:ext uri="{FF2B5EF4-FFF2-40B4-BE49-F238E27FC236}">
              <a16:creationId xmlns:a16="http://schemas.microsoft.com/office/drawing/2014/main" id="{AB6087F2-FEC1-49D1-AA98-0DCEBCD1EADB}"/>
            </a:ext>
          </a:extLst>
        </xdr:cNvPr>
        <xdr:cNvSpPr/>
      </xdr:nvSpPr>
      <xdr:spPr bwMode="auto">
        <a:xfrm>
          <a:off x="63500" y="1708150"/>
          <a:ext cx="977900" cy="5143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FF"/>
              </a:solidFill>
              <a:latin typeface="Calibri" pitchFamily="2" charset="0"/>
              <a:cs typeface="Calibri" pitchFamily="2" charset="0"/>
            </a:rPr>
            <a:t>Sort by</a:t>
          </a:r>
        </a:p>
        <a:p>
          <a:pPr algn="ctr" rtl="0">
            <a:defRPr sz="1000"/>
          </a:pPr>
          <a:r>
            <a:rPr lang="en-US" sz="1200" b="1" i="0" u="none" strike="noStrike" baseline="0">
              <a:solidFill>
                <a:srgbClr val="0000FF"/>
              </a:solidFill>
              <a:latin typeface="Calibri" pitchFamily="2" charset="0"/>
              <a:cs typeface="Calibri" pitchFamily="2" charset="0"/>
            </a:rPr>
            <a:t>Cell #</a:t>
          </a:r>
        </a:p>
      </xdr:txBody>
    </xdr:sp>
    <xdr:clientData fPrintsWithSheet="0"/>
  </xdr:twoCellAnchor>
  <xdr:twoCellAnchor>
    <xdr:from>
      <xdr:col>0</xdr:col>
      <xdr:colOff>63500</xdr:colOff>
      <xdr:row>13</xdr:row>
      <xdr:rowOff>127000</xdr:rowOff>
    </xdr:from>
    <xdr:to>
      <xdr:col>0</xdr:col>
      <xdr:colOff>1041400</xdr:colOff>
      <xdr:row>16</xdr:row>
      <xdr:rowOff>50800</xdr:rowOff>
    </xdr:to>
    <xdr:sp macro="" textlink="">
      <xdr:nvSpPr>
        <xdr:cNvPr id="4" name="Button 11" hidden="1">
          <a:extLst>
            <a:ext uri="{63B3BB69-23CF-44E3-9099-C40C66FF867C}">
              <a14:compatExt xmlns:a14="http://schemas.microsoft.com/office/drawing/2010/main" spid="_x0000_s6155"/>
            </a:ext>
            <a:ext uri="{FF2B5EF4-FFF2-40B4-BE49-F238E27FC236}">
              <a16:creationId xmlns:a16="http://schemas.microsoft.com/office/drawing/2014/main" id="{6BDD74A0-48E2-40F2-A810-A7878A19EEE4}"/>
            </a:ext>
          </a:extLst>
        </xdr:cNvPr>
        <xdr:cNvSpPr/>
      </xdr:nvSpPr>
      <xdr:spPr bwMode="auto">
        <a:xfrm>
          <a:off x="63500" y="2692400"/>
          <a:ext cx="977900" cy="5143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FF"/>
              </a:solidFill>
              <a:latin typeface="Calibri" pitchFamily="2" charset="0"/>
              <a:cs typeface="Calibri" pitchFamily="2" charset="0"/>
            </a:rPr>
            <a:t>Sort by</a:t>
          </a:r>
        </a:p>
        <a:p>
          <a:pPr algn="ctr" rtl="0">
            <a:defRPr sz="1000"/>
          </a:pPr>
          <a:r>
            <a:rPr lang="en-US" sz="1200" b="1" i="0" u="none" strike="noStrike" baseline="0">
              <a:solidFill>
                <a:srgbClr val="0000FF"/>
              </a:solidFill>
              <a:latin typeface="Calibri" pitchFamily="2" charset="0"/>
              <a:cs typeface="Calibri" pitchFamily="2" charset="0"/>
            </a:rPr>
            <a:t>Cell Name</a:t>
          </a:r>
        </a:p>
      </xdr:txBody>
    </xdr:sp>
    <xdr:clientData fPrintsWithSheet="0"/>
  </xdr:twoCellAnchor>
  <mc:AlternateContent xmlns:mc="http://schemas.openxmlformats.org/markup-compatibility/2006">
    <mc:Choice xmlns:a14="http://schemas.microsoft.com/office/drawing/2010/main" Requires="a14">
      <xdr:twoCellAnchor>
        <xdr:from>
          <xdr:col>0</xdr:col>
          <xdr:colOff>63500</xdr:colOff>
          <xdr:row>2</xdr:row>
          <xdr:rowOff>101600</xdr:rowOff>
        </xdr:from>
        <xdr:to>
          <xdr:col>0</xdr:col>
          <xdr:colOff>977900</xdr:colOff>
          <xdr:row>4</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BC52C387-E1F7-46D1-A4DA-14B2E8D8D42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FF"/>
                  </a:solidFill>
                  <a:latin typeface="Calibri"/>
                  <a:cs typeface="Calibri"/>
                </a:rPr>
                <a:t>Sort by</a:t>
              </a:r>
            </a:p>
            <a:p>
              <a:pPr algn="ctr" rtl="0">
                <a:defRPr sz="1000"/>
              </a:pPr>
              <a:r>
                <a:rPr lang="en-US" sz="1200" b="1" i="0" u="none" strike="noStrike" baseline="0">
                  <a:solidFill>
                    <a:srgbClr val="0000FF"/>
                  </a:solidFill>
                  <a:latin typeface="Calibri"/>
                  <a:cs typeface="Calibri"/>
                </a:rPr>
                <a:t>OEM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5</xdr:row>
          <xdr:rowOff>101600</xdr:rowOff>
        </xdr:from>
        <xdr:to>
          <xdr:col>0</xdr:col>
          <xdr:colOff>977900</xdr:colOff>
          <xdr:row>7</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A02C9A19-49EA-4EC6-95FA-EBFE8A7B3CF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FF"/>
                  </a:solidFill>
                  <a:latin typeface="Calibri"/>
                  <a:cs typeface="Calibri"/>
                </a:rPr>
                <a:t>Sort by</a:t>
              </a:r>
            </a:p>
            <a:p>
              <a:pPr algn="ctr" rtl="0">
                <a:defRPr sz="1000"/>
              </a:pPr>
              <a:r>
                <a:rPr lang="en-US" sz="1200" b="1" i="0" u="none" strike="noStrike" baseline="0">
                  <a:solidFill>
                    <a:srgbClr val="0000FF"/>
                  </a:solidFill>
                  <a:latin typeface="Calibri"/>
                  <a:cs typeface="Calibri"/>
                </a:rPr>
                <a:t>Cell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8</xdr:row>
          <xdr:rowOff>101600</xdr:rowOff>
        </xdr:from>
        <xdr:to>
          <xdr:col>0</xdr:col>
          <xdr:colOff>977900</xdr:colOff>
          <xdr:row>10</xdr:row>
          <xdr:rowOff>152400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EB8FE1FD-0274-4894-ADBB-E710C5B19B8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FF"/>
                  </a:solidFill>
                  <a:latin typeface="Calibri"/>
                  <a:cs typeface="Calibri"/>
                </a:rPr>
                <a:t>Sort by</a:t>
              </a:r>
            </a:p>
            <a:p>
              <a:pPr algn="ctr" rtl="0">
                <a:defRPr sz="1000"/>
              </a:pPr>
              <a:r>
                <a:rPr lang="en-US" sz="1200" b="1" i="0" u="none" strike="noStrike" baseline="0">
                  <a:solidFill>
                    <a:srgbClr val="0000FF"/>
                  </a:solidFill>
                  <a:latin typeface="Calibri"/>
                  <a:cs typeface="Calibri"/>
                </a:rPr>
                <a:t>Cell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15</xdr:row>
          <xdr:rowOff>101600</xdr:rowOff>
        </xdr:from>
        <xdr:to>
          <xdr:col>0</xdr:col>
          <xdr:colOff>977900</xdr:colOff>
          <xdr:row>17</xdr:row>
          <xdr:rowOff>152400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F47F576A-34F9-42D7-9545-43F9A785F61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Hide</a:t>
              </a:r>
            </a:p>
            <a:p>
              <a:pPr algn="ctr" rtl="0">
                <a:defRPr sz="1000"/>
              </a:pPr>
              <a:r>
                <a:rPr lang="en-US" sz="1200" b="1" i="0" u="none" strike="noStrike" baseline="0">
                  <a:solidFill>
                    <a:srgbClr val="800080"/>
                  </a:solidFill>
                  <a:latin typeface="Calibri"/>
                  <a:cs typeface="Calibri"/>
                </a:rPr>
                <a:t>Flags, OEM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18</xdr:row>
          <xdr:rowOff>50800</xdr:rowOff>
        </xdr:from>
        <xdr:to>
          <xdr:col>0</xdr:col>
          <xdr:colOff>977900</xdr:colOff>
          <xdr:row>20</xdr:row>
          <xdr:rowOff>88900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C3C81378-AB22-477F-8D77-D32F8FAF2A5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Unhide</a:t>
              </a:r>
            </a:p>
            <a:p>
              <a:pPr algn="ctr" rtl="0">
                <a:defRPr sz="1000"/>
              </a:pPr>
              <a:r>
                <a:rPr lang="en-US" sz="1200" b="1" i="0" u="none" strike="noStrike" baseline="0">
                  <a:solidFill>
                    <a:srgbClr val="800080"/>
                  </a:solidFill>
                  <a:latin typeface="Calibri"/>
                  <a:cs typeface="Calibri"/>
                </a:rPr>
                <a:t>Flags, OEM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22</xdr:row>
          <xdr:rowOff>12700</xdr:rowOff>
        </xdr:from>
        <xdr:to>
          <xdr:col>0</xdr:col>
          <xdr:colOff>977900</xdr:colOff>
          <xdr:row>24</xdr:row>
          <xdr:rowOff>50800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44F3757A-6D8A-45D9-86DA-EC396524CCB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Hide</a:t>
              </a:r>
            </a:p>
            <a:p>
              <a:pPr algn="ctr" rtl="0">
                <a:defRPr sz="1000"/>
              </a:pPr>
              <a:r>
                <a:rPr lang="en-US" sz="1200" b="1" i="0" u="none" strike="noStrike" baseline="0">
                  <a:solidFill>
                    <a:srgbClr val="800080"/>
                  </a:solidFill>
                  <a:latin typeface="Calibri"/>
                  <a:cs typeface="Calibri"/>
                </a:rPr>
                <a:t>Costing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24</xdr:row>
          <xdr:rowOff>152400</xdr:rowOff>
        </xdr:from>
        <xdr:to>
          <xdr:col>0</xdr:col>
          <xdr:colOff>977900</xdr:colOff>
          <xdr:row>26</xdr:row>
          <xdr:rowOff>177800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F4AD31B3-D08D-4131-981F-2B55CE0B319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Unhide</a:t>
              </a:r>
            </a:p>
            <a:p>
              <a:pPr algn="ctr" rtl="0">
                <a:defRPr sz="1000"/>
              </a:pPr>
              <a:r>
                <a:rPr lang="en-US" sz="1200" b="1" i="0" u="none" strike="noStrike" baseline="0">
                  <a:solidFill>
                    <a:srgbClr val="800080"/>
                  </a:solidFill>
                  <a:latin typeface="Calibri"/>
                  <a:cs typeface="Calibri"/>
                </a:rPr>
                <a:t>Costing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28</xdr:row>
          <xdr:rowOff>152400</xdr:rowOff>
        </xdr:from>
        <xdr:to>
          <xdr:col>0</xdr:col>
          <xdr:colOff>977900</xdr:colOff>
          <xdr:row>30</xdr:row>
          <xdr:rowOff>177800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8E7F76EE-6920-4A3A-9050-675E7A35D8D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Hide</a:t>
              </a:r>
            </a:p>
            <a:p>
              <a:pPr algn="ctr" rtl="0">
                <a:defRPr sz="1000"/>
              </a:pPr>
              <a:r>
                <a:rPr lang="en-US" sz="1200" b="1" i="0" u="none" strike="noStrike" baseline="0">
                  <a:solidFill>
                    <a:srgbClr val="800080"/>
                  </a:solidFill>
                  <a:latin typeface="Calibri"/>
                  <a:cs typeface="Calibri"/>
                </a:rPr>
                <a:t>Beta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31</xdr:row>
          <xdr:rowOff>88900</xdr:rowOff>
        </xdr:from>
        <xdr:to>
          <xdr:col>0</xdr:col>
          <xdr:colOff>977900</xdr:colOff>
          <xdr:row>33</xdr:row>
          <xdr:rowOff>127000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F174CF98-F7C7-4D4F-BB0C-D00C78386CC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800080"/>
                  </a:solidFill>
                  <a:latin typeface="Calibri"/>
                  <a:cs typeface="Calibri"/>
                </a:rPr>
                <a:t>Unhide</a:t>
              </a:r>
            </a:p>
            <a:p>
              <a:pPr algn="ctr" rtl="0">
                <a:defRPr sz="1000"/>
              </a:pPr>
              <a:r>
                <a:rPr lang="en-US" sz="1200" b="1" i="0" u="none" strike="noStrike" baseline="0">
                  <a:solidFill>
                    <a:srgbClr val="800080"/>
                  </a:solidFill>
                  <a:latin typeface="Calibri"/>
                  <a:cs typeface="Calibri"/>
                </a:rPr>
                <a:t>Beta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11</xdr:row>
          <xdr:rowOff>101600</xdr:rowOff>
        </xdr:from>
        <xdr:to>
          <xdr:col>0</xdr:col>
          <xdr:colOff>977900</xdr:colOff>
          <xdr:row>13</xdr:row>
          <xdr:rowOff>152400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5450F97-EB05-46AB-A55D-F8600EC9905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1" i="0" u="none" strike="noStrike" baseline="0">
                  <a:solidFill>
                    <a:srgbClr val="0000FF"/>
                  </a:solidFill>
                  <a:latin typeface="Calibri"/>
                  <a:cs typeface="Calibri"/>
                </a:rPr>
                <a:t>Sort by</a:t>
              </a:r>
            </a:p>
            <a:p>
              <a:pPr algn="ctr" rtl="0">
                <a:defRPr sz="1000"/>
              </a:pPr>
              <a:r>
                <a:rPr lang="en-US" sz="1200" b="1" i="0" u="none" strike="noStrike" baseline="0">
                  <a:solidFill>
                    <a:srgbClr val="0000FF"/>
                  </a:solidFill>
                  <a:latin typeface="Calibri"/>
                  <a:cs typeface="Calibri"/>
                </a:rPr>
                <a:t>Risk Factor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B%20Equipment%20List%20beta%20phase%20being%20added%2012_26_201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B%20Equipment%20List_11_09_201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bhis/Documents/Abhishek/Work/01_Case_Study/Ingram_MiraLoma_2019/RPP%20Ingram%20Mira%20Loma%20Case%20Study%20V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quipment list"/>
      <sheetName val="OEM Group"/>
      <sheetName val="MP cell table"/>
      <sheetName val="OEM cost"/>
      <sheetName val="OEM net cost"/>
      <sheetName val="Configuration form"/>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
      <sheetName val="Module"/>
      <sheetName val="Equipment list"/>
      <sheetName val="OEM Group"/>
      <sheetName val="Beta 1a"/>
      <sheetName val="MP cell table"/>
      <sheetName val="OEM cost"/>
      <sheetName val="Configuration form"/>
    </sheetNames>
    <definedNames>
      <definedName name="Column_Hide_Beta_Plan"/>
      <definedName name="Column_Hide_Costing"/>
      <definedName name="Column_Hide_Flags_OEM"/>
      <definedName name="Column_Unhide_Beta_Plan"/>
      <definedName name="Column_Unhide_Costing"/>
      <definedName name="Column_Unhide_Flags_OEM"/>
      <definedName name="Sort_by_Cell_Name"/>
      <definedName name="Sort_by_Cell_Number"/>
      <definedName name="Sort_by_OEM_Group"/>
      <definedName name="Sort_by_Risk_Factor"/>
    </definedNames>
    <sheetDataSet>
      <sheetData sheetId="0"/>
      <sheetData sheetId="1"/>
      <sheetData sheetId="2"/>
      <sheetData sheetId="3">
        <row r="6">
          <cell r="B6" t="str">
            <v>Racking</v>
          </cell>
          <cell r="C6" t="str">
            <v>EP</v>
          </cell>
          <cell r="E6" t="str">
            <v>Aravind Durai</v>
          </cell>
          <cell r="F6" t="str">
            <v>Rich Oas</v>
          </cell>
        </row>
        <row r="7">
          <cell r="B7" t="str">
            <v>Tray transacting</v>
          </cell>
          <cell r="C7" t="str">
            <v>Bastian</v>
          </cell>
          <cell r="E7" t="str">
            <v>Aravind Durai</v>
          </cell>
          <cell r="F7" t="str">
            <v>Purav Dagli</v>
          </cell>
        </row>
        <row r="8">
          <cell r="B8" t="str">
            <v>Shuffling</v>
          </cell>
          <cell r="C8" t="str">
            <v>ViaStore</v>
          </cell>
          <cell r="E8" t="str">
            <v>Unassigned</v>
          </cell>
          <cell r="F8" t="str">
            <v>Unassigned</v>
          </cell>
        </row>
        <row r="9">
          <cell r="B9" t="str">
            <v>Picking</v>
          </cell>
          <cell r="C9" t="str">
            <v>Olympus</v>
          </cell>
          <cell r="E9" t="str">
            <v>David McCalib</v>
          </cell>
          <cell r="F9" t="str">
            <v>Steve Toebes</v>
          </cell>
        </row>
        <row r="10">
          <cell r="B10" t="str">
            <v>Compartment handling</v>
          </cell>
          <cell r="C10" t="str">
            <v>Shuttleworth (Promach)</v>
          </cell>
          <cell r="E10" t="str">
            <v>Aravind Durai</v>
          </cell>
          <cell r="F10" t="str">
            <v>David McCalib</v>
          </cell>
        </row>
        <row r="11">
          <cell r="B11" t="str">
            <v>Pallet moving</v>
          </cell>
          <cell r="D11" t="str">
            <v>Bastian</v>
          </cell>
          <cell r="E11" t="str">
            <v>Aravind Durai</v>
          </cell>
          <cell r="F11" t="str">
            <v>Rich Oas</v>
          </cell>
        </row>
        <row r="12">
          <cell r="B12" t="str">
            <v>Upfitting</v>
          </cell>
          <cell r="C12" t="str">
            <v>Unknown</v>
          </cell>
          <cell r="E12" t="str">
            <v>Rich Oas</v>
          </cell>
          <cell r="F12" t="str">
            <v>Aravind Durai</v>
          </cell>
        </row>
        <row r="13">
          <cell r="B13" t="str">
            <v>Connecting</v>
          </cell>
          <cell r="C13" t="str">
            <v>Viastore</v>
          </cell>
          <cell r="E13" t="str">
            <v>Dave Johnston</v>
          </cell>
          <cell r="F13" t="str">
            <v>Dave Johnston</v>
          </cell>
        </row>
        <row r="14">
          <cell r="B14" t="str">
            <v>Case handling</v>
          </cell>
          <cell r="D14" t="str">
            <v>Brenton (Promach)</v>
          </cell>
          <cell r="E14" t="str">
            <v>Dave Johnston</v>
          </cell>
          <cell r="F14" t="str">
            <v>David McCalib</v>
          </cell>
        </row>
        <row r="15">
          <cell r="B15" t="str">
            <v>Stack moving</v>
          </cell>
          <cell r="C15" t="str">
            <v>Olympus</v>
          </cell>
          <cell r="E15" t="str">
            <v>David McCalib</v>
          </cell>
          <cell r="F15" t="str">
            <v>Aravind Durai</v>
          </cell>
        </row>
        <row r="16">
          <cell r="B16" t="str">
            <v>Rack loading</v>
          </cell>
          <cell r="D16" t="str">
            <v>Brenton (Promach)</v>
          </cell>
          <cell r="E16" t="str">
            <v>Unassigned</v>
          </cell>
          <cell r="F16" t="str">
            <v>Unassigned</v>
          </cell>
        </row>
        <row r="17">
          <cell r="B17" t="str">
            <v>Stacking</v>
          </cell>
          <cell r="C17" t="str">
            <v>Olympus</v>
          </cell>
          <cell r="E17" t="str">
            <v>Dave Johnston</v>
          </cell>
          <cell r="F17" t="str">
            <v>David McCalib</v>
          </cell>
        </row>
        <row r="18">
          <cell r="B18" t="str">
            <v>Making to order</v>
          </cell>
          <cell r="C18" t="str">
            <v>Unknown</v>
          </cell>
          <cell r="E18" t="str">
            <v>Aravind Durai</v>
          </cell>
          <cell r="F18" t="str">
            <v>David McCalib</v>
          </cell>
        </row>
        <row r="19">
          <cell r="B19" t="str">
            <v>Manual packing</v>
          </cell>
          <cell r="C19" t="str">
            <v>ViaStore</v>
          </cell>
          <cell r="E19" t="str">
            <v>Dave Johnston</v>
          </cell>
          <cell r="F19" t="str">
            <v>David McCalib</v>
          </cell>
        </row>
        <row r="20">
          <cell r="B20" t="str">
            <v>Opening</v>
          </cell>
          <cell r="D20" t="str">
            <v>Brenton (Promach)</v>
          </cell>
          <cell r="E20" t="str">
            <v>Unassigned</v>
          </cell>
          <cell r="F20" t="str">
            <v>Unassigned</v>
          </cell>
        </row>
        <row r="21">
          <cell r="B21" t="str">
            <v>Washing</v>
          </cell>
          <cell r="C21" t="str">
            <v>Unknown</v>
          </cell>
          <cell r="E21" t="str">
            <v>Rich Oas</v>
          </cell>
          <cell r="F21" t="str">
            <v>Steve Toebes</v>
          </cell>
        </row>
        <row r="22">
          <cell r="B22" t="str">
            <v>Padding</v>
          </cell>
          <cell r="C22" t="str">
            <v>Unknown</v>
          </cell>
          <cell r="E22" t="str">
            <v>David McCalib</v>
          </cell>
          <cell r="F22" t="str">
            <v>Rich Oas</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FD"/>
      <sheetName val="Avg. Cube"/>
      <sheetName val="Flow rates"/>
      <sheetName val="Juergen analysis"/>
      <sheetName val="Model_Flow_Rates_for_capacity"/>
      <sheetName val="Model_Flow_Rates"/>
      <sheetName val="RoboFS_Assumptions"/>
      <sheetName val="Storage"/>
      <sheetName val="Mobile"/>
      <sheetName val="RoboFS"/>
      <sheetName val="Open Items"/>
      <sheetName val="Equipment list_07_26_2018"/>
      <sheetName val="Configuration form"/>
      <sheetName val="Order Form"/>
      <sheetName val="Software"/>
      <sheetName val="Facility"/>
      <sheetName val="Capital"/>
      <sheetName val="Exec Summ"/>
      <sheetName val="Labor"/>
      <sheetName val="(dated) Current labor"/>
      <sheetName val="Distance_Matrix"/>
      <sheetName val="iPhone cube"/>
      <sheetName val="Cube Analysis"/>
    </sheetNames>
    <sheetDataSet>
      <sheetData sheetId="0"/>
      <sheetData sheetId="1"/>
      <sheetData sheetId="2"/>
      <sheetData sheetId="3"/>
      <sheetData sheetId="4"/>
      <sheetData sheetId="5">
        <row r="6">
          <cell r="B6" t="str">
            <v>Scenario 1</v>
          </cell>
          <cell r="C6" t="str">
            <v>Scenario 2</v>
          </cell>
        </row>
        <row r="7">
          <cell r="B7" t="str">
            <v>Planned throughput</v>
          </cell>
          <cell r="C7" t="str">
            <v>Maximize building utilization</v>
          </cell>
        </row>
      </sheetData>
      <sheetData sheetId="6">
        <row r="99">
          <cell r="B99" t="str">
            <v>No</v>
          </cell>
        </row>
      </sheetData>
      <sheetData sheetId="7"/>
      <sheetData sheetId="8"/>
      <sheetData sheetId="9">
        <row r="3">
          <cell r="P3" t="str">
            <v>Planned throughput</v>
          </cell>
          <cell r="Q3" t="str">
            <v>Maximize building utilization</v>
          </cell>
        </row>
        <row r="4">
          <cell r="P4" t="str">
            <v>Scenario 1</v>
          </cell>
          <cell r="Q4" t="str">
            <v>Scenario 2</v>
          </cell>
        </row>
        <row r="5">
          <cell r="O5" t="str">
            <v xml:space="preserve"> </v>
          </cell>
          <cell r="P5" t="str">
            <v>Normal day</v>
          </cell>
          <cell r="Q5" t="str">
            <v>Normal day</v>
          </cell>
        </row>
        <row r="7">
          <cell r="K7" t="str">
            <v>Dock carton handling</v>
          </cell>
          <cell r="M7" t="str">
            <v>Processing rate per carton in seconds</v>
          </cell>
          <cell r="P7">
            <v>10</v>
          </cell>
          <cell r="Q7">
            <v>10</v>
          </cell>
        </row>
        <row r="8">
          <cell r="M8" t="str">
            <v>% requiring manual palletizing</v>
          </cell>
          <cell r="P8">
            <v>0.2</v>
          </cell>
          <cell r="Q8">
            <v>0.2</v>
          </cell>
        </row>
        <row r="9">
          <cell r="M9" t="str">
            <v># of cartons</v>
          </cell>
          <cell r="P9">
            <v>4943.6400214210062</v>
          </cell>
          <cell r="Q9">
            <v>5932.3680257052074</v>
          </cell>
        </row>
        <row r="10">
          <cell r="M10" t="str">
            <v>Work hours / day to process IB cartons</v>
          </cell>
          <cell r="P10">
            <v>13.732333392836129</v>
          </cell>
          <cell r="Q10">
            <v>16.478800071403352</v>
          </cell>
        </row>
        <row r="12">
          <cell r="K12" t="str">
            <v>Depalletizing cases and items</v>
          </cell>
          <cell r="M12" t="str">
            <v>Process one carton in seconds</v>
          </cell>
          <cell r="P12">
            <v>10</v>
          </cell>
          <cell r="Q12">
            <v>10</v>
          </cell>
        </row>
        <row r="13">
          <cell r="M13" t="str">
            <v>% depalletized</v>
          </cell>
          <cell r="P13">
            <v>0.7</v>
          </cell>
          <cell r="Q13">
            <v>0.7</v>
          </cell>
        </row>
        <row r="14">
          <cell r="M14" t="str">
            <v>Total cartons</v>
          </cell>
          <cell r="P14">
            <v>17301.813593947136</v>
          </cell>
          <cell r="Q14">
            <v>20762.176312736556</v>
          </cell>
        </row>
        <row r="15">
          <cell r="M15" t="str">
            <v>Cartons depalletized</v>
          </cell>
          <cell r="P15">
            <v>12111.269515762995</v>
          </cell>
          <cell r="Q15">
            <v>14533.523418915587</v>
          </cell>
        </row>
        <row r="16">
          <cell r="M16" t="str">
            <v>Work hours per day to depalletize</v>
          </cell>
          <cell r="P16">
            <v>33.642415321563874</v>
          </cell>
          <cell r="Q16">
            <v>40.370898385876629</v>
          </cell>
        </row>
        <row r="18">
          <cell r="K18" t="str">
            <v>Depalletizer</v>
          </cell>
          <cell r="M18" t="str">
            <v>Depalletizing stations</v>
          </cell>
          <cell r="P18">
            <v>2</v>
          </cell>
          <cell r="Q18">
            <v>2</v>
          </cell>
        </row>
        <row r="19">
          <cell r="M19" t="str">
            <v>Personnel per station</v>
          </cell>
          <cell r="P19">
            <v>1.5</v>
          </cell>
          <cell r="Q19">
            <v>1.5</v>
          </cell>
        </row>
        <row r="20">
          <cell r="M20" t="str">
            <v>Capacity utilization</v>
          </cell>
          <cell r="P20">
            <v>0.74760922936808605</v>
          </cell>
          <cell r="Q20">
            <v>0.89713107524170288</v>
          </cell>
        </row>
        <row r="22">
          <cell r="K22" t="str">
            <v>Auto casepack cell</v>
          </cell>
          <cell r="M22" t="str">
            <v>Total cartons / day</v>
          </cell>
          <cell r="P22">
            <v>1924.6449344928844</v>
          </cell>
          <cell r="Q22">
            <v>2309.5739213914612</v>
          </cell>
        </row>
        <row r="23">
          <cell r="M23" t="str">
            <v>% auto casepack</v>
          </cell>
          <cell r="P23">
            <v>0.9</v>
          </cell>
          <cell r="Q23">
            <v>0.9</v>
          </cell>
        </row>
        <row r="24">
          <cell r="M24" t="str">
            <v>Auto casepack cartons / day</v>
          </cell>
          <cell r="P24">
            <v>1732.1804410435959</v>
          </cell>
          <cell r="Q24">
            <v>2078.6165292523151</v>
          </cell>
        </row>
        <row r="25">
          <cell r="M25" t="str">
            <v>Carton process rate in seconds</v>
          </cell>
          <cell r="P25">
            <v>10</v>
          </cell>
          <cell r="Q25">
            <v>10</v>
          </cell>
        </row>
        <row r="26">
          <cell r="K26" t="str">
            <v>Case receiving frontend</v>
          </cell>
          <cell r="M26" t="str">
            <v>Number of cells</v>
          </cell>
          <cell r="N26" t="str">
            <v xml:space="preserve"> </v>
          </cell>
          <cell r="P26">
            <v>1</v>
          </cell>
          <cell r="Q26">
            <v>1</v>
          </cell>
        </row>
        <row r="27">
          <cell r="M27" t="str">
            <v>Capacity utilization</v>
          </cell>
          <cell r="P27">
            <v>0.32077415574881402</v>
          </cell>
          <cell r="Q27">
            <v>0.38492898689857685</v>
          </cell>
        </row>
        <row r="29">
          <cell r="K29" t="str">
            <v>Manual tray receiving cell</v>
          </cell>
          <cell r="M29" t="str">
            <v>Total items / day</v>
          </cell>
          <cell r="P29">
            <v>46511.922717184527</v>
          </cell>
          <cell r="Q29">
            <v>55814.307260621434</v>
          </cell>
        </row>
        <row r="30">
          <cell r="M30" t="str">
            <v>Total cartons / day</v>
          </cell>
          <cell r="P30">
            <v>192.46449344928851</v>
          </cell>
          <cell r="Q30">
            <v>230.95739213914612</v>
          </cell>
        </row>
        <row r="31">
          <cell r="M31" t="str">
            <v>Total units /day</v>
          </cell>
          <cell r="P31">
            <v>46704.387210633817</v>
          </cell>
          <cell r="Q31">
            <v>56045.264652760583</v>
          </cell>
        </row>
        <row r="32">
          <cell r="M32" t="str">
            <v>Receiving rate in seconds</v>
          </cell>
          <cell r="N32" t="str">
            <v xml:space="preserve"> </v>
          </cell>
          <cell r="P32">
            <v>8</v>
          </cell>
          <cell r="Q32">
            <v>8</v>
          </cell>
        </row>
        <row r="33">
          <cell r="M33" t="str">
            <v>Work hours / day to receive</v>
          </cell>
          <cell r="P33">
            <v>103.78752713474182</v>
          </cell>
          <cell r="Q33">
            <v>124.54503256169018</v>
          </cell>
        </row>
        <row r="35">
          <cell r="K35" t="str">
            <v>Manual receiving frontend</v>
          </cell>
          <cell r="M35" t="str">
            <v>Manual receiving stations</v>
          </cell>
          <cell r="N35" t="str">
            <v xml:space="preserve"> </v>
          </cell>
          <cell r="P35">
            <v>5</v>
          </cell>
          <cell r="Q35">
            <v>6</v>
          </cell>
        </row>
        <row r="36">
          <cell r="M36" t="str">
            <v>Personnel per station</v>
          </cell>
          <cell r="P36">
            <v>1.5</v>
          </cell>
          <cell r="Q36">
            <v>1.5</v>
          </cell>
        </row>
        <row r="37">
          <cell r="M37" t="str">
            <v>Capacity utilization</v>
          </cell>
          <cell r="P37">
            <v>0.9225557967532606</v>
          </cell>
          <cell r="Q37">
            <v>0.9225557967532606</v>
          </cell>
        </row>
        <row r="39">
          <cell r="K39" t="str">
            <v>Manual large/oversize receiving</v>
          </cell>
          <cell r="M39" t="str">
            <v>Large items / day</v>
          </cell>
          <cell r="P39">
            <v>7792</v>
          </cell>
          <cell r="Q39">
            <v>9350.4</v>
          </cell>
        </row>
        <row r="40">
          <cell r="M40" t="str">
            <v>Receiving rate in seconds</v>
          </cell>
          <cell r="N40" t="str">
            <v xml:space="preserve"> </v>
          </cell>
          <cell r="P40">
            <v>30</v>
          </cell>
          <cell r="Q40">
            <v>30</v>
          </cell>
        </row>
        <row r="41">
          <cell r="M41" t="str">
            <v>Oversize items / day</v>
          </cell>
          <cell r="P41">
            <v>293.03947368421052</v>
          </cell>
          <cell r="Q41">
            <v>351.64736842105259</v>
          </cell>
        </row>
        <row r="42">
          <cell r="M42" t="str">
            <v>Receiving rate in seconds</v>
          </cell>
          <cell r="P42">
            <v>60</v>
          </cell>
          <cell r="Q42">
            <v>60</v>
          </cell>
        </row>
        <row r="43">
          <cell r="M43" t="str">
            <v>Work hours / day</v>
          </cell>
          <cell r="P43">
            <v>69.81732456140351</v>
          </cell>
          <cell r="Q43">
            <v>83.780789473684209</v>
          </cell>
        </row>
        <row r="45">
          <cell r="M45" t="str">
            <v>Manual cart receiving stations</v>
          </cell>
          <cell r="N45" t="str">
            <v xml:space="preserve"> </v>
          </cell>
          <cell r="P45">
            <v>5</v>
          </cell>
          <cell r="Q45">
            <v>6</v>
          </cell>
        </row>
        <row r="46">
          <cell r="M46" t="str">
            <v>Personnel per station</v>
          </cell>
          <cell r="P46">
            <v>1</v>
          </cell>
          <cell r="Q46">
            <v>1</v>
          </cell>
        </row>
        <row r="47">
          <cell r="M47" t="str">
            <v>Capacity utilization</v>
          </cell>
          <cell r="P47">
            <v>0.9308976608187135</v>
          </cell>
          <cell r="Q47">
            <v>0.93089766081871339</v>
          </cell>
        </row>
        <row r="49">
          <cell r="K49" t="str">
            <v>Tray IO</v>
          </cell>
          <cell r="M49" t="str">
            <v>OB peak trays /hour</v>
          </cell>
          <cell r="N49" t="str">
            <v>To pack - items</v>
          </cell>
          <cell r="P49">
            <v>721.29759511355417</v>
          </cell>
          <cell r="Q49">
            <v>865.557114136265</v>
          </cell>
        </row>
        <row r="50">
          <cell r="N50" t="str">
            <v>To outbound - cases</v>
          </cell>
          <cell r="P50">
            <v>248.72507262607297</v>
          </cell>
          <cell r="Q50">
            <v>298.47008715128754</v>
          </cell>
        </row>
        <row r="51">
          <cell r="N51" t="str">
            <v>Total</v>
          </cell>
          <cell r="P51">
            <v>970.0226677396272</v>
          </cell>
          <cell r="Q51">
            <v>1164.0272012875525</v>
          </cell>
        </row>
        <row r="53">
          <cell r="M53" t="str">
            <v>Cycle time (1 pick and 1 put)</v>
          </cell>
          <cell r="N53" t="str">
            <v>Seconds</v>
          </cell>
          <cell r="P53">
            <v>25</v>
          </cell>
          <cell r="Q53">
            <v>25</v>
          </cell>
        </row>
        <row r="54">
          <cell r="K54" t="str">
            <v>Roboframe</v>
          </cell>
          <cell r="N54" t="str">
            <v>Number of units</v>
          </cell>
          <cell r="P54">
            <v>7</v>
          </cell>
          <cell r="Q54">
            <v>9</v>
          </cell>
        </row>
        <row r="55">
          <cell r="N55" t="str">
            <v>Capacity utilization</v>
          </cell>
          <cell r="P55">
            <v>0.96232407513851903</v>
          </cell>
          <cell r="Q55">
            <v>0.89816913679595112</v>
          </cell>
        </row>
        <row r="57">
          <cell r="K57" t="str">
            <v>Pallet management</v>
          </cell>
          <cell r="M57" t="str">
            <v>Pallet activity</v>
          </cell>
          <cell r="N57" t="str">
            <v>Seconds needed / hour</v>
          </cell>
          <cell r="P57">
            <v>10647.715393814451</v>
          </cell>
          <cell r="Q57">
            <v>12777.258472577334</v>
          </cell>
        </row>
        <row r="58">
          <cell r="K58" t="str">
            <v>Reserve forklift</v>
          </cell>
          <cell r="N58" t="str">
            <v>Number of forklifts</v>
          </cell>
          <cell r="P58">
            <v>3</v>
          </cell>
          <cell r="Q58">
            <v>4</v>
          </cell>
        </row>
        <row r="59">
          <cell r="N59" t="str">
            <v>Capacity utilization</v>
          </cell>
          <cell r="P59">
            <v>0.98589957350133806</v>
          </cell>
          <cell r="Q59">
            <v>0.88730961615120374</v>
          </cell>
        </row>
        <row r="61">
          <cell r="M61" t="str">
            <v xml:space="preserve">Work hours / day </v>
          </cell>
          <cell r="P61">
            <v>44.365480807560211</v>
          </cell>
          <cell r="Q61">
            <v>53.238576969072227</v>
          </cell>
        </row>
        <row r="63">
          <cell r="K63" t="str">
            <v>Automated pack components</v>
          </cell>
          <cell r="M63" t="str">
            <v>Total picks</v>
          </cell>
          <cell r="N63" t="str">
            <v>Percent automated</v>
          </cell>
          <cell r="P63">
            <v>0.95</v>
          </cell>
          <cell r="Q63">
            <v>0.95</v>
          </cell>
        </row>
        <row r="64">
          <cell r="N64" t="str">
            <v>Per day</v>
          </cell>
          <cell r="P64">
            <v>44186.326581325302</v>
          </cell>
          <cell r="Q64">
            <v>53023.591897590362</v>
          </cell>
        </row>
        <row r="65">
          <cell r="N65" t="str">
            <v>% 1-cycle</v>
          </cell>
          <cell r="P65">
            <v>0.8</v>
          </cell>
          <cell r="Q65">
            <v>0.8</v>
          </cell>
        </row>
        <row r="66">
          <cell r="N66" t="str">
            <v>% 2-cycle</v>
          </cell>
          <cell r="P66">
            <v>0.19999999999999996</v>
          </cell>
          <cell r="Q66">
            <v>0.19999999999999996</v>
          </cell>
        </row>
        <row r="67">
          <cell r="M67" t="str">
            <v>Cycle time (seconds to pick/put 1 item)</v>
          </cell>
          <cell r="P67">
            <v>6.8261494368639948</v>
          </cell>
          <cell r="Q67">
            <v>6.8261494368639948</v>
          </cell>
        </row>
        <row r="69">
          <cell r="K69" t="str">
            <v>Manual and service stations</v>
          </cell>
          <cell r="M69" t="str">
            <v>Manual pick labor</v>
          </cell>
          <cell r="N69" t="str">
            <v>Percent of items</v>
          </cell>
          <cell r="P69">
            <v>5.0000000000000044E-2</v>
          </cell>
          <cell r="Q69">
            <v>5.0000000000000044E-2</v>
          </cell>
        </row>
        <row r="70">
          <cell r="N70" t="str">
            <v>Picks per day</v>
          </cell>
          <cell r="P70">
            <v>2209.3163290662669</v>
          </cell>
          <cell r="Q70">
            <v>2651.1795948795207</v>
          </cell>
        </row>
        <row r="71">
          <cell r="N71" t="str">
            <v>Time per pick (seconds)</v>
          </cell>
          <cell r="P71">
            <v>20</v>
          </cell>
          <cell r="Q71">
            <v>20</v>
          </cell>
        </row>
        <row r="72">
          <cell r="N72" t="str">
            <v>Work hours / day</v>
          </cell>
          <cell r="P72">
            <v>12.273979605923705</v>
          </cell>
          <cell r="Q72">
            <v>14.728775527108448</v>
          </cell>
        </row>
        <row r="74">
          <cell r="M74" t="str">
            <v>Value added services labor</v>
          </cell>
          <cell r="N74" t="str">
            <v>Percent of items</v>
          </cell>
          <cell r="P74">
            <v>0.15</v>
          </cell>
          <cell r="Q74">
            <v>0.15</v>
          </cell>
        </row>
        <row r="75">
          <cell r="N75" t="str">
            <v>Picks per day</v>
          </cell>
          <cell r="P75">
            <v>6976.7884075776792</v>
          </cell>
          <cell r="Q75">
            <v>8372.146089093214</v>
          </cell>
        </row>
        <row r="76">
          <cell r="N76" t="str">
            <v>Time perform service (seconds)</v>
          </cell>
          <cell r="P76">
            <v>120</v>
          </cell>
          <cell r="Q76">
            <v>120</v>
          </cell>
        </row>
        <row r="77">
          <cell r="N77" t="str">
            <v>Work hours / day</v>
          </cell>
          <cell r="P77">
            <v>232.55961358592265</v>
          </cell>
          <cell r="Q77">
            <v>279.07153630310717</v>
          </cell>
        </row>
        <row r="79">
          <cell r="K79" t="str">
            <v>Peak rate</v>
          </cell>
          <cell r="M79" t="str">
            <v>Ratio</v>
          </cell>
          <cell r="N79" t="str">
            <v>Percent automated</v>
          </cell>
          <cell r="P79">
            <v>0.9</v>
          </cell>
          <cell r="Q79">
            <v>0.9</v>
          </cell>
        </row>
        <row r="80">
          <cell r="N80" t="str">
            <v>Automated picks / hour</v>
          </cell>
          <cell r="P80">
            <v>5409.7319633516572</v>
          </cell>
          <cell r="Q80">
            <v>6491.6783560219883</v>
          </cell>
        </row>
        <row r="82">
          <cell r="M82" t="str">
            <v>Auto pack pod</v>
          </cell>
          <cell r="N82" t="str">
            <v>Total cycles / hour</v>
          </cell>
          <cell r="P82">
            <v>6491.6783560219883</v>
          </cell>
          <cell r="Q82">
            <v>7790.0140272263861</v>
          </cell>
        </row>
        <row r="83">
          <cell r="N83" t="str">
            <v>Cycle time</v>
          </cell>
          <cell r="P83">
            <v>6.8261494368639948</v>
          </cell>
          <cell r="Q83">
            <v>6.8261494368639948</v>
          </cell>
        </row>
        <row r="84">
          <cell r="K84" t="str">
            <v>Autopack pod</v>
          </cell>
          <cell r="N84" t="str">
            <v>Auto pack components</v>
          </cell>
          <cell r="P84">
            <v>13</v>
          </cell>
          <cell r="Q84">
            <v>15</v>
          </cell>
        </row>
        <row r="85">
          <cell r="N85" t="str">
            <v>Capacity utilization</v>
          </cell>
          <cell r="P85">
            <v>0.94686253321071956</v>
          </cell>
          <cell r="Q85">
            <v>0.9847370345391484</v>
          </cell>
        </row>
        <row r="87">
          <cell r="M87" t="str">
            <v>Manual stations</v>
          </cell>
          <cell r="N87" t="str">
            <v>% of total picks</v>
          </cell>
          <cell r="P87">
            <v>9.9999999999999978E-2</v>
          </cell>
          <cell r="Q87">
            <v>9.9999999999999978E-2</v>
          </cell>
        </row>
        <row r="88">
          <cell r="N88" t="str">
            <v>Picks / hour</v>
          </cell>
          <cell r="P88">
            <v>601.08132926129508</v>
          </cell>
          <cell r="Q88">
            <v>721.29759511355405</v>
          </cell>
        </row>
        <row r="89">
          <cell r="K89" t="str">
            <v>Manual pack</v>
          </cell>
          <cell r="N89" t="str">
            <v>Manual stations</v>
          </cell>
          <cell r="P89">
            <v>4</v>
          </cell>
          <cell r="Q89">
            <v>5</v>
          </cell>
        </row>
        <row r="90">
          <cell r="N90" t="str">
            <v>Capacity utilization</v>
          </cell>
          <cell r="P90">
            <v>0.83483517952957653</v>
          </cell>
          <cell r="Q90">
            <v>0.80144177234839342</v>
          </cell>
        </row>
        <row r="92">
          <cell r="M92" t="str">
            <v>Service stations</v>
          </cell>
          <cell r="N92" t="str">
            <v>Picks / hour</v>
          </cell>
          <cell r="P92">
            <v>298.08257017135577</v>
          </cell>
          <cell r="Q92">
            <v>357.69908420562689</v>
          </cell>
        </row>
        <row r="93">
          <cell r="K93" t="str">
            <v>VAS</v>
          </cell>
          <cell r="N93" t="str">
            <v>Service stations</v>
          </cell>
          <cell r="P93">
            <v>10</v>
          </cell>
          <cell r="Q93">
            <v>12</v>
          </cell>
        </row>
        <row r="94">
          <cell r="N94" t="str">
            <v>Capacity utilization</v>
          </cell>
          <cell r="P94">
            <v>0.99360856723785262</v>
          </cell>
          <cell r="Q94">
            <v>0.99360856723785251</v>
          </cell>
        </row>
        <row r="96">
          <cell r="K96" t="str">
            <v>Large item pick</v>
          </cell>
          <cell r="M96" t="str">
            <v>Picks per day</v>
          </cell>
          <cell r="P96">
            <v>7792</v>
          </cell>
          <cell r="Q96">
            <v>9350.4</v>
          </cell>
        </row>
        <row r="97">
          <cell r="M97" t="str">
            <v>Picks per hour</v>
          </cell>
          <cell r="P97">
            <v>519.4666666666667</v>
          </cell>
          <cell r="Q97">
            <v>623.36</v>
          </cell>
        </row>
        <row r="98">
          <cell r="M98" t="str">
            <v>Cycle time to pick</v>
          </cell>
          <cell r="P98">
            <v>60</v>
          </cell>
          <cell r="Q98">
            <v>60</v>
          </cell>
        </row>
        <row r="99">
          <cell r="M99" t="str">
            <v>Work hours per day to pick</v>
          </cell>
          <cell r="P99">
            <v>129.86666666666667</v>
          </cell>
          <cell r="Q99">
            <v>155.84</v>
          </cell>
        </row>
        <row r="101">
          <cell r="K101" t="str">
            <v>Oversize item pick</v>
          </cell>
          <cell r="M101" t="str">
            <v>Picks per day</v>
          </cell>
          <cell r="P101">
            <v>293.03947368421052</v>
          </cell>
          <cell r="Q101">
            <v>351.64736842105259</v>
          </cell>
        </row>
        <row r="102">
          <cell r="M102" t="str">
            <v>Picks per hour</v>
          </cell>
          <cell r="P102">
            <v>19.535964912280701</v>
          </cell>
          <cell r="Q102">
            <v>23.443157894736839</v>
          </cell>
        </row>
        <row r="103">
          <cell r="M103" t="str">
            <v>Cycle time to pick</v>
          </cell>
          <cell r="P103">
            <v>60</v>
          </cell>
          <cell r="Q103">
            <v>60</v>
          </cell>
        </row>
        <row r="104">
          <cell r="M104" t="str">
            <v>Work hours per day to pick</v>
          </cell>
          <cell r="P104">
            <v>4.8839912280701752</v>
          </cell>
          <cell r="Q104">
            <v>5.8607894736842105</v>
          </cell>
        </row>
        <row r="106">
          <cell r="K106" t="str">
            <v>Peak mobile robot demand</v>
          </cell>
          <cell r="M106" t="str">
            <v xml:space="preserve">Seconds / hour </v>
          </cell>
          <cell r="N106" t="str">
            <v>Tray stacks</v>
          </cell>
          <cell r="P106">
            <v>23565.74476855234</v>
          </cell>
          <cell r="Q106">
            <v>28278.893722262801</v>
          </cell>
        </row>
        <row r="107">
          <cell r="N107" t="str">
            <v xml:space="preserve">Carts </v>
          </cell>
          <cell r="P107">
            <v>155087.54447370348</v>
          </cell>
          <cell r="Q107">
            <v>186105.05336844418</v>
          </cell>
        </row>
        <row r="108">
          <cell r="N108" t="str">
            <v>Total</v>
          </cell>
          <cell r="P108">
            <v>178653.28924225582</v>
          </cell>
          <cell r="Q108">
            <v>214383.94709070696</v>
          </cell>
        </row>
        <row r="110">
          <cell r="K110" t="str">
            <v>MR</v>
          </cell>
          <cell r="M110" t="str">
            <v>Mobile robots</v>
          </cell>
          <cell r="N110" t="str">
            <v>Total number</v>
          </cell>
          <cell r="P110">
            <v>50</v>
          </cell>
          <cell r="Q110">
            <v>60</v>
          </cell>
        </row>
        <row r="113">
          <cell r="N113" t="str">
            <v>Number active at peak times</v>
          </cell>
          <cell r="P113">
            <v>50</v>
          </cell>
          <cell r="Q113">
            <v>60</v>
          </cell>
        </row>
        <row r="114">
          <cell r="N114" t="str">
            <v>Capacity utilization</v>
          </cell>
          <cell r="P114">
            <v>0.99251827356808786</v>
          </cell>
          <cell r="Q114">
            <v>0.99251827356808775</v>
          </cell>
        </row>
        <row r="116">
          <cell r="K116" t="str">
            <v>Pallet movements</v>
          </cell>
          <cell r="M116" t="str">
            <v xml:space="preserve">Seconds / hour </v>
          </cell>
          <cell r="N116" t="str">
            <v>Total</v>
          </cell>
          <cell r="P116">
            <v>22877.226526173796</v>
          </cell>
          <cell r="Q116">
            <v>27452.671831408541</v>
          </cell>
        </row>
        <row r="117">
          <cell r="K117" t="str">
            <v>PMR</v>
          </cell>
          <cell r="M117" t="str">
            <v>PMR</v>
          </cell>
          <cell r="N117" t="str">
            <v>Total number</v>
          </cell>
          <cell r="P117">
            <v>8</v>
          </cell>
          <cell r="Q117">
            <v>9</v>
          </cell>
        </row>
        <row r="118">
          <cell r="N118" t="str">
            <v>Percent uptime</v>
          </cell>
          <cell r="P118">
            <v>0.9</v>
          </cell>
          <cell r="Q118">
            <v>0.9</v>
          </cell>
        </row>
        <row r="119">
          <cell r="N119" t="str">
            <v>Number active</v>
          </cell>
          <cell r="P119">
            <v>7.2</v>
          </cell>
          <cell r="Q119">
            <v>8.1</v>
          </cell>
        </row>
        <row r="120">
          <cell r="N120" t="str">
            <v>Capacity utilization</v>
          </cell>
          <cell r="P120">
            <v>0.88260904807769269</v>
          </cell>
          <cell r="Q120">
            <v>0.94144965128287172</v>
          </cell>
        </row>
        <row r="122">
          <cell r="N122" t="str">
            <v>Work hours per day</v>
          </cell>
          <cell r="P122">
            <v>95.321777192390812</v>
          </cell>
          <cell r="Q122">
            <v>114.38613263086893</v>
          </cell>
        </row>
        <row r="124">
          <cell r="K124" t="str">
            <v>Equipment management</v>
          </cell>
          <cell r="N124" t="str">
            <v>Operators per shift</v>
          </cell>
          <cell r="P124">
            <v>2</v>
          </cell>
          <cell r="Q124">
            <v>3</v>
          </cell>
        </row>
        <row r="125">
          <cell r="N125" t="str">
            <v>Work hours / day</v>
          </cell>
          <cell r="P125">
            <v>27</v>
          </cell>
          <cell r="Q125">
            <v>40.5</v>
          </cell>
        </row>
        <row r="127">
          <cell r="K127" t="str">
            <v>Productive work hours / day</v>
          </cell>
          <cell r="M127" t="str">
            <v>Inbound</v>
          </cell>
          <cell r="N127" t="str">
            <v>Technical operations</v>
          </cell>
          <cell r="P127">
            <v>27</v>
          </cell>
          <cell r="Q127">
            <v>40.5</v>
          </cell>
        </row>
        <row r="128">
          <cell r="N128" t="str">
            <v>Dock carton handling</v>
          </cell>
          <cell r="P128">
            <v>13.732333392836129</v>
          </cell>
          <cell r="Q128">
            <v>16.478800071403352</v>
          </cell>
        </row>
        <row r="129">
          <cell r="N129" t="str">
            <v>Depalletizing</v>
          </cell>
          <cell r="P129">
            <v>33.642415321563874</v>
          </cell>
          <cell r="Q129">
            <v>40.370898385876629</v>
          </cell>
        </row>
        <row r="130">
          <cell r="N130" t="str">
            <v xml:space="preserve">Manual tray receiving </v>
          </cell>
          <cell r="P130">
            <v>103.78752713474182</v>
          </cell>
          <cell r="Q130">
            <v>124.54503256169018</v>
          </cell>
        </row>
        <row r="131">
          <cell r="N131" t="str">
            <v>Manual large/oversize receiving</v>
          </cell>
          <cell r="P131">
            <v>69.81732456140351</v>
          </cell>
          <cell r="Q131">
            <v>83.780789473684209</v>
          </cell>
        </row>
        <row r="132">
          <cell r="N132" t="str">
            <v>Subtotal</v>
          </cell>
          <cell r="P132">
            <v>247.97960041054534</v>
          </cell>
          <cell r="Q132">
            <v>305.67552049265436</v>
          </cell>
        </row>
        <row r="134">
          <cell r="N134" t="str">
            <v>Personnel / shift</v>
          </cell>
          <cell r="P134">
            <v>18.368859289670027</v>
          </cell>
          <cell r="Q134">
            <v>22.642631147604025</v>
          </cell>
        </row>
        <row r="135">
          <cell r="K135" t="str">
            <v xml:space="preserve"> </v>
          </cell>
          <cell r="N135" t="str">
            <v>Shifts / day</v>
          </cell>
          <cell r="P135">
            <v>36.737718579340054</v>
          </cell>
          <cell r="Q135">
            <v>45.285262295208049</v>
          </cell>
        </row>
        <row r="136">
          <cell r="N136" t="str">
            <v>Shifts / year</v>
          </cell>
          <cell r="P136">
            <v>11168.266448119377</v>
          </cell>
          <cell r="Q136">
            <v>13766.719737743248</v>
          </cell>
        </row>
        <row r="137">
          <cell r="N137" t="str">
            <v>Annual cost</v>
          </cell>
          <cell r="P137">
            <v>1713288.4486247096</v>
          </cell>
          <cell r="Q137">
            <v>2111908.9530766886</v>
          </cell>
        </row>
        <row r="139">
          <cell r="M139" t="str">
            <v>Outbound</v>
          </cell>
          <cell r="N139" t="str">
            <v>Manual pick</v>
          </cell>
          <cell r="P139">
            <v>12.273979605923705</v>
          </cell>
          <cell r="Q139">
            <v>14.728775527108448</v>
          </cell>
        </row>
        <row r="140">
          <cell r="N140" t="str">
            <v>Value add services</v>
          </cell>
          <cell r="P140">
            <v>232.55961358592265</v>
          </cell>
          <cell r="Q140">
            <v>279.07153630310717</v>
          </cell>
        </row>
        <row r="141">
          <cell r="N141" t="str">
            <v>Large item pick</v>
          </cell>
          <cell r="P141">
            <v>129.86666666666667</v>
          </cell>
          <cell r="Q141">
            <v>155.84</v>
          </cell>
        </row>
        <row r="142">
          <cell r="N142" t="str">
            <v>Oversize item pick</v>
          </cell>
          <cell r="P142">
            <v>4.8839912280701752</v>
          </cell>
          <cell r="Q142">
            <v>5.8607894736842105</v>
          </cell>
        </row>
        <row r="143">
          <cell r="N143" t="str">
            <v>Pallet movement</v>
          </cell>
          <cell r="P143">
            <v>95.321777192390812</v>
          </cell>
          <cell r="Q143">
            <v>114.38613263086893</v>
          </cell>
        </row>
        <row r="144">
          <cell r="N144" t="str">
            <v>Subtotal</v>
          </cell>
          <cell r="P144">
            <v>474.90602827897402</v>
          </cell>
          <cell r="Q144">
            <v>569.8872339347688</v>
          </cell>
        </row>
        <row r="145">
          <cell r="K145" t="str">
            <v xml:space="preserve"> </v>
          </cell>
        </row>
        <row r="146">
          <cell r="K146" t="str">
            <v xml:space="preserve"> </v>
          </cell>
          <cell r="N146" t="str">
            <v>Personnel / shift</v>
          </cell>
          <cell r="P146">
            <v>35.178224316961035</v>
          </cell>
          <cell r="Q146">
            <v>42.213869180353242</v>
          </cell>
        </row>
        <row r="147">
          <cell r="N147" t="str">
            <v>Shifts / day</v>
          </cell>
          <cell r="P147">
            <v>70.356448633922071</v>
          </cell>
          <cell r="Q147">
            <v>84.427738360706485</v>
          </cell>
        </row>
        <row r="148">
          <cell r="K148" t="str">
            <v xml:space="preserve"> </v>
          </cell>
          <cell r="N148" t="str">
            <v>Shifts / year</v>
          </cell>
          <cell r="P148">
            <v>21388.360384712309</v>
          </cell>
          <cell r="Q148">
            <v>25666.032461654773</v>
          </cell>
        </row>
        <row r="149">
          <cell r="N149" t="str">
            <v>Annual cost</v>
          </cell>
          <cell r="P149">
            <v>3281120.7497937605</v>
          </cell>
          <cell r="Q149">
            <v>3937344.899752513</v>
          </cell>
        </row>
        <row r="152">
          <cell r="M152" t="str">
            <v>Total</v>
          </cell>
          <cell r="N152" t="str">
            <v>Personnel / shift</v>
          </cell>
          <cell r="P152">
            <v>53.547083606631062</v>
          </cell>
          <cell r="Q152">
            <v>64.856500327957264</v>
          </cell>
        </row>
        <row r="153">
          <cell r="N153" t="str">
            <v>Shifts / day</v>
          </cell>
          <cell r="P153">
            <v>107.09416721326212</v>
          </cell>
          <cell r="Q153">
            <v>129.71300065591453</v>
          </cell>
        </row>
        <row r="154">
          <cell r="N154" t="str">
            <v>Shifts / year</v>
          </cell>
          <cell r="P154">
            <v>32556.626832831687</v>
          </cell>
          <cell r="Q154">
            <v>39432.752199398019</v>
          </cell>
        </row>
        <row r="155">
          <cell r="N155" t="str">
            <v>Annual cost</v>
          </cell>
          <cell r="P155">
            <v>4994409.1984184701</v>
          </cell>
          <cell r="Q155">
            <v>6049253.8528292011</v>
          </cell>
        </row>
        <row r="157">
          <cell r="N157" t="str">
            <v>Total tray rack positions</v>
          </cell>
          <cell r="P157">
            <v>85209.340144744288</v>
          </cell>
          <cell r="Q157">
            <v>85209.340144744288</v>
          </cell>
        </row>
        <row r="158">
          <cell r="N158" t="str">
            <v>Total cart positions</v>
          </cell>
          <cell r="P158">
            <v>3276.0470113807646</v>
          </cell>
          <cell r="Q158">
            <v>3761.0047533162488</v>
          </cell>
        </row>
        <row r="159">
          <cell r="N159" t="str">
            <v>Total pallet positions for Oversize</v>
          </cell>
          <cell r="P159">
            <v>1914.7421953873411</v>
          </cell>
          <cell r="Q159">
            <v>2213.6884749000874</v>
          </cell>
        </row>
        <row r="160">
          <cell r="N160" t="str">
            <v>Total pallet positions in Reserve</v>
          </cell>
          <cell r="P160">
            <v>12421.706653254558</v>
          </cell>
          <cell r="Q160">
            <v>15703.632536090987</v>
          </cell>
        </row>
        <row r="162">
          <cell r="K162" t="str">
            <v>Rack</v>
          </cell>
          <cell r="N162" t="str">
            <v>Total tray racks</v>
          </cell>
          <cell r="P162">
            <v>266.27918795232591</v>
          </cell>
          <cell r="Q162">
            <v>266.27918795232591</v>
          </cell>
        </row>
        <row r="163">
          <cell r="K163" t="str">
            <v>Cart position</v>
          </cell>
          <cell r="N163" t="str">
            <v>Total cart positions</v>
          </cell>
          <cell r="P163">
            <v>3276.0470113807646</v>
          </cell>
          <cell r="Q163">
            <v>3761.0047533162488</v>
          </cell>
        </row>
        <row r="164">
          <cell r="K164" t="str">
            <v>Oversize rack</v>
          </cell>
          <cell r="N164" t="str">
            <v>Total racks for Oversize</v>
          </cell>
          <cell r="P164">
            <v>273.5345993410487</v>
          </cell>
          <cell r="Q164">
            <v>316.24121070001246</v>
          </cell>
        </row>
        <row r="165">
          <cell r="K165" t="str">
            <v>4D rack</v>
          </cell>
          <cell r="N165" t="str">
            <v>Total racks in Reserve</v>
          </cell>
          <cell r="P165">
            <v>194.08916645710246</v>
          </cell>
          <cell r="Q165">
            <v>245.36925837642167</v>
          </cell>
        </row>
        <row r="167">
          <cell r="K167" t="str">
            <v>Container IO</v>
          </cell>
          <cell r="N167" t="str">
            <v>TrayX modules</v>
          </cell>
          <cell r="P167">
            <v>11</v>
          </cell>
          <cell r="Q167">
            <v>22</v>
          </cell>
        </row>
        <row r="168">
          <cell r="K168" t="str">
            <v>Buffer</v>
          </cell>
          <cell r="N168" t="str">
            <v>Pack Buffer</v>
          </cell>
          <cell r="P168">
            <v>6</v>
          </cell>
          <cell r="Q168">
            <v>3</v>
          </cell>
        </row>
        <row r="169">
          <cell r="K169" t="str">
            <v>TrayXL</v>
          </cell>
          <cell r="P169">
            <v>13</v>
          </cell>
          <cell r="Q169">
            <v>26</v>
          </cell>
        </row>
        <row r="170">
          <cell r="K170" t="str">
            <v>LiteIO</v>
          </cell>
          <cell r="N170" t="str">
            <v>1 pallet handler</v>
          </cell>
          <cell r="P170">
            <v>4</v>
          </cell>
          <cell r="Q170">
            <v>5</v>
          </cell>
        </row>
        <row r="171">
          <cell r="K171" t="str">
            <v>Trays (with RFID tag)</v>
          </cell>
          <cell r="P171">
            <v>74095.078386734167</v>
          </cell>
          <cell r="Q171">
            <v>74095.078386734167</v>
          </cell>
        </row>
        <row r="172">
          <cell r="K172" t="str">
            <v>IT, RFID</v>
          </cell>
          <cell r="P172">
            <v>1</v>
          </cell>
          <cell r="Q172">
            <v>1</v>
          </cell>
        </row>
        <row r="173">
          <cell r="K173" t="str">
            <v>MR pad</v>
          </cell>
          <cell r="N173" t="str">
            <v>1 MR position</v>
          </cell>
          <cell r="P173">
            <v>6</v>
          </cell>
          <cell r="Q173">
            <v>12</v>
          </cell>
        </row>
        <row r="174">
          <cell r="K174" t="str">
            <v>Carts (with RFID tag)</v>
          </cell>
          <cell r="P174">
            <v>3276.0470113807646</v>
          </cell>
          <cell r="Q174">
            <v>3761.0047533162488</v>
          </cell>
        </row>
        <row r="175">
          <cell r="K175" t="str">
            <v>Oversize forklift</v>
          </cell>
          <cell r="P175">
            <v>1</v>
          </cell>
          <cell r="Q175">
            <v>2</v>
          </cell>
        </row>
        <row r="176">
          <cell r="K176" t="str">
            <v>Oversize item position</v>
          </cell>
          <cell r="P176">
            <v>234.43157894736845</v>
          </cell>
          <cell r="Q176">
            <v>281.31789473684222</v>
          </cell>
        </row>
        <row r="177">
          <cell r="K177" t="str">
            <v>Pallet station</v>
          </cell>
          <cell r="N177" t="str">
            <v>Part of the LiteIO configuration with  MR position</v>
          </cell>
          <cell r="P177">
            <v>4</v>
          </cell>
          <cell r="Q177">
            <v>8</v>
          </cell>
        </row>
        <row r="184">
          <cell r="L184" t="str">
            <v xml:space="preserve"> </v>
          </cell>
        </row>
        <row r="185">
          <cell r="L185" t="str">
            <v xml:space="preserve"> </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645C6-89D1-4A74-BB03-3F3183191042}">
  <sheetPr codeName="Sheet4"/>
  <dimension ref="A1:C68"/>
  <sheetViews>
    <sheetView zoomScale="85" zoomScaleNormal="85" workbookViewId="0">
      <selection activeCell="C2" sqref="C2"/>
    </sheetView>
  </sheetViews>
  <sheetFormatPr defaultColWidth="8.83203125" defaultRowHeight="15.5"/>
  <cols>
    <col min="1" max="1" width="65.5" customWidth="1"/>
    <col min="2" max="2" width="14.5" bestFit="1" customWidth="1"/>
    <col min="19" max="19" width="10.6640625" bestFit="1" customWidth="1"/>
  </cols>
  <sheetData>
    <row r="1" spans="1:3">
      <c r="A1" s="27" t="s">
        <v>12</v>
      </c>
      <c r="B1" s="27" t="s">
        <v>13</v>
      </c>
      <c r="C1" s="27" t="s">
        <v>191</v>
      </c>
    </row>
    <row r="2" spans="1:3">
      <c r="A2" t="s">
        <v>14</v>
      </c>
      <c r="B2" s="10" t="e">
        <f>#REF!</f>
        <v>#REF!</v>
      </c>
    </row>
    <row r="3" spans="1:3">
      <c r="A3" t="s">
        <v>15</v>
      </c>
      <c r="B3" s="11" t="e">
        <f>#REF!</f>
        <v>#REF!</v>
      </c>
    </row>
    <row r="4" spans="1:3">
      <c r="A4" t="s">
        <v>16</v>
      </c>
      <c r="B4" t="e">
        <f>#REF!</f>
        <v>#REF!</v>
      </c>
    </row>
    <row r="5" spans="1:3">
      <c r="A5" t="s">
        <v>17</v>
      </c>
      <c r="B5" s="12" t="e">
        <f>#REF!</f>
        <v>#REF!</v>
      </c>
    </row>
    <row r="6" spans="1:3">
      <c r="A6" t="s">
        <v>21</v>
      </c>
      <c r="B6" s="12" t="e">
        <f>#REF!</f>
        <v>#REF!</v>
      </c>
    </row>
    <row r="7" spans="1:3">
      <c r="A7" t="s">
        <v>18</v>
      </c>
      <c r="B7" t="e">
        <f>#REF!</f>
        <v>#REF!</v>
      </c>
    </row>
    <row r="8" spans="1:3">
      <c r="A8" t="s">
        <v>19</v>
      </c>
      <c r="B8" s="12" t="e">
        <f>#REF!</f>
        <v>#REF!</v>
      </c>
    </row>
    <row r="9" spans="1:3">
      <c r="A9" t="s">
        <v>22</v>
      </c>
      <c r="B9" s="12" t="e">
        <f>#REF!</f>
        <v>#REF!</v>
      </c>
    </row>
    <row r="10" spans="1:3">
      <c r="A10" t="s">
        <v>20</v>
      </c>
      <c r="B10" s="12" t="e">
        <f>#REF!</f>
        <v>#REF!</v>
      </c>
    </row>
    <row r="11" spans="1:3">
      <c r="A11" t="s">
        <v>90</v>
      </c>
      <c r="B11" s="5" t="e">
        <f>#REF!</f>
        <v>#REF!</v>
      </c>
    </row>
    <row r="12" spans="1:3">
      <c r="A12" t="s">
        <v>91</v>
      </c>
      <c r="B12" s="5" t="e">
        <f>#REF!</f>
        <v>#REF!</v>
      </c>
    </row>
    <row r="13" spans="1:3">
      <c r="A13" t="s">
        <v>92</v>
      </c>
      <c r="B13" s="5" t="e">
        <f>#REF!</f>
        <v>#REF!</v>
      </c>
    </row>
    <row r="14" spans="1:3">
      <c r="A14" t="s">
        <v>93</v>
      </c>
      <c r="B14" s="5" t="e">
        <f>#REF!</f>
        <v>#REF!</v>
      </c>
    </row>
    <row r="15" spans="1:3">
      <c r="A15" t="s">
        <v>25</v>
      </c>
      <c r="B15" s="10" t="e">
        <f>#REF!</f>
        <v>#REF!</v>
      </c>
    </row>
    <row r="16" spans="1:3">
      <c r="A16" t="s">
        <v>26</v>
      </c>
      <c r="B16" s="10" t="e">
        <f>#REF!</f>
        <v>#REF!</v>
      </c>
    </row>
    <row r="17" spans="1:2">
      <c r="A17" t="s">
        <v>27</v>
      </c>
      <c r="B17" s="10" t="e">
        <f>#REF!</f>
        <v>#REF!</v>
      </c>
    </row>
    <row r="18" spans="1:2">
      <c r="A18" t="s">
        <v>28</v>
      </c>
      <c r="B18" s="41" t="e">
        <f>#REF!</f>
        <v>#REF!</v>
      </c>
    </row>
    <row r="19" spans="1:2">
      <c r="A19" t="s">
        <v>29</v>
      </c>
      <c r="B19" s="5" t="e">
        <f>#REF!</f>
        <v>#REF!</v>
      </c>
    </row>
    <row r="20" spans="1:2">
      <c r="A20" t="s">
        <v>30</v>
      </c>
      <c r="B20" s="5" t="e">
        <f>#REF!</f>
        <v>#REF!</v>
      </c>
    </row>
    <row r="21" spans="1:2">
      <c r="A21" t="s">
        <v>31</v>
      </c>
      <c r="B21" s="5" t="e">
        <f>#REF!</f>
        <v>#REF!</v>
      </c>
    </row>
    <row r="22" spans="1:2">
      <c r="A22" t="s">
        <v>32</v>
      </c>
      <c r="B22" s="5" t="e">
        <f>#REF!</f>
        <v>#REF!</v>
      </c>
    </row>
    <row r="23" spans="1:2">
      <c r="A23" t="s">
        <v>33</v>
      </c>
      <c r="B23" s="5" t="e">
        <f>#REF!</f>
        <v>#REF!</v>
      </c>
    </row>
    <row r="24" spans="1:2">
      <c r="A24" t="s">
        <v>34</v>
      </c>
      <c r="B24" s="5" t="e">
        <f>#REF!</f>
        <v>#REF!</v>
      </c>
    </row>
    <row r="25" spans="1:2">
      <c r="A25" t="s">
        <v>35</v>
      </c>
      <c r="B25" s="5" t="e">
        <f>#REF!</f>
        <v>#REF!</v>
      </c>
    </row>
    <row r="26" spans="1:2">
      <c r="A26" t="s">
        <v>36</v>
      </c>
      <c r="B26" s="5" t="e">
        <f>#REF!</f>
        <v>#REF!</v>
      </c>
    </row>
    <row r="27" spans="1:2">
      <c r="A27" t="s">
        <v>37</v>
      </c>
      <c r="B27" s="5" t="e">
        <f>#REF!</f>
        <v>#REF!</v>
      </c>
    </row>
    <row r="28" spans="1:2">
      <c r="A28" t="s">
        <v>38</v>
      </c>
      <c r="B28" s="5" t="e">
        <f>#REF!</f>
        <v>#REF!</v>
      </c>
    </row>
    <row r="29" spans="1:2">
      <c r="A29" t="s">
        <v>39</v>
      </c>
      <c r="B29" s="5" t="e">
        <f>#REF!</f>
        <v>#REF!</v>
      </c>
    </row>
    <row r="30" spans="1:2">
      <c r="A30" t="s">
        <v>40</v>
      </c>
      <c r="B30" s="5" t="e">
        <f>#REF!</f>
        <v>#REF!</v>
      </c>
    </row>
    <row r="31" spans="1:2">
      <c r="A31" t="s">
        <v>41</v>
      </c>
      <c r="B31" s="5" t="e">
        <f>#REF!</f>
        <v>#REF!</v>
      </c>
    </row>
    <row r="32" spans="1:2">
      <c r="A32" t="s">
        <v>42</v>
      </c>
      <c r="B32" s="5" t="e">
        <f>#REF!</f>
        <v>#REF!</v>
      </c>
    </row>
    <row r="33" spans="1:2">
      <c r="A33" t="s">
        <v>43</v>
      </c>
      <c r="B33" s="5" t="e">
        <f>#REF!</f>
        <v>#REF!</v>
      </c>
    </row>
    <row r="34" spans="1:2">
      <c r="A34" t="s">
        <v>45</v>
      </c>
      <c r="B34" s="5" t="e">
        <f>#REF!</f>
        <v>#REF!</v>
      </c>
    </row>
    <row r="35" spans="1:2">
      <c r="A35" t="s">
        <v>46</v>
      </c>
      <c r="B35" s="5" t="e">
        <f>#REF!</f>
        <v>#REF!</v>
      </c>
    </row>
    <row r="36" spans="1:2">
      <c r="A36" t="s">
        <v>44</v>
      </c>
      <c r="B36" s="12" t="e">
        <f>#REF!</f>
        <v>#REF!</v>
      </c>
    </row>
    <row r="37" spans="1:2">
      <c r="A37" t="s">
        <v>98</v>
      </c>
      <c r="B37" s="12" t="e">
        <f>#REF!</f>
        <v>#REF!</v>
      </c>
    </row>
    <row r="38" spans="1:2">
      <c r="A38" t="s">
        <v>47</v>
      </c>
      <c r="B38" s="5" t="e">
        <f>#REF!</f>
        <v>#REF!</v>
      </c>
    </row>
    <row r="39" spans="1:2">
      <c r="A39" t="s">
        <v>48</v>
      </c>
      <c r="B39" s="5" t="e">
        <f>#REF!</f>
        <v>#REF!</v>
      </c>
    </row>
    <row r="40" spans="1:2">
      <c r="A40" t="s">
        <v>49</v>
      </c>
      <c r="B40" s="11" t="e">
        <f>#REF!</f>
        <v>#REF!</v>
      </c>
    </row>
    <row r="41" spans="1:2">
      <c r="A41" t="s">
        <v>57</v>
      </c>
      <c r="B41" s="16">
        <v>0</v>
      </c>
    </row>
    <row r="42" spans="1:2">
      <c r="A42" t="s">
        <v>58</v>
      </c>
      <c r="B42" s="16">
        <v>0</v>
      </c>
    </row>
    <row r="43" spans="1:2">
      <c r="A43" t="s">
        <v>59</v>
      </c>
      <c r="B43" s="16">
        <v>0</v>
      </c>
    </row>
    <row r="44" spans="1:2">
      <c r="A44" t="s">
        <v>60</v>
      </c>
      <c r="B44" s="16">
        <v>0</v>
      </c>
    </row>
    <row r="45" spans="1:2">
      <c r="A45" t="s">
        <v>61</v>
      </c>
      <c r="B45" s="16">
        <v>0</v>
      </c>
    </row>
    <row r="46" spans="1:2">
      <c r="A46" t="s">
        <v>62</v>
      </c>
      <c r="B46" s="16">
        <v>0</v>
      </c>
    </row>
    <row r="47" spans="1:2">
      <c r="A47" t="s">
        <v>63</v>
      </c>
      <c r="B47" s="16">
        <v>0</v>
      </c>
    </row>
    <row r="48" spans="1:2">
      <c r="A48" t="s">
        <v>64</v>
      </c>
      <c r="B48" s="16">
        <v>0</v>
      </c>
    </row>
    <row r="49" spans="1:2">
      <c r="A49" t="s">
        <v>77</v>
      </c>
      <c r="B49" s="16">
        <v>0</v>
      </c>
    </row>
    <row r="50" spans="1:2">
      <c r="A50" t="s">
        <v>78</v>
      </c>
      <c r="B50" s="16">
        <v>0</v>
      </c>
    </row>
    <row r="51" spans="1:2">
      <c r="A51" t="s">
        <v>79</v>
      </c>
      <c r="B51" s="16">
        <v>0</v>
      </c>
    </row>
    <row r="52" spans="1:2">
      <c r="A52" t="s">
        <v>80</v>
      </c>
      <c r="B52" s="16">
        <v>0</v>
      </c>
    </row>
    <row r="53" spans="1:2">
      <c r="A53" t="s">
        <v>82</v>
      </c>
      <c r="B53" s="20">
        <v>70000</v>
      </c>
    </row>
    <row r="54" spans="1:2">
      <c r="A54" t="s">
        <v>81</v>
      </c>
      <c r="B54" s="16">
        <v>15</v>
      </c>
    </row>
    <row r="55" spans="1:2">
      <c r="A55" t="s">
        <v>83</v>
      </c>
      <c r="B55" s="21">
        <v>31622263.000000004</v>
      </c>
    </row>
    <row r="56" spans="1:2">
      <c r="A56" t="s">
        <v>84</v>
      </c>
      <c r="B56" s="16">
        <v>0</v>
      </c>
    </row>
    <row r="57" spans="1:2">
      <c r="A57" t="s">
        <v>85</v>
      </c>
      <c r="B57" s="16">
        <v>0</v>
      </c>
    </row>
    <row r="58" spans="1:2">
      <c r="A58" t="s">
        <v>95</v>
      </c>
      <c r="B58" s="12" t="e">
        <f>#REF!</f>
        <v>#REF!</v>
      </c>
    </row>
    <row r="59" spans="1:2">
      <c r="A59" t="s">
        <v>96</v>
      </c>
      <c r="B59" s="12" t="e">
        <f>#REF!</f>
        <v>#REF!</v>
      </c>
    </row>
    <row r="60" spans="1:2">
      <c r="A60" t="s">
        <v>97</v>
      </c>
      <c r="B60" s="21">
        <v>49080058.084390901</v>
      </c>
    </row>
    <row r="61" spans="1:2">
      <c r="A61" t="s">
        <v>89</v>
      </c>
      <c r="B61" s="22">
        <v>360</v>
      </c>
    </row>
    <row r="62" spans="1:2">
      <c r="A62" t="s">
        <v>94</v>
      </c>
      <c r="B62" s="5" t="e">
        <f>#REF!</f>
        <v>#REF!</v>
      </c>
    </row>
    <row r="63" spans="1:2">
      <c r="A63" t="s">
        <v>23</v>
      </c>
      <c r="B63" s="5" t="e">
        <f>#REF!</f>
        <v>#REF!</v>
      </c>
    </row>
    <row r="64" spans="1:2">
      <c r="A64" t="s">
        <v>24</v>
      </c>
      <c r="B64" s="5" t="e">
        <f>#REF!</f>
        <v>#REF!</v>
      </c>
    </row>
    <row r="65" spans="1:2">
      <c r="A65" s="24" t="s">
        <v>99</v>
      </c>
      <c r="B65" s="23" t="e">
        <f>#REF!</f>
        <v>#REF!</v>
      </c>
    </row>
    <row r="66" spans="1:2">
      <c r="A66" s="24" t="s">
        <v>188</v>
      </c>
      <c r="B66" s="42" t="e">
        <f>#REF!</f>
        <v>#REF!</v>
      </c>
    </row>
    <row r="67" spans="1:2">
      <c r="A67" s="24" t="s">
        <v>189</v>
      </c>
      <c r="B67" t="e">
        <f>#REF!</f>
        <v>#REF!</v>
      </c>
    </row>
    <row r="68" spans="1:2">
      <c r="A68" s="43" t="s">
        <v>190</v>
      </c>
      <c r="B68" s="5" t="e">
        <f>#REF!</f>
        <v>#REF!</v>
      </c>
    </row>
  </sheetData>
  <autoFilter ref="A1:C68" xr:uid="{9CB991F3-F6B5-431D-9944-52BC8D768258}"/>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2869-7C3D-439F-A964-726CF40AFBAC}">
  <sheetPr codeName="Sheet5"/>
  <dimension ref="A1:Y292"/>
  <sheetViews>
    <sheetView topLeftCell="A47" zoomScale="60" zoomScaleNormal="60" workbookViewId="0">
      <selection activeCell="H81" sqref="H81:J81"/>
    </sheetView>
  </sheetViews>
  <sheetFormatPr defaultRowHeight="15.5"/>
  <cols>
    <col min="1" max="1" width="17" bestFit="1" customWidth="1"/>
    <col min="2" max="2" width="13.4140625" customWidth="1"/>
    <col min="3" max="3" width="1.4140625" customWidth="1"/>
    <col min="4" max="4" width="32" style="30" customWidth="1"/>
    <col min="5" max="6" width="2.5" customWidth="1"/>
    <col min="7" max="7" width="38.25" bestFit="1" customWidth="1"/>
    <col min="8" max="8" width="23.33203125" bestFit="1" customWidth="1"/>
    <col min="9" max="9" width="20.58203125" bestFit="1" customWidth="1"/>
    <col min="10" max="10" width="14.83203125" bestFit="1" customWidth="1"/>
    <col min="11" max="11" width="10.1640625" bestFit="1" customWidth="1"/>
    <col min="12" max="12" width="11" bestFit="1" customWidth="1"/>
    <col min="13" max="13" width="11.08203125" customWidth="1"/>
    <col min="14" max="14" width="11.25" customWidth="1"/>
  </cols>
  <sheetData>
    <row r="1" spans="1:20">
      <c r="A1" s="31" t="s">
        <v>212</v>
      </c>
      <c r="B1" s="62" t="s">
        <v>10</v>
      </c>
    </row>
    <row r="2" spans="1:20" ht="16" thickBot="1">
      <c r="A2" s="50" t="s">
        <v>197</v>
      </c>
      <c r="B2" s="143"/>
      <c r="G2" s="64" t="s">
        <v>202</v>
      </c>
      <c r="H2" s="113">
        <v>43774</v>
      </c>
      <c r="M2" s="56" t="s">
        <v>218</v>
      </c>
      <c r="N2" s="13"/>
      <c r="O2" s="13"/>
      <c r="P2" s="13"/>
      <c r="Q2" s="13"/>
      <c r="R2" s="13"/>
      <c r="S2" s="13"/>
      <c r="T2" s="13"/>
    </row>
    <row r="3" spans="1:20">
      <c r="A3" s="144" t="s">
        <v>8</v>
      </c>
      <c r="B3" s="145"/>
    </row>
    <row r="4" spans="1:20">
      <c r="A4" s="146" t="s">
        <v>9</v>
      </c>
      <c r="B4" s="147"/>
      <c r="D4" s="30" t="s">
        <v>203</v>
      </c>
      <c r="E4" s="222"/>
      <c r="G4" s="148" t="s">
        <v>283</v>
      </c>
      <c r="H4" s="114">
        <f>550*25*362</f>
        <v>4977500</v>
      </c>
    </row>
    <row r="5" spans="1:20">
      <c r="A5" s="144" t="s">
        <v>194</v>
      </c>
      <c r="B5" s="187"/>
      <c r="E5" s="222"/>
      <c r="G5" s="149" t="s">
        <v>213</v>
      </c>
      <c r="H5" s="115">
        <v>550</v>
      </c>
    </row>
    <row r="6" spans="1:20">
      <c r="A6" s="146" t="s">
        <v>195</v>
      </c>
      <c r="B6" s="150"/>
      <c r="E6" s="222"/>
      <c r="G6" s="149" t="s">
        <v>204</v>
      </c>
      <c r="H6" s="115">
        <v>362</v>
      </c>
    </row>
    <row r="7" spans="1:20">
      <c r="E7" s="222"/>
      <c r="G7" s="149" t="s">
        <v>5</v>
      </c>
      <c r="H7" s="115">
        <v>10000</v>
      </c>
    </row>
    <row r="8" spans="1:20">
      <c r="E8" s="222"/>
      <c r="G8" s="149" t="s">
        <v>205</v>
      </c>
      <c r="H8" s="151">
        <v>150</v>
      </c>
      <c r="M8" t="s">
        <v>286</v>
      </c>
    </row>
    <row r="9" spans="1:20">
      <c r="E9" s="223"/>
      <c r="G9" s="149" t="s">
        <v>651</v>
      </c>
      <c r="H9" s="125">
        <v>1.4</v>
      </c>
      <c r="M9" t="s">
        <v>310</v>
      </c>
    </row>
    <row r="10" spans="1:20">
      <c r="E10" s="222"/>
      <c r="G10" s="149" t="s">
        <v>311</v>
      </c>
      <c r="H10" s="116">
        <f>H4/H6</f>
        <v>13750</v>
      </c>
      <c r="I10" s="10"/>
    </row>
    <row r="11" spans="1:20">
      <c r="E11" s="222"/>
      <c r="G11" s="149" t="s">
        <v>306</v>
      </c>
      <c r="H11" s="116">
        <f>H4/H6/H9</f>
        <v>9821.4285714285725</v>
      </c>
    </row>
    <row r="12" spans="1:20">
      <c r="E12" s="222"/>
      <c r="G12" s="149" t="s">
        <v>282</v>
      </c>
      <c r="H12" s="116">
        <f>H5*H6</f>
        <v>199100</v>
      </c>
    </row>
    <row r="13" spans="1:20">
      <c r="E13" s="222"/>
      <c r="G13" s="149" t="s">
        <v>290</v>
      </c>
      <c r="H13" s="117">
        <f>H4/H12</f>
        <v>25</v>
      </c>
    </row>
    <row r="14" spans="1:20">
      <c r="E14" s="222"/>
      <c r="G14" s="152" t="s">
        <v>207</v>
      </c>
      <c r="H14" s="118">
        <f>H8/H13</f>
        <v>6</v>
      </c>
      <c r="M14" t="s">
        <v>215</v>
      </c>
    </row>
    <row r="16" spans="1:20">
      <c r="D16" s="30" t="s">
        <v>210</v>
      </c>
      <c r="E16" s="295"/>
      <c r="G16" s="148" t="s">
        <v>319</v>
      </c>
      <c r="H16" s="119">
        <v>1</v>
      </c>
      <c r="M16" t="s">
        <v>216</v>
      </c>
    </row>
    <row r="17" spans="4:13">
      <c r="E17" s="295"/>
      <c r="G17" s="149" t="s">
        <v>320</v>
      </c>
      <c r="H17" s="125">
        <v>1</v>
      </c>
    </row>
    <row r="18" spans="4:13">
      <c r="E18" s="295"/>
      <c r="G18" s="149" t="s">
        <v>321</v>
      </c>
      <c r="H18" s="125">
        <v>1</v>
      </c>
      <c r="M18" t="s">
        <v>312</v>
      </c>
    </row>
    <row r="19" spans="4:13">
      <c r="E19" s="295"/>
      <c r="G19" s="149" t="s">
        <v>322</v>
      </c>
      <c r="H19" s="125">
        <v>1</v>
      </c>
    </row>
    <row r="20" spans="4:13">
      <c r="E20" s="295"/>
      <c r="G20" s="149" t="s">
        <v>323</v>
      </c>
      <c r="H20" s="125">
        <v>1</v>
      </c>
    </row>
    <row r="21" spans="4:13">
      <c r="E21" s="295"/>
      <c r="G21" s="149" t="s">
        <v>324</v>
      </c>
      <c r="H21" s="125">
        <v>1</v>
      </c>
    </row>
    <row r="22" spans="4:13">
      <c r="E22" s="295"/>
      <c r="G22" s="152" t="s">
        <v>317</v>
      </c>
      <c r="H22" s="153">
        <f>H21*H20*H19*H18*H17*H16</f>
        <v>1</v>
      </c>
    </row>
    <row r="24" spans="4:13">
      <c r="D24" s="30" t="s">
        <v>305</v>
      </c>
      <c r="G24" s="202" t="s">
        <v>278</v>
      </c>
      <c r="H24" s="34" t="s">
        <v>269</v>
      </c>
      <c r="I24" s="36" t="s">
        <v>270</v>
      </c>
    </row>
    <row r="25" spans="4:13">
      <c r="E25" s="222"/>
      <c r="G25" s="161" t="s">
        <v>271</v>
      </c>
      <c r="H25" s="203">
        <v>0.1</v>
      </c>
      <c r="I25" s="97">
        <v>12</v>
      </c>
    </row>
    <row r="26" spans="4:13">
      <c r="E26" s="222"/>
      <c r="G26" s="149" t="s">
        <v>272</v>
      </c>
      <c r="H26" s="204">
        <v>0.1</v>
      </c>
      <c r="I26" s="98">
        <v>12</v>
      </c>
    </row>
    <row r="27" spans="4:13">
      <c r="E27" s="222"/>
      <c r="G27" s="162" t="s">
        <v>273</v>
      </c>
      <c r="H27" s="204">
        <v>0.1</v>
      </c>
      <c r="I27" s="99">
        <v>12</v>
      </c>
    </row>
    <row r="28" spans="4:13">
      <c r="E28" s="222"/>
      <c r="G28" s="162" t="s">
        <v>274</v>
      </c>
      <c r="H28" s="204">
        <v>0.15</v>
      </c>
      <c r="I28" s="99">
        <v>8</v>
      </c>
    </row>
    <row r="29" spans="4:13">
      <c r="E29" s="222"/>
      <c r="G29" s="162" t="s">
        <v>275</v>
      </c>
      <c r="H29" s="204">
        <v>0.15</v>
      </c>
      <c r="I29" s="99">
        <v>8</v>
      </c>
    </row>
    <row r="30" spans="4:13">
      <c r="E30" s="222"/>
      <c r="G30" s="162" t="s">
        <v>276</v>
      </c>
      <c r="H30" s="204">
        <v>0.25</v>
      </c>
      <c r="I30" s="99">
        <v>6</v>
      </c>
    </row>
    <row r="31" spans="4:13">
      <c r="E31" s="222"/>
      <c r="G31" s="163" t="s">
        <v>277</v>
      </c>
      <c r="H31" s="101">
        <f>1-SUM(H25:H30)</f>
        <v>0.14999999999999991</v>
      </c>
      <c r="I31" s="100">
        <v>6</v>
      </c>
    </row>
    <row r="32" spans="4:13">
      <c r="E32" s="222"/>
      <c r="G32" s="164" t="s">
        <v>1</v>
      </c>
      <c r="H32" s="101">
        <f>SUM(H25:H31)</f>
        <v>1</v>
      </c>
      <c r="I32" s="211">
        <f>SUMPRODUCT(H25:H31,I25:I31)</f>
        <v>8.4</v>
      </c>
    </row>
    <row r="34" spans="4:13">
      <c r="D34" s="30" t="s">
        <v>350</v>
      </c>
      <c r="E34" s="222"/>
      <c r="G34" s="161" t="s">
        <v>348</v>
      </c>
      <c r="H34" s="250">
        <f>(H31*8+H30*4+H29*2+H28*2)/SUM(H28:H31)</f>
        <v>3.9999999999999987</v>
      </c>
    </row>
    <row r="35" spans="4:13">
      <c r="E35" s="222"/>
      <c r="G35" s="163" t="s">
        <v>349</v>
      </c>
      <c r="H35" s="48">
        <f>(H28*8+H31*4+H30*2+H29*2+H27+H26+H25)</f>
        <v>2.9</v>
      </c>
    </row>
    <row r="36" spans="4:13">
      <c r="E36" s="223"/>
      <c r="G36" s="294" t="s">
        <v>650</v>
      </c>
      <c r="H36" s="296">
        <f>0.4*H35</f>
        <v>1.1599999999999999</v>
      </c>
    </row>
    <row r="38" spans="4:13">
      <c r="H38" s="209" t="s">
        <v>316</v>
      </c>
      <c r="I38" s="209" t="s">
        <v>217</v>
      </c>
    </row>
    <row r="39" spans="4:13">
      <c r="D39" s="6" t="s">
        <v>298</v>
      </c>
      <c r="E39" s="247"/>
      <c r="F39" s="17"/>
      <c r="G39" s="50" t="s">
        <v>66</v>
      </c>
      <c r="H39" s="169">
        <v>15</v>
      </c>
      <c r="I39" s="169">
        <v>1.1000000000000001</v>
      </c>
      <c r="M39" t="s">
        <v>646</v>
      </c>
    </row>
    <row r="40" spans="4:13">
      <c r="D40" s="6"/>
      <c r="E40" s="247"/>
      <c r="F40" s="17"/>
      <c r="G40" s="144" t="s">
        <v>74</v>
      </c>
      <c r="H40" s="172">
        <v>15</v>
      </c>
      <c r="I40" s="172">
        <v>1.1000000000000001</v>
      </c>
      <c r="M40" s="282" t="s">
        <v>646</v>
      </c>
    </row>
    <row r="41" spans="4:13">
      <c r="D41" s="6"/>
      <c r="E41" s="247"/>
      <c r="F41" s="17"/>
      <c r="G41" s="144" t="s">
        <v>87</v>
      </c>
      <c r="H41" s="172">
        <v>11</v>
      </c>
      <c r="I41" s="172">
        <v>1.2</v>
      </c>
      <c r="M41" s="282" t="s">
        <v>647</v>
      </c>
    </row>
    <row r="42" spans="4:13">
      <c r="D42" s="6"/>
      <c r="E42" s="247"/>
      <c r="F42" s="17"/>
      <c r="G42" s="144" t="s">
        <v>88</v>
      </c>
      <c r="H42" s="172">
        <v>11</v>
      </c>
      <c r="I42" s="172">
        <v>1.2</v>
      </c>
      <c r="M42" s="282" t="s">
        <v>647</v>
      </c>
    </row>
    <row r="43" spans="4:13">
      <c r="D43" s="6"/>
      <c r="E43" s="247"/>
      <c r="F43" s="17"/>
      <c r="G43" s="146" t="s">
        <v>297</v>
      </c>
      <c r="H43" s="174">
        <v>11</v>
      </c>
      <c r="I43" s="174">
        <v>1.2</v>
      </c>
      <c r="M43" s="282" t="s">
        <v>647</v>
      </c>
    </row>
    <row r="45" spans="4:13">
      <c r="G45" s="209" t="s">
        <v>196</v>
      </c>
      <c r="H45" s="207" t="s">
        <v>242</v>
      </c>
      <c r="I45" s="55" t="s">
        <v>243</v>
      </c>
      <c r="J45" s="208" t="s">
        <v>244</v>
      </c>
      <c r="K45" s="209" t="s">
        <v>1</v>
      </c>
    </row>
    <row r="46" spans="4:13">
      <c r="D46" s="30" t="s">
        <v>5</v>
      </c>
      <c r="E46" s="222"/>
      <c r="G46" s="2" t="s">
        <v>200</v>
      </c>
      <c r="H46" s="188">
        <f>H49-H47-H48</f>
        <v>6350</v>
      </c>
      <c r="I46" s="189">
        <f t="shared" ref="I46:J46" si="0">I49-I47-I48</f>
        <v>2500</v>
      </c>
      <c r="J46" s="189">
        <f t="shared" si="0"/>
        <v>1000</v>
      </c>
      <c r="K46" s="190">
        <f>K49-K48-K47</f>
        <v>9850</v>
      </c>
      <c r="M46" t="s">
        <v>285</v>
      </c>
    </row>
    <row r="47" spans="4:13">
      <c r="E47" s="222"/>
      <c r="G47" s="1" t="s">
        <v>280</v>
      </c>
      <c r="H47" s="191">
        <f>K47-I47-J47</f>
        <v>100</v>
      </c>
      <c r="I47" s="120">
        <v>0</v>
      </c>
      <c r="J47" s="120">
        <v>0</v>
      </c>
      <c r="K47" s="77">
        <v>100</v>
      </c>
    </row>
    <row r="48" spans="4:13">
      <c r="E48" s="222"/>
      <c r="G48" s="3" t="s">
        <v>7</v>
      </c>
      <c r="H48" s="192">
        <f>K48-I48-J48</f>
        <v>50</v>
      </c>
      <c r="I48" s="193">
        <v>0</v>
      </c>
      <c r="J48" s="193">
        <v>0</v>
      </c>
      <c r="K48" s="194">
        <v>50</v>
      </c>
    </row>
    <row r="49" spans="4:13">
      <c r="E49" s="222"/>
      <c r="G49" s="3" t="s">
        <v>1</v>
      </c>
      <c r="H49" s="195">
        <f>K49-I49-J49</f>
        <v>6500</v>
      </c>
      <c r="I49" s="127">
        <v>2500</v>
      </c>
      <c r="J49" s="127">
        <v>1000</v>
      </c>
      <c r="K49" s="196">
        <v>10000</v>
      </c>
    </row>
    <row r="51" spans="4:13">
      <c r="D51" s="30" t="s">
        <v>6</v>
      </c>
      <c r="E51" s="222"/>
      <c r="G51" s="2" t="s">
        <v>200</v>
      </c>
      <c r="H51" s="59">
        <f>H46</f>
        <v>6350</v>
      </c>
      <c r="I51" s="60">
        <f t="shared" ref="I51:J51" si="1">I46</f>
        <v>2500</v>
      </c>
      <c r="J51" s="29">
        <f t="shared" si="1"/>
        <v>1000</v>
      </c>
      <c r="K51" s="122">
        <f>K46</f>
        <v>9850</v>
      </c>
      <c r="M51" t="s">
        <v>294</v>
      </c>
    </row>
    <row r="52" spans="4:13">
      <c r="E52" s="222"/>
      <c r="G52" s="1" t="s">
        <v>279</v>
      </c>
      <c r="H52" s="8">
        <f>$K52*H$51/$K51</f>
        <v>322.33502538071065</v>
      </c>
      <c r="I52" s="5">
        <f t="shared" ref="I52:J52" si="2">$K52*I$51/$K51</f>
        <v>126.90355329949239</v>
      </c>
      <c r="J52" s="5">
        <f t="shared" si="2"/>
        <v>50.761421319796952</v>
      </c>
      <c r="K52" s="115">
        <v>500</v>
      </c>
    </row>
    <row r="53" spans="4:13">
      <c r="E53" s="222"/>
      <c r="G53" s="1" t="s">
        <v>280</v>
      </c>
      <c r="H53" s="8">
        <f>H47</f>
        <v>100</v>
      </c>
      <c r="I53" s="5">
        <f t="shared" ref="I53:J53" si="3">I47</f>
        <v>0</v>
      </c>
      <c r="J53" s="5">
        <f t="shared" si="3"/>
        <v>0</v>
      </c>
      <c r="K53" s="116">
        <f>K47</f>
        <v>100</v>
      </c>
    </row>
    <row r="54" spans="4:13">
      <c r="E54" s="222"/>
      <c r="G54" s="3" t="s">
        <v>7</v>
      </c>
      <c r="H54" s="72">
        <f>H48</f>
        <v>50</v>
      </c>
      <c r="I54" s="68">
        <f t="shared" ref="I54:J54" si="4">I48</f>
        <v>0</v>
      </c>
      <c r="J54" s="68">
        <f t="shared" si="4"/>
        <v>0</v>
      </c>
      <c r="K54" s="123">
        <f>K48</f>
        <v>50</v>
      </c>
    </row>
    <row r="55" spans="4:13">
      <c r="E55" s="222"/>
      <c r="G55" s="14" t="s">
        <v>1</v>
      </c>
      <c r="H55" s="130">
        <f>SUM(H51:H54)</f>
        <v>6822.3350253807102</v>
      </c>
      <c r="I55" s="75">
        <f t="shared" ref="I55:J55" si="5">SUM(I51:I54)</f>
        <v>2626.9035532994922</v>
      </c>
      <c r="J55" s="75">
        <f t="shared" si="5"/>
        <v>1050.7614213197969</v>
      </c>
      <c r="K55" s="124">
        <f>SUM(K51:K54)</f>
        <v>10500</v>
      </c>
    </row>
    <row r="56" spans="4:13">
      <c r="G56" s="15"/>
      <c r="H56" s="5"/>
      <c r="I56" s="154"/>
    </row>
    <row r="57" spans="4:13">
      <c r="D57" s="30" t="s">
        <v>293</v>
      </c>
      <c r="E57" s="222"/>
      <c r="G57" s="50" t="s">
        <v>200</v>
      </c>
      <c r="H57" s="155">
        <f>1-J62-I62-H58-H59-H60-H61</f>
        <v>0.54899999999999993</v>
      </c>
      <c r="I57" s="197">
        <v>0.17</v>
      </c>
      <c r="J57" s="197">
        <v>0.09</v>
      </c>
      <c r="K57" s="140">
        <f t="shared" ref="K57:K62" si="6">SUM(H57:J57)</f>
        <v>0.80899999999999994</v>
      </c>
      <c r="L57" s="11"/>
      <c r="M57" s="40" t="s">
        <v>291</v>
      </c>
    </row>
    <row r="58" spans="4:13">
      <c r="E58" s="222"/>
      <c r="G58" s="144" t="s">
        <v>279</v>
      </c>
      <c r="H58" s="198">
        <v>2.4E-2</v>
      </c>
      <c r="I58" s="199">
        <v>1.2E-2</v>
      </c>
      <c r="J58" s="199">
        <v>0</v>
      </c>
      <c r="K58" s="141">
        <f t="shared" si="6"/>
        <v>3.6000000000000004E-2</v>
      </c>
      <c r="L58" s="11"/>
      <c r="M58" t="s">
        <v>292</v>
      </c>
    </row>
    <row r="59" spans="4:13">
      <c r="E59" s="222"/>
      <c r="G59" s="144" t="s">
        <v>280</v>
      </c>
      <c r="H59" s="198">
        <v>4.0000000000000001E-3</v>
      </c>
      <c r="I59" s="199">
        <v>0</v>
      </c>
      <c r="J59" s="199">
        <v>0</v>
      </c>
      <c r="K59" s="141">
        <f t="shared" si="6"/>
        <v>4.0000000000000001E-3</v>
      </c>
      <c r="L59" s="11"/>
    </row>
    <row r="60" spans="4:13">
      <c r="E60" s="222"/>
      <c r="G60" s="144" t="s">
        <v>7</v>
      </c>
      <c r="H60" s="198">
        <v>1E-3</v>
      </c>
      <c r="I60" s="199">
        <v>0</v>
      </c>
      <c r="J60" s="199">
        <v>0</v>
      </c>
      <c r="K60" s="141">
        <f t="shared" si="6"/>
        <v>1E-3</v>
      </c>
      <c r="L60" s="11"/>
    </row>
    <row r="61" spans="4:13">
      <c r="E61" s="295"/>
      <c r="G61" s="146" t="s">
        <v>281</v>
      </c>
      <c r="H61" s="200">
        <v>0.03</v>
      </c>
      <c r="I61" s="201">
        <v>0.12</v>
      </c>
      <c r="J61" s="201">
        <v>0</v>
      </c>
      <c r="K61" s="142">
        <f t="shared" si="6"/>
        <v>0.15</v>
      </c>
      <c r="L61" s="11"/>
    </row>
    <row r="62" spans="4:13">
      <c r="E62" s="222"/>
      <c r="G62" s="146" t="s">
        <v>1</v>
      </c>
      <c r="H62" s="205">
        <f>SUM(H57:H61)</f>
        <v>0.60799999999999998</v>
      </c>
      <c r="I62" s="206">
        <f t="shared" ref="I62:J62" si="7">SUM(I57:I61)</f>
        <v>0.30200000000000005</v>
      </c>
      <c r="J62" s="206">
        <f t="shared" si="7"/>
        <v>0.09</v>
      </c>
      <c r="K62" s="135">
        <f t="shared" si="6"/>
        <v>1</v>
      </c>
      <c r="L62" s="11"/>
    </row>
    <row r="63" spans="4:13">
      <c r="D63"/>
      <c r="G63" s="27"/>
      <c r="H63" s="103"/>
      <c r="I63" s="104"/>
      <c r="J63" s="27"/>
      <c r="K63" s="27"/>
      <c r="L63" s="27"/>
    </row>
    <row r="64" spans="4:13">
      <c r="D64" s="30" t="s">
        <v>325</v>
      </c>
      <c r="E64" s="222"/>
      <c r="G64" s="148" t="s">
        <v>54</v>
      </c>
      <c r="H64" s="213">
        <v>0.1</v>
      </c>
      <c r="I64" s="214">
        <v>0.1</v>
      </c>
      <c r="J64" s="215">
        <v>0.1</v>
      </c>
      <c r="K64" s="220">
        <f>SUMPRODUCT(H64:J64,H$49:J$49)/SUM(H$49:J$49)</f>
        <v>0.1</v>
      </c>
      <c r="L64" s="27"/>
      <c r="M64" t="s">
        <v>328</v>
      </c>
    </row>
    <row r="65" spans="4:13">
      <c r="D65"/>
      <c r="E65" s="222"/>
      <c r="G65" s="149" t="s">
        <v>55</v>
      </c>
      <c r="H65" s="216">
        <v>0.2</v>
      </c>
      <c r="I65" s="217">
        <v>0.2</v>
      </c>
      <c r="J65" s="218">
        <v>0.2</v>
      </c>
      <c r="K65" s="221">
        <f t="shared" ref="K65:K66" si="8">SUMPRODUCT(H65:J65,H$49:J$49)/SUM(H$49:J$49)</f>
        <v>0.2</v>
      </c>
      <c r="L65" s="27"/>
    </row>
    <row r="66" spans="4:13">
      <c r="D66"/>
      <c r="E66" s="222"/>
      <c r="G66" s="152" t="s">
        <v>56</v>
      </c>
      <c r="H66" s="219">
        <f>1-H64-H65</f>
        <v>0.7</v>
      </c>
      <c r="I66" s="121">
        <f>1-I64-I65</f>
        <v>0.7</v>
      </c>
      <c r="J66" s="102">
        <f>1-J64-J65</f>
        <v>0.7</v>
      </c>
      <c r="K66" s="212">
        <f t="shared" si="8"/>
        <v>0.7</v>
      </c>
      <c r="L66" s="27"/>
    </row>
    <row r="67" spans="4:13">
      <c r="D67"/>
      <c r="G67" s="27"/>
      <c r="H67" s="103"/>
      <c r="I67" s="104"/>
      <c r="J67" s="27"/>
      <c r="K67" s="27"/>
      <c r="L67" s="27"/>
    </row>
    <row r="68" spans="4:13">
      <c r="D68" s="30" t="s">
        <v>326</v>
      </c>
      <c r="E68" s="222"/>
      <c r="G68" s="148" t="s">
        <v>54</v>
      </c>
      <c r="H68" s="213">
        <v>0.5</v>
      </c>
      <c r="I68" s="214">
        <v>0.5</v>
      </c>
      <c r="J68" s="215">
        <v>0.5</v>
      </c>
      <c r="K68" s="220">
        <f>SUMPRODUCT(H68:J68,H$62:J$62)/SUM(H$62:J$62)</f>
        <v>0.5</v>
      </c>
      <c r="L68" s="27"/>
      <c r="M68" t="s">
        <v>327</v>
      </c>
    </row>
    <row r="69" spans="4:13">
      <c r="D69"/>
      <c r="E69" s="222"/>
      <c r="G69" s="149" t="s">
        <v>55</v>
      </c>
      <c r="H69" s="216">
        <v>0.3</v>
      </c>
      <c r="I69" s="217">
        <v>0.3</v>
      </c>
      <c r="J69" s="218">
        <v>0.3</v>
      </c>
      <c r="K69" s="221">
        <f t="shared" ref="K69:K70" si="9">SUMPRODUCT(H69:J69,H$62:J$62)/SUM(H$62:J$62)</f>
        <v>0.30000000000000004</v>
      </c>
      <c r="L69" s="27"/>
    </row>
    <row r="70" spans="4:13">
      <c r="D70"/>
      <c r="E70" s="222"/>
      <c r="G70" s="152" t="s">
        <v>56</v>
      </c>
      <c r="H70" s="219">
        <f>1-H68-H69</f>
        <v>0.2</v>
      </c>
      <c r="I70" s="121">
        <f>1-I68-I69</f>
        <v>0.2</v>
      </c>
      <c r="J70" s="102">
        <f>1-J68-J69</f>
        <v>0.2</v>
      </c>
      <c r="K70" s="212">
        <f t="shared" si="9"/>
        <v>0.19999999999999998</v>
      </c>
      <c r="L70" s="27"/>
    </row>
    <row r="71" spans="4:13">
      <c r="D71"/>
      <c r="G71" s="27"/>
      <c r="H71" s="103"/>
      <c r="I71" s="104"/>
      <c r="J71" s="27"/>
      <c r="K71" s="27"/>
      <c r="L71" s="27"/>
    </row>
    <row r="72" spans="4:13">
      <c r="D72" s="30" t="s">
        <v>329</v>
      </c>
      <c r="E72" s="222"/>
      <c r="G72" s="50" t="s">
        <v>200</v>
      </c>
      <c r="H72" s="105">
        <f t="shared" ref="H72:J76" si="10">$H$13*H57</f>
        <v>13.724999999999998</v>
      </c>
      <c r="I72" s="106">
        <f t="shared" si="10"/>
        <v>4.25</v>
      </c>
      <c r="J72" s="106">
        <f t="shared" si="10"/>
        <v>2.25</v>
      </c>
      <c r="K72" s="156">
        <f t="shared" ref="K72:K78" si="11">SUM(H72:J72)</f>
        <v>20.224999999999998</v>
      </c>
      <c r="L72" s="10"/>
    </row>
    <row r="73" spans="4:13">
      <c r="E73" s="222"/>
      <c r="G73" s="144" t="s">
        <v>279</v>
      </c>
      <c r="H73" s="107">
        <f t="shared" si="10"/>
        <v>0.6</v>
      </c>
      <c r="I73" s="12">
        <f t="shared" si="10"/>
        <v>0.3</v>
      </c>
      <c r="J73" s="12">
        <f t="shared" si="10"/>
        <v>0</v>
      </c>
      <c r="K73" s="157">
        <f t="shared" si="11"/>
        <v>0.89999999999999991</v>
      </c>
      <c r="L73" s="10"/>
    </row>
    <row r="74" spans="4:13">
      <c r="E74" s="222"/>
      <c r="G74" s="144" t="s">
        <v>280</v>
      </c>
      <c r="H74" s="107">
        <f t="shared" si="10"/>
        <v>0.1</v>
      </c>
      <c r="I74" s="12">
        <f t="shared" si="10"/>
        <v>0</v>
      </c>
      <c r="J74" s="12">
        <f t="shared" si="10"/>
        <v>0</v>
      </c>
      <c r="K74" s="157">
        <f t="shared" si="11"/>
        <v>0.1</v>
      </c>
      <c r="L74" s="10"/>
    </row>
    <row r="75" spans="4:13">
      <c r="E75" s="222"/>
      <c r="G75" s="144" t="s">
        <v>7</v>
      </c>
      <c r="H75" s="107">
        <f t="shared" si="10"/>
        <v>2.5000000000000001E-2</v>
      </c>
      <c r="I75" s="12">
        <f t="shared" si="10"/>
        <v>0</v>
      </c>
      <c r="J75" s="12">
        <f t="shared" si="10"/>
        <v>0</v>
      </c>
      <c r="K75" s="157">
        <f t="shared" si="11"/>
        <v>2.5000000000000001E-2</v>
      </c>
      <c r="L75" s="10"/>
    </row>
    <row r="76" spans="4:13">
      <c r="E76" s="295"/>
      <c r="G76" s="146" t="s">
        <v>281</v>
      </c>
      <c r="H76" s="108">
        <f t="shared" si="10"/>
        <v>0.75</v>
      </c>
      <c r="I76" s="109">
        <f t="shared" si="10"/>
        <v>3</v>
      </c>
      <c r="J76" s="109">
        <f t="shared" si="10"/>
        <v>0</v>
      </c>
      <c r="K76" s="153">
        <f t="shared" si="11"/>
        <v>3.75</v>
      </c>
      <c r="L76" s="10"/>
    </row>
    <row r="77" spans="4:13">
      <c r="E77" s="222"/>
      <c r="G77" s="160" t="s">
        <v>284</v>
      </c>
      <c r="H77" s="158">
        <f>SUM(H72:H75)</f>
        <v>14.449999999999998</v>
      </c>
      <c r="I77" s="51">
        <f t="shared" ref="I77:J77" si="12">SUM(I72:I75)</f>
        <v>4.55</v>
      </c>
      <c r="J77" s="51">
        <f t="shared" si="12"/>
        <v>2.25</v>
      </c>
      <c r="K77" s="159">
        <f t="shared" si="11"/>
        <v>21.249999999999996</v>
      </c>
      <c r="L77" s="10"/>
    </row>
    <row r="78" spans="4:13">
      <c r="E78" s="222"/>
      <c r="G78" s="160" t="s">
        <v>1</v>
      </c>
      <c r="H78" s="158">
        <f>SUM(H72:H76)</f>
        <v>15.199999999999998</v>
      </c>
      <c r="I78" s="51">
        <f t="shared" ref="I78:J78" si="13">SUM(I72:I76)</f>
        <v>7.55</v>
      </c>
      <c r="J78" s="51">
        <f t="shared" si="13"/>
        <v>2.25</v>
      </c>
      <c r="K78" s="159">
        <f t="shared" si="11"/>
        <v>24.999999999999996</v>
      </c>
      <c r="L78" s="10"/>
      <c r="M78" s="10"/>
    </row>
    <row r="80" spans="4:13">
      <c r="D80" s="30" t="s">
        <v>287</v>
      </c>
      <c r="E80" s="222"/>
      <c r="G80" s="50" t="s">
        <v>206</v>
      </c>
      <c r="H80" s="105">
        <f>H78/$K78*$K80</f>
        <v>1.8239999999999998</v>
      </c>
      <c r="I80" s="106">
        <f t="shared" ref="I80:J80" si="14">I78/$K78*$K80</f>
        <v>0.90600000000000014</v>
      </c>
      <c r="J80" s="106">
        <f t="shared" si="14"/>
        <v>0.27</v>
      </c>
      <c r="K80" s="136">
        <v>3</v>
      </c>
      <c r="L80" s="53"/>
      <c r="M80" t="s">
        <v>648</v>
      </c>
    </row>
    <row r="81" spans="4:13">
      <c r="E81" s="222"/>
      <c r="G81" s="146" t="s">
        <v>289</v>
      </c>
      <c r="H81" s="70">
        <f>(H72+H76)/H80</f>
        <v>7.9358552631578947</v>
      </c>
      <c r="I81" s="71">
        <f t="shared" ref="I81:J81" si="15">(I72+I76)/I80</f>
        <v>8.0022075055187631</v>
      </c>
      <c r="J81" s="71">
        <f t="shared" si="15"/>
        <v>8.3333333333333321</v>
      </c>
      <c r="K81" s="126">
        <f>(K72+K76+K74)/K80</f>
        <v>8.0250000000000004</v>
      </c>
      <c r="L81" s="53"/>
      <c r="M81" t="s">
        <v>301</v>
      </c>
    </row>
    <row r="82" spans="4:13">
      <c r="E82" s="222"/>
      <c r="G82" s="50" t="s">
        <v>214</v>
      </c>
      <c r="H82" s="73">
        <f t="shared" ref="H82:J82" si="16">H80/$K80*$K82</f>
        <v>10.857142857142858</v>
      </c>
      <c r="I82" s="74">
        <f t="shared" si="16"/>
        <v>5.3928571428571441</v>
      </c>
      <c r="J82" s="74">
        <f t="shared" si="16"/>
        <v>1.6071428571428574</v>
      </c>
      <c r="K82" s="297">
        <f>H13/H9</f>
        <v>17.857142857142858</v>
      </c>
      <c r="L82" s="53"/>
      <c r="M82" s="282" t="s">
        <v>649</v>
      </c>
    </row>
    <row r="83" spans="4:13">
      <c r="E83" s="222"/>
      <c r="G83" s="146" t="s">
        <v>288</v>
      </c>
      <c r="H83" s="70">
        <f>H78/H82</f>
        <v>1.3999999999999997</v>
      </c>
      <c r="I83" s="71">
        <f t="shared" ref="I83:J83" si="17">I78/I82</f>
        <v>1.3999999999999997</v>
      </c>
      <c r="J83" s="71">
        <f t="shared" si="17"/>
        <v>1.3999999999999997</v>
      </c>
      <c r="K83" s="126">
        <f>K78/K82</f>
        <v>1.3999999999999997</v>
      </c>
      <c r="L83" s="53"/>
    </row>
    <row r="85" spans="4:13">
      <c r="D85" s="30" t="s">
        <v>426</v>
      </c>
      <c r="E85" s="222"/>
      <c r="G85" s="148" t="s">
        <v>200</v>
      </c>
      <c r="H85" s="78">
        <v>12</v>
      </c>
      <c r="I85" s="248">
        <v>12</v>
      </c>
      <c r="J85" s="249">
        <v>12</v>
      </c>
      <c r="K85" s="250">
        <f>(H85*SUM(H$57:H$58)+I85*SUM(I$57:I$58)+J85*SUM(J$57:J$58))/SUM(K$57:K$58)</f>
        <v>11.999999999999998</v>
      </c>
      <c r="M85" t="s">
        <v>412</v>
      </c>
    </row>
    <row r="86" spans="4:13">
      <c r="E86" s="222"/>
      <c r="G86" s="149" t="s">
        <v>411</v>
      </c>
      <c r="H86" s="79">
        <v>3</v>
      </c>
      <c r="I86" s="251">
        <v>3</v>
      </c>
      <c r="J86" s="228">
        <v>3</v>
      </c>
      <c r="K86" s="49">
        <f>SUMPRODUCT(H86:J86,H$59:J$59)/K$59</f>
        <v>3</v>
      </c>
    </row>
    <row r="87" spans="4:13">
      <c r="E87" s="222"/>
      <c r="G87" s="152" t="s">
        <v>7</v>
      </c>
      <c r="H87" s="80">
        <v>1</v>
      </c>
      <c r="I87" s="76">
        <v>1</v>
      </c>
      <c r="J87" s="252">
        <v>1</v>
      </c>
      <c r="K87" s="48">
        <f>SUMPRODUCT(H87:J87,H$60:J$60)/K$60</f>
        <v>1</v>
      </c>
    </row>
    <row r="88" spans="4:13">
      <c r="G88" s="211" t="s">
        <v>1</v>
      </c>
      <c r="H88" s="253">
        <f>(H85*SUM(H$57:H$58)+H86*H$59+H87*H$60)/SUM(H$57:H$60)</f>
        <v>11.918685121107266</v>
      </c>
      <c r="I88" s="51">
        <f t="shared" ref="I88:J88" si="18">(I85*SUM(I$57:I$58)+I86*I$59+I87*I$60)/SUM(I$57:I$60)</f>
        <v>12</v>
      </c>
      <c r="J88" s="69">
        <f t="shared" si="18"/>
        <v>12.000000000000002</v>
      </c>
      <c r="K88" s="254">
        <f>(K85*SUM(K$57:K$58)+K86*K$59+K87*K$60)/SUM(K$57:K$60)</f>
        <v>11.94470588235294</v>
      </c>
    </row>
    <row r="90" spans="4:13">
      <c r="D90" s="30" t="s">
        <v>413</v>
      </c>
      <c r="E90" s="222"/>
      <c r="G90" s="148" t="s">
        <v>200</v>
      </c>
      <c r="H90" s="78">
        <v>6</v>
      </c>
      <c r="I90" s="248">
        <v>6</v>
      </c>
      <c r="J90" s="249">
        <v>6</v>
      </c>
      <c r="K90" s="250">
        <f>(H90*SUM(H$57:H$58)+I90*SUM(I$57:I$58)+J90*SUM(J$57:J$58))/SUM(K$57:K$58)</f>
        <v>5.9999999999999991</v>
      </c>
      <c r="M90" t="s">
        <v>412</v>
      </c>
    </row>
    <row r="91" spans="4:13">
      <c r="E91" s="222"/>
      <c r="G91" s="149" t="s">
        <v>411</v>
      </c>
      <c r="H91" s="79">
        <v>2</v>
      </c>
      <c r="I91" s="251">
        <v>2</v>
      </c>
      <c r="J91" s="228">
        <v>2</v>
      </c>
      <c r="K91" s="49">
        <f>SUMPRODUCT(H91:J91,H$59:J$59)/K$59</f>
        <v>2</v>
      </c>
    </row>
    <row r="92" spans="4:13">
      <c r="E92" s="222"/>
      <c r="G92" s="152" t="s">
        <v>7</v>
      </c>
      <c r="H92" s="80">
        <v>2</v>
      </c>
      <c r="I92" s="76">
        <v>2</v>
      </c>
      <c r="J92" s="252">
        <v>2</v>
      </c>
      <c r="K92" s="48">
        <f>SUMPRODUCT(H92:J92,H$60:J$60)/K$60</f>
        <v>2</v>
      </c>
    </row>
    <row r="93" spans="4:13">
      <c r="G93" s="211" t="s">
        <v>1</v>
      </c>
      <c r="H93" s="253">
        <f>(H90*SUM(H$57:H$58)+H91*H$59+H92*H$60)/SUM(H$57:H$60)</f>
        <v>5.9653979238754324</v>
      </c>
      <c r="I93" s="51">
        <f t="shared" ref="I93" si="19">(I90*SUM(I$57:I$58)+I91*I$59+I92*I$60)/SUM(I$57:I$60)</f>
        <v>6</v>
      </c>
      <c r="J93" s="69">
        <f t="shared" ref="J93" si="20">(J90*SUM(J$57:J$58)+J91*J$59+J92*J$60)/SUM(J$57:J$60)</f>
        <v>6.0000000000000009</v>
      </c>
      <c r="K93" s="254">
        <f>(K90*SUM(K$57:K$58)+K91*K$59+K92*K$60)/SUM(K$57:K$60)</f>
        <v>5.9764705882352933</v>
      </c>
    </row>
    <row r="94" spans="4:13">
      <c r="H94" s="12"/>
      <c r="I94" s="12"/>
      <c r="J94" s="12"/>
      <c r="K94" s="12"/>
    </row>
    <row r="95" spans="4:13">
      <c r="D95" s="30" t="s">
        <v>414</v>
      </c>
      <c r="E95" s="222"/>
      <c r="G95" s="148" t="s">
        <v>200</v>
      </c>
      <c r="H95" s="78">
        <v>8</v>
      </c>
      <c r="I95" s="248">
        <v>8</v>
      </c>
      <c r="J95" s="249">
        <v>8</v>
      </c>
      <c r="K95" s="250">
        <f>(H95*SUM(H$57:H$58)+I95*SUM(I$57:I$58)+J95*SUM(J$57:J$58))/SUM(K$57:K$58)</f>
        <v>8</v>
      </c>
      <c r="M95" t="s">
        <v>412</v>
      </c>
    </row>
    <row r="96" spans="4:13">
      <c r="E96" s="222"/>
      <c r="G96" s="149" t="s">
        <v>411</v>
      </c>
      <c r="H96" s="79">
        <v>5</v>
      </c>
      <c r="I96" s="251">
        <v>5</v>
      </c>
      <c r="J96" s="228">
        <v>5</v>
      </c>
      <c r="K96" s="49">
        <f>SUMPRODUCT(H96:J96,H$59:J$59)/K$59</f>
        <v>5</v>
      </c>
    </row>
    <row r="97" spans="4:13">
      <c r="E97" s="222"/>
      <c r="G97" s="152" t="s">
        <v>7</v>
      </c>
      <c r="H97" s="80">
        <v>3</v>
      </c>
      <c r="I97" s="76">
        <v>3</v>
      </c>
      <c r="J97" s="252">
        <v>3</v>
      </c>
      <c r="K97" s="48">
        <f>SUMPRODUCT(H97:J97,H$60:J$60)/K$60</f>
        <v>3</v>
      </c>
    </row>
    <row r="98" spans="4:13">
      <c r="G98" s="211" t="s">
        <v>1</v>
      </c>
      <c r="H98" s="253">
        <f>(H95*SUM(H$57:H$58)+H96*H$59+H97*H$60)/SUM(H$57:H$60)</f>
        <v>7.9705882352941169</v>
      </c>
      <c r="I98" s="51">
        <f t="shared" ref="I98" si="21">(I95*SUM(I$57:I$58)+I96*I$59+I97*I$60)/SUM(I$57:I$60)</f>
        <v>8</v>
      </c>
      <c r="J98" s="69">
        <f t="shared" ref="J98" si="22">(J95*SUM(J$57:J$58)+J96*J$59+J97*J$60)/SUM(J$57:J$60)</f>
        <v>8</v>
      </c>
      <c r="K98" s="254">
        <f>(K95*SUM(K$57:K$58)+K96*K$59+K97*K$60)/SUM(K$57:K$60)</f>
        <v>7.9799999999999995</v>
      </c>
    </row>
    <row r="99" spans="4:13">
      <c r="H99" s="12"/>
      <c r="I99" s="12"/>
      <c r="J99" s="12"/>
      <c r="K99" s="12"/>
    </row>
    <row r="100" spans="4:13">
      <c r="D100" s="30" t="s">
        <v>415</v>
      </c>
      <c r="E100" s="222"/>
      <c r="G100" s="148" t="s">
        <v>200</v>
      </c>
      <c r="H100" s="59">
        <f>H85*H90*H95</f>
        <v>576</v>
      </c>
      <c r="I100" s="60">
        <f t="shared" ref="I100:K100" si="23">I85*I90*I95</f>
        <v>576</v>
      </c>
      <c r="J100" s="57">
        <f t="shared" si="23"/>
        <v>576</v>
      </c>
      <c r="K100" s="122">
        <f t="shared" si="23"/>
        <v>575.99999999999977</v>
      </c>
      <c r="M100" t="s">
        <v>412</v>
      </c>
    </row>
    <row r="101" spans="4:13">
      <c r="E101" s="222"/>
      <c r="G101" s="149" t="s">
        <v>279</v>
      </c>
      <c r="H101" s="8">
        <f>H90*H95</f>
        <v>48</v>
      </c>
      <c r="I101" s="5">
        <f t="shared" ref="I101:K101" si="24">I90*I95</f>
        <v>48</v>
      </c>
      <c r="J101" s="9">
        <f t="shared" si="24"/>
        <v>48</v>
      </c>
      <c r="K101" s="116">
        <f t="shared" si="24"/>
        <v>47.999999999999993</v>
      </c>
    </row>
    <row r="102" spans="4:13">
      <c r="E102" s="222"/>
      <c r="G102" s="149" t="s">
        <v>280</v>
      </c>
      <c r="H102" s="8">
        <f>H86*H91*H96</f>
        <v>30</v>
      </c>
      <c r="I102" s="5">
        <f t="shared" ref="I102:K102" si="25">I86*I91*I96</f>
        <v>30</v>
      </c>
      <c r="J102" s="9">
        <f t="shared" si="25"/>
        <v>30</v>
      </c>
      <c r="K102" s="116">
        <f t="shared" si="25"/>
        <v>30</v>
      </c>
    </row>
    <row r="103" spans="4:13">
      <c r="E103" s="222"/>
      <c r="G103" s="152" t="s">
        <v>7</v>
      </c>
      <c r="H103" s="72">
        <f>H87*H92*H97</f>
        <v>6</v>
      </c>
      <c r="I103" s="68">
        <f t="shared" ref="I103:K103" si="26">I87*I92*I97</f>
        <v>6</v>
      </c>
      <c r="J103" s="61">
        <f t="shared" si="26"/>
        <v>6</v>
      </c>
      <c r="K103" s="123">
        <f t="shared" si="26"/>
        <v>6</v>
      </c>
    </row>
    <row r="104" spans="4:13">
      <c r="G104" s="211" t="s">
        <v>1</v>
      </c>
      <c r="H104" s="130">
        <f>SUMPRODUCT(H100:H103,H57:H60)/SUM(H57:H60)</f>
        <v>549.311418685121</v>
      </c>
      <c r="I104" s="75">
        <f t="shared" ref="I104:K104" si="27">SUMPRODUCT(I100:I103,I57:I60)/SUM(I57:I60)</f>
        <v>541.18681318681308</v>
      </c>
      <c r="J104" s="58">
        <f t="shared" si="27"/>
        <v>576</v>
      </c>
      <c r="K104" s="124">
        <f t="shared" si="27"/>
        <v>550.39764705882328</v>
      </c>
      <c r="M104" s="5"/>
    </row>
    <row r="106" spans="4:13">
      <c r="D106" s="30" t="s">
        <v>295</v>
      </c>
      <c r="E106" s="222"/>
      <c r="G106" s="50" t="s">
        <v>200</v>
      </c>
      <c r="H106" s="59">
        <f>H72*$H$5</f>
        <v>7548.7499999999991</v>
      </c>
      <c r="I106" s="60">
        <f t="shared" ref="H106:J110" si="28">I72*$H$5</f>
        <v>2337.5</v>
      </c>
      <c r="J106" s="60">
        <f t="shared" si="28"/>
        <v>1237.5</v>
      </c>
      <c r="K106" s="122">
        <f t="shared" ref="K106:K112" si="29">SUM(H106:J106)</f>
        <v>11123.75</v>
      </c>
      <c r="L106" s="5"/>
    </row>
    <row r="107" spans="4:13">
      <c r="E107" s="222"/>
      <c r="G107" s="144" t="s">
        <v>279</v>
      </c>
      <c r="H107" s="8">
        <f t="shared" si="28"/>
        <v>330</v>
      </c>
      <c r="I107" s="5">
        <f t="shared" si="28"/>
        <v>165</v>
      </c>
      <c r="J107" s="5">
        <f t="shared" si="28"/>
        <v>0</v>
      </c>
      <c r="K107" s="116">
        <f t="shared" si="29"/>
        <v>495</v>
      </c>
      <c r="L107" s="5"/>
    </row>
    <row r="108" spans="4:13">
      <c r="E108" s="222"/>
      <c r="G108" s="144" t="s">
        <v>280</v>
      </c>
      <c r="H108" s="8">
        <f t="shared" si="28"/>
        <v>55</v>
      </c>
      <c r="I108" s="5">
        <f t="shared" si="28"/>
        <v>0</v>
      </c>
      <c r="J108" s="5">
        <f t="shared" si="28"/>
        <v>0</v>
      </c>
      <c r="K108" s="116">
        <f t="shared" si="29"/>
        <v>55</v>
      </c>
      <c r="L108" s="5"/>
    </row>
    <row r="109" spans="4:13">
      <c r="E109" s="222"/>
      <c r="G109" s="144" t="s">
        <v>7</v>
      </c>
      <c r="H109" s="8">
        <f t="shared" si="28"/>
        <v>13.75</v>
      </c>
      <c r="I109" s="5">
        <f t="shared" si="28"/>
        <v>0</v>
      </c>
      <c r="J109" s="5">
        <f t="shared" si="28"/>
        <v>0</v>
      </c>
      <c r="K109" s="116">
        <f t="shared" si="29"/>
        <v>13.75</v>
      </c>
      <c r="L109" s="5"/>
    </row>
    <row r="110" spans="4:13">
      <c r="E110" s="295"/>
      <c r="G110" s="146" t="s">
        <v>281</v>
      </c>
      <c r="H110" s="72">
        <f t="shared" si="28"/>
        <v>412.5</v>
      </c>
      <c r="I110" s="68">
        <f t="shared" si="28"/>
        <v>1650</v>
      </c>
      <c r="J110" s="68">
        <f t="shared" si="28"/>
        <v>0</v>
      </c>
      <c r="K110" s="123">
        <f t="shared" si="29"/>
        <v>2062.5</v>
      </c>
      <c r="L110" s="5"/>
    </row>
    <row r="111" spans="4:13">
      <c r="G111" s="160" t="s">
        <v>284</v>
      </c>
      <c r="H111" s="130">
        <f>SUM(H106:H109)</f>
        <v>7947.4999999999991</v>
      </c>
      <c r="I111" s="75">
        <f t="shared" ref="I111:J111" si="30">SUM(I106:I109)</f>
        <v>2502.5</v>
      </c>
      <c r="J111" s="75">
        <f t="shared" si="30"/>
        <v>1237.5</v>
      </c>
      <c r="K111" s="124">
        <f t="shared" si="29"/>
        <v>11687.5</v>
      </c>
      <c r="L111" s="5"/>
    </row>
    <row r="112" spans="4:13">
      <c r="G112" s="160" t="s">
        <v>1</v>
      </c>
      <c r="H112" s="130">
        <f>SUM(H106:H110)</f>
        <v>8360</v>
      </c>
      <c r="I112" s="75">
        <f t="shared" ref="I112:J112" si="31">SUM(I106:I110)</f>
        <v>4152.5</v>
      </c>
      <c r="J112" s="75">
        <f t="shared" si="31"/>
        <v>1237.5</v>
      </c>
      <c r="K112" s="124">
        <f t="shared" si="29"/>
        <v>13750</v>
      </c>
      <c r="L112" s="5"/>
    </row>
    <row r="113" spans="4:14">
      <c r="H113" s="10"/>
      <c r="I113" s="12"/>
      <c r="J113" s="12"/>
      <c r="K113" s="10"/>
      <c r="L113" s="10"/>
    </row>
    <row r="114" spans="4:14">
      <c r="D114" s="30" t="s">
        <v>296</v>
      </c>
      <c r="E114" s="222"/>
      <c r="G114" s="50" t="s">
        <v>200</v>
      </c>
      <c r="H114" s="59">
        <f>H106*$H$22*VLOOKUP("Pack",$G$39:$I$43,3,FALSE)</f>
        <v>9058.4999999999982</v>
      </c>
      <c r="I114" s="60">
        <f t="shared" ref="H114:J118" si="32">I106*$H$22*VLOOKUP("Pack",$G$39:$I$43,3,FALSE)</f>
        <v>2805</v>
      </c>
      <c r="J114" s="60">
        <f t="shared" si="32"/>
        <v>1485</v>
      </c>
      <c r="K114" s="122">
        <f t="shared" ref="K114:K120" si="33">SUM(H114:J114)</f>
        <v>13348.499999999998</v>
      </c>
      <c r="L114" s="5"/>
      <c r="M114" s="12"/>
    </row>
    <row r="115" spans="4:14">
      <c r="D115" s="30" t="s">
        <v>307</v>
      </c>
      <c r="E115" s="222"/>
      <c r="G115" s="144" t="s">
        <v>279</v>
      </c>
      <c r="H115" s="8">
        <f t="shared" si="32"/>
        <v>396</v>
      </c>
      <c r="I115" s="5">
        <f t="shared" si="32"/>
        <v>198</v>
      </c>
      <c r="J115" s="5">
        <f t="shared" si="32"/>
        <v>0</v>
      </c>
      <c r="K115" s="116">
        <f t="shared" si="33"/>
        <v>594</v>
      </c>
      <c r="L115" s="5"/>
    </row>
    <row r="116" spans="4:14">
      <c r="E116" s="222"/>
      <c r="G116" s="144" t="s">
        <v>280</v>
      </c>
      <c r="H116" s="8">
        <f t="shared" si="32"/>
        <v>66</v>
      </c>
      <c r="I116" s="5">
        <f t="shared" si="32"/>
        <v>0</v>
      </c>
      <c r="J116" s="5">
        <f t="shared" si="32"/>
        <v>0</v>
      </c>
      <c r="K116" s="116">
        <f t="shared" si="33"/>
        <v>66</v>
      </c>
      <c r="L116" s="5"/>
    </row>
    <row r="117" spans="4:14">
      <c r="E117" s="222"/>
      <c r="G117" s="144" t="s">
        <v>7</v>
      </c>
      <c r="H117" s="8">
        <f t="shared" si="32"/>
        <v>16.5</v>
      </c>
      <c r="I117" s="5">
        <f t="shared" si="32"/>
        <v>0</v>
      </c>
      <c r="J117" s="5">
        <f t="shared" si="32"/>
        <v>0</v>
      </c>
      <c r="K117" s="116">
        <f t="shared" si="33"/>
        <v>16.5</v>
      </c>
      <c r="L117" s="5"/>
    </row>
    <row r="118" spans="4:14">
      <c r="E118" s="295"/>
      <c r="G118" s="146" t="s">
        <v>281</v>
      </c>
      <c r="H118" s="72">
        <f t="shared" si="32"/>
        <v>495</v>
      </c>
      <c r="I118" s="68">
        <f t="shared" si="32"/>
        <v>1980</v>
      </c>
      <c r="J118" s="68">
        <f t="shared" si="32"/>
        <v>0</v>
      </c>
      <c r="K118" s="123">
        <f t="shared" si="33"/>
        <v>2475</v>
      </c>
      <c r="L118" s="5"/>
    </row>
    <row r="119" spans="4:14">
      <c r="G119" s="160" t="s">
        <v>284</v>
      </c>
      <c r="H119" s="130">
        <f>SUM(H114:H117)</f>
        <v>9536.9999999999982</v>
      </c>
      <c r="I119" s="75">
        <f t="shared" ref="I119:J119" si="34">SUM(I114:I117)</f>
        <v>3003</v>
      </c>
      <c r="J119" s="75">
        <f t="shared" si="34"/>
        <v>1485</v>
      </c>
      <c r="K119" s="124">
        <f t="shared" si="33"/>
        <v>14024.999999999998</v>
      </c>
      <c r="L119" s="5"/>
    </row>
    <row r="120" spans="4:14">
      <c r="G120" s="160" t="s">
        <v>1</v>
      </c>
      <c r="H120" s="130">
        <f>SUM(H114:H118)</f>
        <v>10031.999999999998</v>
      </c>
      <c r="I120" s="75">
        <f t="shared" ref="I120:J120" si="35">SUM(I114:I118)</f>
        <v>4983</v>
      </c>
      <c r="J120" s="75">
        <f t="shared" si="35"/>
        <v>1485</v>
      </c>
      <c r="K120" s="124">
        <f t="shared" si="33"/>
        <v>16500</v>
      </c>
      <c r="L120" s="12"/>
      <c r="M120" s="10"/>
    </row>
    <row r="121" spans="4:14">
      <c r="H121" s="10"/>
      <c r="I121" s="12"/>
      <c r="J121" s="12"/>
      <c r="K121" s="10"/>
      <c r="L121" s="10"/>
    </row>
    <row r="122" spans="4:14">
      <c r="D122" s="30" t="s">
        <v>313</v>
      </c>
      <c r="E122" s="222"/>
      <c r="G122" s="50" t="s">
        <v>200</v>
      </c>
      <c r="H122" s="73">
        <f>H106*$H$22*VLOOKUP("Receiving",$G$39:$I$43,3,FALSE)/VLOOKUP("Receiving",$G$39:$I$43,2,FALSE)/60</f>
        <v>9.2262500000000003</v>
      </c>
      <c r="I122" s="74">
        <f t="shared" ref="H122:J126" si="36">I106*$H$22*VLOOKUP("Receiving",$G$39:$I$43,3,FALSE)/VLOOKUP("Receiving",$G$39:$I$43,2,FALSE)/60</f>
        <v>2.8569444444444443</v>
      </c>
      <c r="J122" s="74">
        <f t="shared" si="36"/>
        <v>1.5125</v>
      </c>
      <c r="K122" s="128">
        <f t="shared" ref="K122:K128" si="37">SUM(H122:J122)</f>
        <v>13.595694444444444</v>
      </c>
      <c r="L122" s="5"/>
    </row>
    <row r="123" spans="4:14">
      <c r="D123" s="30" t="s">
        <v>314</v>
      </c>
      <c r="E123" s="222"/>
      <c r="G123" s="144" t="s">
        <v>279</v>
      </c>
      <c r="H123" s="54">
        <f t="shared" si="36"/>
        <v>0.40333333333333338</v>
      </c>
      <c r="I123" s="53">
        <f t="shared" si="36"/>
        <v>0.20166666666666669</v>
      </c>
      <c r="J123" s="53">
        <f t="shared" si="36"/>
        <v>0</v>
      </c>
      <c r="K123" s="117">
        <f t="shared" si="37"/>
        <v>0.60500000000000009</v>
      </c>
      <c r="L123" s="5"/>
    </row>
    <row r="124" spans="4:14">
      <c r="E124" s="222"/>
      <c r="G124" s="144" t="s">
        <v>280</v>
      </c>
      <c r="H124" s="54">
        <f t="shared" si="36"/>
        <v>6.7222222222222239E-2</v>
      </c>
      <c r="I124" s="53">
        <f t="shared" si="36"/>
        <v>0</v>
      </c>
      <c r="J124" s="53">
        <f t="shared" si="36"/>
        <v>0</v>
      </c>
      <c r="K124" s="117">
        <f t="shared" si="37"/>
        <v>6.7222222222222239E-2</v>
      </c>
      <c r="L124" s="5"/>
      <c r="N124">
        <f>60*11</f>
        <v>660</v>
      </c>
    </row>
    <row r="125" spans="4:14">
      <c r="E125" s="222"/>
      <c r="G125" s="144" t="s">
        <v>7</v>
      </c>
      <c r="H125" s="54">
        <f t="shared" si="36"/>
        <v>1.680555555555556E-2</v>
      </c>
      <c r="I125" s="53">
        <f t="shared" si="36"/>
        <v>0</v>
      </c>
      <c r="J125" s="53">
        <f t="shared" si="36"/>
        <v>0</v>
      </c>
      <c r="K125" s="117">
        <f t="shared" si="37"/>
        <v>1.680555555555556E-2</v>
      </c>
      <c r="L125" s="5"/>
    </row>
    <row r="126" spans="4:14">
      <c r="E126" s="295"/>
      <c r="G126" s="146" t="s">
        <v>281</v>
      </c>
      <c r="H126" s="70">
        <f t="shared" si="36"/>
        <v>0.50416666666666676</v>
      </c>
      <c r="I126" s="71">
        <f t="shared" si="36"/>
        <v>2.0166666666666671</v>
      </c>
      <c r="J126" s="71">
        <f t="shared" si="36"/>
        <v>0</v>
      </c>
      <c r="K126" s="126">
        <f t="shared" si="37"/>
        <v>2.5208333333333339</v>
      </c>
      <c r="L126" s="5"/>
    </row>
    <row r="127" spans="4:14">
      <c r="G127" s="160" t="s">
        <v>284</v>
      </c>
      <c r="H127" s="210">
        <f>SUM(H122:H125)</f>
        <v>9.7136111111111116</v>
      </c>
      <c r="I127" s="110">
        <f t="shared" ref="I127:J127" si="38">SUM(I122:I125)</f>
        <v>3.0586111111111109</v>
      </c>
      <c r="J127" s="110">
        <f t="shared" si="38"/>
        <v>1.5125</v>
      </c>
      <c r="K127" s="129">
        <f t="shared" si="37"/>
        <v>14.284722222222221</v>
      </c>
      <c r="L127" s="5"/>
    </row>
    <row r="128" spans="4:14">
      <c r="G128" s="160" t="s">
        <v>1</v>
      </c>
      <c r="H128" s="210">
        <f>SUM(H122:H126)</f>
        <v>10.217777777777778</v>
      </c>
      <c r="I128" s="110">
        <f t="shared" ref="I128:J128" si="39">SUM(I122:I126)</f>
        <v>5.075277777777778</v>
      </c>
      <c r="J128" s="110">
        <f t="shared" si="39"/>
        <v>1.5125</v>
      </c>
      <c r="K128" s="129">
        <f t="shared" si="37"/>
        <v>16.805555555555557</v>
      </c>
      <c r="L128" s="12"/>
      <c r="M128" s="10"/>
    </row>
    <row r="129" spans="4:13">
      <c r="H129" s="10"/>
      <c r="I129" s="12"/>
      <c r="J129" s="12"/>
      <c r="K129" s="10"/>
      <c r="L129" s="10"/>
    </row>
    <row r="130" spans="4:13">
      <c r="D130" s="30" t="s">
        <v>315</v>
      </c>
      <c r="E130" s="222"/>
      <c r="G130" s="50" t="s">
        <v>200</v>
      </c>
      <c r="H130" s="73">
        <f>H114/VLOOKUP("Pack",$G$39:$H$44,2,FALSE)/60</f>
        <v>13.724999999999998</v>
      </c>
      <c r="I130" s="74">
        <f t="shared" ref="I130:J130" si="40">I114/VLOOKUP("Pack",$G$39:$H$44,2,FALSE)/60</f>
        <v>4.25</v>
      </c>
      <c r="J130" s="74">
        <f t="shared" si="40"/>
        <v>2.25</v>
      </c>
      <c r="K130" s="128">
        <f t="shared" ref="K130:K136" si="41">SUM(H130:J130)</f>
        <v>20.224999999999998</v>
      </c>
      <c r="L130" s="5"/>
    </row>
    <row r="131" spans="4:13">
      <c r="D131" s="30" t="s">
        <v>307</v>
      </c>
      <c r="E131" s="222"/>
      <c r="G131" s="144" t="s">
        <v>279</v>
      </c>
      <c r="H131" s="54">
        <f t="shared" ref="H131:J131" si="42">H115/VLOOKUP("Pack",$G$39:$H$44,2,FALSE)/60</f>
        <v>0.6</v>
      </c>
      <c r="I131" s="53">
        <f t="shared" si="42"/>
        <v>0.3</v>
      </c>
      <c r="J131" s="53">
        <f t="shared" si="42"/>
        <v>0</v>
      </c>
      <c r="K131" s="117">
        <f t="shared" si="41"/>
        <v>0.89999999999999991</v>
      </c>
      <c r="L131" s="5"/>
    </row>
    <row r="132" spans="4:13">
      <c r="E132" s="222"/>
      <c r="G132" s="144" t="s">
        <v>280</v>
      </c>
      <c r="H132" s="54">
        <f t="shared" ref="H132:J132" si="43">H116/VLOOKUP("Pack",$G$39:$H$44,2,FALSE)/60</f>
        <v>0.1</v>
      </c>
      <c r="I132" s="53">
        <f t="shared" si="43"/>
        <v>0</v>
      </c>
      <c r="J132" s="53">
        <f t="shared" si="43"/>
        <v>0</v>
      </c>
      <c r="K132" s="117">
        <f t="shared" si="41"/>
        <v>0.1</v>
      </c>
      <c r="L132" s="5"/>
    </row>
    <row r="133" spans="4:13">
      <c r="E133" s="222"/>
      <c r="G133" s="144" t="s">
        <v>7</v>
      </c>
      <c r="H133" s="54">
        <f t="shared" ref="H133:J133" si="44">H117/VLOOKUP("Pack",$G$39:$H$44,2,FALSE)/60</f>
        <v>2.5000000000000001E-2</v>
      </c>
      <c r="I133" s="53">
        <f t="shared" si="44"/>
        <v>0</v>
      </c>
      <c r="J133" s="53">
        <f t="shared" si="44"/>
        <v>0</v>
      </c>
      <c r="K133" s="117">
        <f t="shared" si="41"/>
        <v>2.5000000000000001E-2</v>
      </c>
      <c r="L133" s="5"/>
    </row>
    <row r="134" spans="4:13">
      <c r="E134" s="295"/>
      <c r="G134" s="146" t="s">
        <v>281</v>
      </c>
      <c r="H134" s="70">
        <f t="shared" ref="H134:J134" si="45">H118/VLOOKUP("Pack",$G$39:$H$44,2,FALSE)/60</f>
        <v>0.75</v>
      </c>
      <c r="I134" s="71">
        <f t="shared" si="45"/>
        <v>3</v>
      </c>
      <c r="J134" s="71">
        <f t="shared" si="45"/>
        <v>0</v>
      </c>
      <c r="K134" s="126">
        <f t="shared" si="41"/>
        <v>3.75</v>
      </c>
      <c r="L134" s="5"/>
    </row>
    <row r="135" spans="4:13">
      <c r="G135" s="160" t="s">
        <v>284</v>
      </c>
      <c r="H135" s="210">
        <f>SUM(H130:H133)</f>
        <v>14.449999999999998</v>
      </c>
      <c r="I135" s="110">
        <f t="shared" ref="I135:J135" si="46">SUM(I130:I133)</f>
        <v>4.55</v>
      </c>
      <c r="J135" s="110">
        <f t="shared" si="46"/>
        <v>2.25</v>
      </c>
      <c r="K135" s="129">
        <f t="shared" si="41"/>
        <v>21.249999999999996</v>
      </c>
      <c r="L135" s="5"/>
    </row>
    <row r="136" spans="4:13">
      <c r="G136" s="160" t="s">
        <v>1</v>
      </c>
      <c r="H136" s="210">
        <f>SUM(H130:H134)</f>
        <v>15.199999999999998</v>
      </c>
      <c r="I136" s="110">
        <f t="shared" ref="I136:J136" si="47">SUM(I130:I134)</f>
        <v>7.55</v>
      </c>
      <c r="J136" s="110">
        <f t="shared" si="47"/>
        <v>2.25</v>
      </c>
      <c r="K136" s="129">
        <f t="shared" si="41"/>
        <v>24.999999999999996</v>
      </c>
      <c r="L136" s="12"/>
      <c r="M136" s="10"/>
    </row>
    <row r="137" spans="4:13">
      <c r="H137" s="10"/>
      <c r="I137" s="12"/>
      <c r="J137" s="12"/>
      <c r="K137" s="10"/>
      <c r="L137" s="10"/>
    </row>
    <row r="138" spans="4:13">
      <c r="D138" s="30" t="s">
        <v>318</v>
      </c>
      <c r="E138" s="222"/>
      <c r="G138" s="50" t="s">
        <v>200</v>
      </c>
      <c r="H138" s="131">
        <f>H106*$H$14</f>
        <v>45292.499999999993</v>
      </c>
      <c r="I138" s="67">
        <f t="shared" ref="I138:J138" si="48">I106*$H$14</f>
        <v>14025</v>
      </c>
      <c r="J138" s="67">
        <f t="shared" si="48"/>
        <v>7425</v>
      </c>
      <c r="K138" s="45">
        <f t="shared" ref="K138:K144" si="49">SUM(H138:J138)</f>
        <v>66742.5</v>
      </c>
      <c r="L138" s="111"/>
    </row>
    <row r="139" spans="4:13">
      <c r="E139" s="222"/>
      <c r="G139" s="144" t="s">
        <v>279</v>
      </c>
      <c r="H139" s="132">
        <f t="shared" ref="H139:J139" si="50">H107*$H$14</f>
        <v>1980</v>
      </c>
      <c r="I139" s="111">
        <f t="shared" si="50"/>
        <v>990</v>
      </c>
      <c r="J139" s="111">
        <f t="shared" si="50"/>
        <v>0</v>
      </c>
      <c r="K139" s="137">
        <f t="shared" si="49"/>
        <v>2970</v>
      </c>
      <c r="L139" s="111"/>
    </row>
    <row r="140" spans="4:13">
      <c r="E140" s="222"/>
      <c r="G140" s="144" t="s">
        <v>280</v>
      </c>
      <c r="H140" s="132">
        <f t="shared" ref="H140:J140" si="51">H108*$H$14</f>
        <v>330</v>
      </c>
      <c r="I140" s="111">
        <f t="shared" si="51"/>
        <v>0</v>
      </c>
      <c r="J140" s="111">
        <f t="shared" si="51"/>
        <v>0</v>
      </c>
      <c r="K140" s="137">
        <f t="shared" si="49"/>
        <v>330</v>
      </c>
      <c r="L140" s="111"/>
    </row>
    <row r="141" spans="4:13">
      <c r="E141" s="222"/>
      <c r="G141" s="144" t="s">
        <v>7</v>
      </c>
      <c r="H141" s="132">
        <f t="shared" ref="H141:J141" si="52">H109*$H$14</f>
        <v>82.5</v>
      </c>
      <c r="I141" s="111">
        <f t="shared" si="52"/>
        <v>0</v>
      </c>
      <c r="J141" s="111">
        <f t="shared" si="52"/>
        <v>0</v>
      </c>
      <c r="K141" s="137">
        <f t="shared" si="49"/>
        <v>82.5</v>
      </c>
      <c r="L141" s="111"/>
    </row>
    <row r="142" spans="4:13">
      <c r="E142" s="295"/>
      <c r="G142" s="146" t="s">
        <v>281</v>
      </c>
      <c r="H142" s="133">
        <f t="shared" ref="H142:J142" si="53">H110*$H$14</f>
        <v>2475</v>
      </c>
      <c r="I142" s="47">
        <f t="shared" si="53"/>
        <v>9900</v>
      </c>
      <c r="J142" s="47">
        <f t="shared" si="53"/>
        <v>0</v>
      </c>
      <c r="K142" s="138">
        <f t="shared" si="49"/>
        <v>12375</v>
      </c>
      <c r="L142" s="111"/>
    </row>
    <row r="143" spans="4:13">
      <c r="G143" s="160" t="s">
        <v>284</v>
      </c>
      <c r="H143" s="134">
        <f>SUM(H138:H141)</f>
        <v>47684.999999999993</v>
      </c>
      <c r="I143" s="112">
        <f t="shared" ref="I143:J143" si="54">SUM(I138:I141)</f>
        <v>15015</v>
      </c>
      <c r="J143" s="112">
        <f t="shared" si="54"/>
        <v>7425</v>
      </c>
      <c r="K143" s="139">
        <f t="shared" si="49"/>
        <v>70125</v>
      </c>
      <c r="L143" s="111"/>
    </row>
    <row r="144" spans="4:13">
      <c r="G144" s="160" t="s">
        <v>1</v>
      </c>
      <c r="H144" s="134">
        <f>SUM(H138:H142)</f>
        <v>50159.999999999993</v>
      </c>
      <c r="I144" s="112">
        <f t="shared" ref="I144:J144" si="55">SUM(I138:I142)</f>
        <v>24915</v>
      </c>
      <c r="J144" s="112">
        <f t="shared" si="55"/>
        <v>7425</v>
      </c>
      <c r="K144" s="139">
        <f t="shared" si="49"/>
        <v>82500</v>
      </c>
      <c r="L144" s="111"/>
    </row>
    <row r="146" spans="4:11">
      <c r="D146" s="30" t="s">
        <v>299</v>
      </c>
      <c r="E146" s="222"/>
      <c r="G146" s="50" t="s">
        <v>300</v>
      </c>
      <c r="H146" s="59">
        <f>(H114+H118)/H81</f>
        <v>1203.8399999999997</v>
      </c>
      <c r="I146" s="60">
        <f t="shared" ref="I146:J146" si="56">(I114+I118)/I81</f>
        <v>597.96</v>
      </c>
      <c r="J146" s="60">
        <f t="shared" si="56"/>
        <v>178.20000000000002</v>
      </c>
      <c r="K146" s="122">
        <f>SUM(H146:J146)</f>
        <v>1979.9999999999998</v>
      </c>
    </row>
    <row r="147" spans="4:11">
      <c r="D147" s="30" t="s">
        <v>307</v>
      </c>
      <c r="E147" s="222"/>
      <c r="G147" s="144" t="s">
        <v>652</v>
      </c>
      <c r="H147" s="8">
        <f>H114/$H$36/$H$9</f>
        <v>5577.8940886699502</v>
      </c>
      <c r="I147" s="5">
        <f>I114/$H$36/$H$9</f>
        <v>1727.2167487684733</v>
      </c>
      <c r="J147" s="5">
        <f t="shared" ref="J147" si="57">J114/$H$36/$H$9</f>
        <v>914.40886699507394</v>
      </c>
      <c r="K147" s="116">
        <f>SUM(H147:J147)</f>
        <v>8219.5197044334982</v>
      </c>
    </row>
    <row r="148" spans="4:11">
      <c r="E148" s="222"/>
      <c r="G148" s="144" t="s">
        <v>211</v>
      </c>
      <c r="H148" s="8">
        <f>H115</f>
        <v>396</v>
      </c>
      <c r="I148" s="5">
        <f>I115</f>
        <v>198</v>
      </c>
      <c r="J148" s="5">
        <f>J115</f>
        <v>0</v>
      </c>
      <c r="K148" s="116">
        <f>SUM(H148:J148)</f>
        <v>594</v>
      </c>
    </row>
    <row r="149" spans="4:11">
      <c r="E149" s="222"/>
      <c r="G149" s="144" t="s">
        <v>7</v>
      </c>
      <c r="H149" s="8">
        <f>H117</f>
        <v>16.5</v>
      </c>
      <c r="I149" s="5">
        <f>I117</f>
        <v>0</v>
      </c>
      <c r="J149" s="5">
        <f>J117</f>
        <v>0</v>
      </c>
      <c r="K149" s="116">
        <f>SUM(H149:J149)</f>
        <v>16.5</v>
      </c>
    </row>
    <row r="150" spans="4:11">
      <c r="G150" s="160" t="s">
        <v>1</v>
      </c>
      <c r="H150" s="130">
        <f>SUM(H146:H149)</f>
        <v>7194.2340886699494</v>
      </c>
      <c r="I150" s="75">
        <f>SUM(I146:I149)</f>
        <v>2523.1767487684733</v>
      </c>
      <c r="J150" s="75">
        <f>SUM(J146:J149)</f>
        <v>1092.6088669950739</v>
      </c>
      <c r="K150" s="124">
        <f>SUM(H150:J150)</f>
        <v>10810.019704433496</v>
      </c>
    </row>
    <row r="152" spans="4:11">
      <c r="D152" s="30" t="s">
        <v>303</v>
      </c>
      <c r="E152" s="222"/>
      <c r="G152" s="50" t="s">
        <v>300</v>
      </c>
      <c r="H152" s="59">
        <f t="shared" ref="H152:J155" si="58">H146/VLOOKUP("Pack",$G$39:$H$43,2,FALSE)</f>
        <v>109.43999999999997</v>
      </c>
      <c r="I152" s="60">
        <f t="shared" si="58"/>
        <v>54.360000000000007</v>
      </c>
      <c r="J152" s="60">
        <f t="shared" si="58"/>
        <v>16.200000000000003</v>
      </c>
      <c r="K152" s="122">
        <f>SUM(H152:J152)</f>
        <v>180</v>
      </c>
    </row>
    <row r="153" spans="4:11">
      <c r="D153" s="30" t="s">
        <v>307</v>
      </c>
      <c r="E153" s="222"/>
      <c r="G153" s="144" t="s">
        <v>652</v>
      </c>
      <c r="H153" s="8">
        <f t="shared" si="58"/>
        <v>507.08128078817731</v>
      </c>
      <c r="I153" s="5">
        <f t="shared" si="58"/>
        <v>157.01970443349757</v>
      </c>
      <c r="J153" s="5">
        <f t="shared" si="58"/>
        <v>83.128078817733993</v>
      </c>
      <c r="K153" s="116">
        <f>SUM(H153:J153)</f>
        <v>747.22906403940885</v>
      </c>
    </row>
    <row r="154" spans="4:11">
      <c r="E154" s="222"/>
      <c r="G154" s="144" t="s">
        <v>211</v>
      </c>
      <c r="H154" s="8">
        <f t="shared" si="58"/>
        <v>36</v>
      </c>
      <c r="I154" s="5">
        <f t="shared" si="58"/>
        <v>18</v>
      </c>
      <c r="J154" s="5">
        <f t="shared" si="58"/>
        <v>0</v>
      </c>
      <c r="K154" s="116">
        <f>SUM(H154:J154)</f>
        <v>54</v>
      </c>
    </row>
    <row r="155" spans="4:11">
      <c r="E155" s="222"/>
      <c r="G155" s="144" t="s">
        <v>7</v>
      </c>
      <c r="H155" s="8">
        <f t="shared" si="58"/>
        <v>1.5</v>
      </c>
      <c r="I155" s="5">
        <f t="shared" si="58"/>
        <v>0</v>
      </c>
      <c r="J155" s="5">
        <f t="shared" si="58"/>
        <v>0</v>
      </c>
      <c r="K155" s="116">
        <f>SUM(H155:J155)</f>
        <v>1.5</v>
      </c>
    </row>
    <row r="156" spans="4:11">
      <c r="G156" s="160" t="s">
        <v>1</v>
      </c>
      <c r="H156" s="130">
        <f>SUM(H152:H155)</f>
        <v>654.02128078817725</v>
      </c>
      <c r="I156" s="75">
        <f>SUM(I152:I155)</f>
        <v>229.37970443349758</v>
      </c>
      <c r="J156" s="75">
        <f>SUM(J152:J155)</f>
        <v>99.328078817733996</v>
      </c>
      <c r="K156" s="124">
        <f>SUM(H156:J156)</f>
        <v>982.72906403940874</v>
      </c>
    </row>
    <row r="158" spans="4:11">
      <c r="D158" s="30" t="s">
        <v>302</v>
      </c>
      <c r="E158" s="222"/>
      <c r="G158" s="50" t="s">
        <v>300</v>
      </c>
      <c r="H158" s="73">
        <f t="shared" ref="H158:J161" si="59">H152/60</f>
        <v>1.8239999999999994</v>
      </c>
      <c r="I158" s="74">
        <f t="shared" si="59"/>
        <v>0.90600000000000014</v>
      </c>
      <c r="J158" s="74">
        <f t="shared" si="59"/>
        <v>0.27000000000000007</v>
      </c>
      <c r="K158" s="128">
        <f>SUM(H158:J158)</f>
        <v>2.9999999999999996</v>
      </c>
    </row>
    <row r="159" spans="4:11">
      <c r="D159" s="30" t="s">
        <v>307</v>
      </c>
      <c r="E159" s="222"/>
      <c r="G159" s="144" t="s">
        <v>652</v>
      </c>
      <c r="H159" s="54">
        <f t="shared" si="59"/>
        <v>8.4513546798029555</v>
      </c>
      <c r="I159" s="53">
        <f t="shared" si="59"/>
        <v>2.6169950738916259</v>
      </c>
      <c r="J159" s="53">
        <f t="shared" si="59"/>
        <v>1.3854679802955665</v>
      </c>
      <c r="K159" s="117">
        <f>SUM(H159:J159)</f>
        <v>12.453817733990148</v>
      </c>
    </row>
    <row r="160" spans="4:11">
      <c r="E160" s="222"/>
      <c r="G160" s="144" t="s">
        <v>211</v>
      </c>
      <c r="H160" s="54">
        <f t="shared" si="59"/>
        <v>0.6</v>
      </c>
      <c r="I160" s="53">
        <f t="shared" si="59"/>
        <v>0.3</v>
      </c>
      <c r="J160" s="53">
        <f t="shared" si="59"/>
        <v>0</v>
      </c>
      <c r="K160" s="117">
        <f>SUM(H160:J160)</f>
        <v>0.89999999999999991</v>
      </c>
    </row>
    <row r="161" spans="4:11">
      <c r="E161" s="222"/>
      <c r="G161" s="144" t="s">
        <v>7</v>
      </c>
      <c r="H161" s="54">
        <f t="shared" si="59"/>
        <v>2.5000000000000001E-2</v>
      </c>
      <c r="I161" s="53">
        <f t="shared" si="59"/>
        <v>0</v>
      </c>
      <c r="J161" s="53">
        <f t="shared" si="59"/>
        <v>0</v>
      </c>
      <c r="K161" s="117">
        <f>SUM(H161:J161)</f>
        <v>2.5000000000000001E-2</v>
      </c>
    </row>
    <row r="162" spans="4:11">
      <c r="G162" s="160" t="s">
        <v>1</v>
      </c>
      <c r="H162" s="210">
        <f>SUM(H158:H161)</f>
        <v>10.900354679802955</v>
      </c>
      <c r="I162" s="110">
        <f>SUM(I158:I161)</f>
        <v>3.8229950738916259</v>
      </c>
      <c r="J162" s="110">
        <f>SUM(J158:J161)</f>
        <v>1.6554679802955665</v>
      </c>
      <c r="K162" s="129">
        <f>SUM(H162:J162)</f>
        <v>16.378817733990147</v>
      </c>
    </row>
    <row r="164" spans="4:11">
      <c r="D164" s="30" t="s">
        <v>304</v>
      </c>
      <c r="E164" s="222"/>
      <c r="G164" s="50" t="s">
        <v>200</v>
      </c>
      <c r="H164" s="73">
        <f t="shared" ref="H164:J168" si="60">H$82*H57/H$62</f>
        <v>9.803571428571427</v>
      </c>
      <c r="I164" s="74">
        <f t="shared" si="60"/>
        <v>3.035714285714286</v>
      </c>
      <c r="J164" s="74">
        <f t="shared" si="60"/>
        <v>1.6071428571428574</v>
      </c>
      <c r="K164" s="128">
        <f t="shared" ref="K164:K170" si="61">SUM(H164:J164)</f>
        <v>14.446428571428571</v>
      </c>
    </row>
    <row r="165" spans="4:11">
      <c r="E165" s="222"/>
      <c r="G165" s="144" t="s">
        <v>279</v>
      </c>
      <c r="H165" s="54">
        <f t="shared" si="60"/>
        <v>0.42857142857142855</v>
      </c>
      <c r="I165" s="53">
        <f t="shared" si="60"/>
        <v>0.21428571428571427</v>
      </c>
      <c r="J165" s="53">
        <f t="shared" si="60"/>
        <v>0</v>
      </c>
      <c r="K165" s="117">
        <f t="shared" si="61"/>
        <v>0.64285714285714279</v>
      </c>
    </row>
    <row r="166" spans="4:11">
      <c r="E166" s="222"/>
      <c r="G166" s="144" t="s">
        <v>280</v>
      </c>
      <c r="H166" s="54">
        <f t="shared" si="60"/>
        <v>7.1428571428571438E-2</v>
      </c>
      <c r="I166" s="53">
        <f t="shared" si="60"/>
        <v>0</v>
      </c>
      <c r="J166" s="53">
        <f t="shared" si="60"/>
        <v>0</v>
      </c>
      <c r="K166" s="117">
        <f t="shared" si="61"/>
        <v>7.1428571428571438E-2</v>
      </c>
    </row>
    <row r="167" spans="4:11">
      <c r="E167" s="222"/>
      <c r="G167" s="144" t="s">
        <v>7</v>
      </c>
      <c r="H167" s="54">
        <f t="shared" si="60"/>
        <v>1.785714285714286E-2</v>
      </c>
      <c r="I167" s="53">
        <f t="shared" si="60"/>
        <v>0</v>
      </c>
      <c r="J167" s="53">
        <f t="shared" si="60"/>
        <v>0</v>
      </c>
      <c r="K167" s="117">
        <f t="shared" si="61"/>
        <v>1.785714285714286E-2</v>
      </c>
    </row>
    <row r="168" spans="4:11">
      <c r="E168" s="295"/>
      <c r="G168" s="146" t="s">
        <v>281</v>
      </c>
      <c r="H168" s="70">
        <f t="shared" si="60"/>
        <v>0.53571428571428581</v>
      </c>
      <c r="I168" s="71">
        <f t="shared" si="60"/>
        <v>2.1428571428571428</v>
      </c>
      <c r="J168" s="71">
        <f t="shared" si="60"/>
        <v>0</v>
      </c>
      <c r="K168" s="126">
        <f t="shared" si="61"/>
        <v>2.6785714285714288</v>
      </c>
    </row>
    <row r="169" spans="4:11">
      <c r="G169" s="160" t="s">
        <v>284</v>
      </c>
      <c r="H169" s="210">
        <f>SUM(H164:H167)</f>
        <v>10.321428571428569</v>
      </c>
      <c r="I169" s="110">
        <f>SUM(I164:I167)</f>
        <v>3.2500000000000004</v>
      </c>
      <c r="J169" s="110">
        <f>SUM(J164:J167)</f>
        <v>1.6071428571428574</v>
      </c>
      <c r="K169" s="129">
        <f t="shared" si="61"/>
        <v>15.178571428571427</v>
      </c>
    </row>
    <row r="170" spans="4:11">
      <c r="G170" s="160" t="s">
        <v>1</v>
      </c>
      <c r="H170" s="210">
        <f>SUM(H164:H168)</f>
        <v>10.857142857142856</v>
      </c>
      <c r="I170" s="110">
        <f>SUM(I164:I168)</f>
        <v>5.3928571428571432</v>
      </c>
      <c r="J170" s="110">
        <f>SUM(J164:J168)</f>
        <v>1.6071428571428574</v>
      </c>
      <c r="K170" s="129">
        <f t="shared" si="61"/>
        <v>17.857142857142858</v>
      </c>
    </row>
    <row r="172" spans="4:11">
      <c r="D172" s="30" t="s">
        <v>308</v>
      </c>
      <c r="E172" s="222"/>
      <c r="G172" s="50" t="s">
        <v>200</v>
      </c>
      <c r="H172" s="59">
        <f t="shared" ref="H172:J176" si="62">H114/VLOOKUP("Pack",$G$39:$H$43,2,FALSE)/$H$9</f>
        <v>588.21428571428567</v>
      </c>
      <c r="I172" s="60">
        <f t="shared" si="62"/>
        <v>182.14285714285717</v>
      </c>
      <c r="J172" s="60">
        <f t="shared" si="62"/>
        <v>96.428571428571431</v>
      </c>
      <c r="K172" s="122">
        <f t="shared" ref="K172:K178" si="63">SUM(H172:J172)</f>
        <v>866.78571428571433</v>
      </c>
    </row>
    <row r="173" spans="4:11">
      <c r="D173" s="30" t="s">
        <v>307</v>
      </c>
      <c r="E173" s="222"/>
      <c r="G173" s="144" t="s">
        <v>279</v>
      </c>
      <c r="H173" s="8">
        <f t="shared" si="62"/>
        <v>25.714285714285715</v>
      </c>
      <c r="I173" s="5">
        <f t="shared" si="62"/>
        <v>12.857142857142858</v>
      </c>
      <c r="J173" s="5">
        <f t="shared" si="62"/>
        <v>0</v>
      </c>
      <c r="K173" s="116">
        <f t="shared" si="63"/>
        <v>38.571428571428569</v>
      </c>
    </row>
    <row r="174" spans="4:11">
      <c r="E174" s="222"/>
      <c r="G174" s="144" t="s">
        <v>280</v>
      </c>
      <c r="H174" s="8">
        <f t="shared" si="62"/>
        <v>4.2857142857142856</v>
      </c>
      <c r="I174" s="5">
        <f t="shared" si="62"/>
        <v>0</v>
      </c>
      <c r="J174" s="5">
        <f t="shared" si="62"/>
        <v>0</v>
      </c>
      <c r="K174" s="116">
        <f t="shared" si="63"/>
        <v>4.2857142857142856</v>
      </c>
    </row>
    <row r="175" spans="4:11">
      <c r="E175" s="222"/>
      <c r="G175" s="144" t="s">
        <v>7</v>
      </c>
      <c r="H175" s="8">
        <f t="shared" si="62"/>
        <v>1.0714285714285714</v>
      </c>
      <c r="I175" s="5">
        <f t="shared" si="62"/>
        <v>0</v>
      </c>
      <c r="J175" s="5">
        <f t="shared" si="62"/>
        <v>0</v>
      </c>
      <c r="K175" s="116">
        <f t="shared" si="63"/>
        <v>1.0714285714285714</v>
      </c>
    </row>
    <row r="176" spans="4:11">
      <c r="E176" s="295"/>
      <c r="G176" s="146" t="s">
        <v>281</v>
      </c>
      <c r="H176" s="72">
        <f t="shared" si="62"/>
        <v>32.142857142857146</v>
      </c>
      <c r="I176" s="68">
        <f t="shared" si="62"/>
        <v>128.57142857142858</v>
      </c>
      <c r="J176" s="68">
        <f t="shared" si="62"/>
        <v>0</v>
      </c>
      <c r="K176" s="123">
        <f t="shared" si="63"/>
        <v>160.71428571428572</v>
      </c>
    </row>
    <row r="177" spans="4:13">
      <c r="G177" s="160" t="s">
        <v>284</v>
      </c>
      <c r="H177" s="130">
        <f>SUM(H172:H175)</f>
        <v>619.28571428571422</v>
      </c>
      <c r="I177" s="75">
        <f>SUM(I172:I175)</f>
        <v>195.00000000000003</v>
      </c>
      <c r="J177" s="75">
        <f>SUM(J172:J175)</f>
        <v>96.428571428571431</v>
      </c>
      <c r="K177" s="124">
        <f t="shared" si="63"/>
        <v>910.71428571428567</v>
      </c>
    </row>
    <row r="178" spans="4:13">
      <c r="G178" s="160" t="s">
        <v>1</v>
      </c>
      <c r="H178" s="130">
        <f>SUM(H172:H176)</f>
        <v>651.42857142857133</v>
      </c>
      <c r="I178" s="75">
        <f>SUM(I172:I176)</f>
        <v>323.57142857142861</v>
      </c>
      <c r="J178" s="75">
        <f>SUM(J172:J176)</f>
        <v>96.428571428571431</v>
      </c>
      <c r="K178" s="124">
        <f t="shared" si="63"/>
        <v>1071.4285714285713</v>
      </c>
    </row>
    <row r="180" spans="4:13">
      <c r="D180" s="30" t="s">
        <v>309</v>
      </c>
      <c r="E180" s="222"/>
      <c r="G180" s="50" t="s">
        <v>200</v>
      </c>
      <c r="H180" s="73">
        <f t="shared" ref="H180:J184" si="64">H172/60</f>
        <v>9.803571428571427</v>
      </c>
      <c r="I180" s="74">
        <f t="shared" si="64"/>
        <v>3.035714285714286</v>
      </c>
      <c r="J180" s="74">
        <f t="shared" si="64"/>
        <v>1.6071428571428572</v>
      </c>
      <c r="K180" s="128">
        <f t="shared" ref="K180:K186" si="65">SUM(H180:J180)</f>
        <v>14.446428571428571</v>
      </c>
      <c r="M180" s="10"/>
    </row>
    <row r="181" spans="4:13">
      <c r="D181" s="30" t="s">
        <v>307</v>
      </c>
      <c r="E181" s="222"/>
      <c r="G181" s="144" t="s">
        <v>279</v>
      </c>
      <c r="H181" s="54">
        <f t="shared" si="64"/>
        <v>0.4285714285714286</v>
      </c>
      <c r="I181" s="53">
        <f t="shared" si="64"/>
        <v>0.2142857142857143</v>
      </c>
      <c r="J181" s="53">
        <f t="shared" si="64"/>
        <v>0</v>
      </c>
      <c r="K181" s="117">
        <f t="shared" si="65"/>
        <v>0.6428571428571429</v>
      </c>
    </row>
    <row r="182" spans="4:13">
      <c r="E182" s="222"/>
      <c r="G182" s="144" t="s">
        <v>280</v>
      </c>
      <c r="H182" s="54">
        <f t="shared" si="64"/>
        <v>7.1428571428571425E-2</v>
      </c>
      <c r="I182" s="53">
        <f t="shared" si="64"/>
        <v>0</v>
      </c>
      <c r="J182" s="53">
        <f t="shared" si="64"/>
        <v>0</v>
      </c>
      <c r="K182" s="117">
        <f t="shared" si="65"/>
        <v>7.1428571428571425E-2</v>
      </c>
    </row>
    <row r="183" spans="4:13">
      <c r="E183" s="222"/>
      <c r="G183" s="144" t="s">
        <v>7</v>
      </c>
      <c r="H183" s="54">
        <f t="shared" si="64"/>
        <v>1.7857142857142856E-2</v>
      </c>
      <c r="I183" s="53">
        <f t="shared" si="64"/>
        <v>0</v>
      </c>
      <c r="J183" s="53">
        <f t="shared" si="64"/>
        <v>0</v>
      </c>
      <c r="K183" s="117">
        <f t="shared" si="65"/>
        <v>1.7857142857142856E-2</v>
      </c>
    </row>
    <row r="184" spans="4:13">
      <c r="E184" s="295"/>
      <c r="G184" s="146" t="s">
        <v>281</v>
      </c>
      <c r="H184" s="70">
        <f t="shared" si="64"/>
        <v>0.53571428571428581</v>
      </c>
      <c r="I184" s="71">
        <f t="shared" si="64"/>
        <v>2.1428571428571432</v>
      </c>
      <c r="J184" s="71">
        <f t="shared" si="64"/>
        <v>0</v>
      </c>
      <c r="K184" s="126">
        <f t="shared" si="65"/>
        <v>2.6785714285714288</v>
      </c>
    </row>
    <row r="185" spans="4:13">
      <c r="G185" s="160" t="s">
        <v>284</v>
      </c>
      <c r="H185" s="210">
        <f>SUM(H180:H183)</f>
        <v>10.321428571428569</v>
      </c>
      <c r="I185" s="110">
        <f>SUM(I180:I183)</f>
        <v>3.2500000000000004</v>
      </c>
      <c r="J185" s="110">
        <f>SUM(J180:J183)</f>
        <v>1.6071428571428572</v>
      </c>
      <c r="K185" s="129">
        <f t="shared" si="65"/>
        <v>15.178571428571427</v>
      </c>
    </row>
    <row r="186" spans="4:13">
      <c r="G186" s="160" t="s">
        <v>1</v>
      </c>
      <c r="H186" s="210">
        <f>SUM(H180:H184)</f>
        <v>10.857142857142856</v>
      </c>
      <c r="I186" s="110">
        <f>SUM(I180:I184)</f>
        <v>5.3928571428571441</v>
      </c>
      <c r="J186" s="110">
        <f>SUM(J180:J184)</f>
        <v>1.6071428571428572</v>
      </c>
      <c r="K186" s="129">
        <f t="shared" si="65"/>
        <v>17.857142857142858</v>
      </c>
    </row>
    <row r="188" spans="4:13">
      <c r="D188" s="30" t="s">
        <v>819</v>
      </c>
      <c r="E188" s="222"/>
      <c r="F188" s="293"/>
      <c r="G188" s="50" t="s">
        <v>200</v>
      </c>
      <c r="H188" s="105">
        <f>H106/H100</f>
        <v>13.105468749999998</v>
      </c>
      <c r="I188" s="106">
        <f t="shared" ref="I188:J188" si="66">I106/I100</f>
        <v>4.0581597222222223</v>
      </c>
      <c r="J188" s="106">
        <f t="shared" si="66"/>
        <v>2.1484375</v>
      </c>
      <c r="K188" s="250">
        <f t="shared" ref="K188:K194" si="67">SUM(H188:J188)</f>
        <v>19.312065972222221</v>
      </c>
    </row>
    <row r="189" spans="4:13">
      <c r="E189" s="222"/>
      <c r="F189" s="293"/>
      <c r="G189" s="144" t="s">
        <v>279</v>
      </c>
      <c r="H189" s="107">
        <f>H107/H101</f>
        <v>6.875</v>
      </c>
      <c r="I189" s="12">
        <f t="shared" ref="I189:J189" si="68">I107/I101</f>
        <v>3.4375</v>
      </c>
      <c r="J189" s="12">
        <f t="shared" si="68"/>
        <v>0</v>
      </c>
      <c r="K189" s="49">
        <f t="shared" si="67"/>
        <v>10.3125</v>
      </c>
    </row>
    <row r="190" spans="4:13">
      <c r="E190" s="222"/>
      <c r="F190" s="293"/>
      <c r="G190" s="144" t="s">
        <v>280</v>
      </c>
      <c r="H190" s="107">
        <f t="shared" ref="H190:J190" si="69">H108/H102</f>
        <v>1.8333333333333333</v>
      </c>
      <c r="I190" s="12">
        <f t="shared" si="69"/>
        <v>0</v>
      </c>
      <c r="J190" s="12">
        <f t="shared" si="69"/>
        <v>0</v>
      </c>
      <c r="K190" s="49">
        <f t="shared" si="67"/>
        <v>1.8333333333333333</v>
      </c>
    </row>
    <row r="191" spans="4:13">
      <c r="E191" s="222"/>
      <c r="F191" s="293"/>
      <c r="G191" s="144" t="s">
        <v>7</v>
      </c>
      <c r="H191" s="107">
        <f t="shared" ref="H191:J191" si="70">H109/H103</f>
        <v>2.2916666666666665</v>
      </c>
      <c r="I191" s="12">
        <f t="shared" si="70"/>
        <v>0</v>
      </c>
      <c r="J191" s="12">
        <f t="shared" si="70"/>
        <v>0</v>
      </c>
      <c r="K191" s="49">
        <f t="shared" si="67"/>
        <v>2.2916666666666665</v>
      </c>
    </row>
    <row r="192" spans="4:13">
      <c r="E192" s="295"/>
      <c r="F192" s="293"/>
      <c r="G192" s="146" t="s">
        <v>281</v>
      </c>
      <c r="H192" s="108">
        <f>H110/H100</f>
        <v>0.71614583333333337</v>
      </c>
      <c r="I192" s="109">
        <f t="shared" ref="I192:J192" si="71">I110/I100</f>
        <v>2.8645833333333335</v>
      </c>
      <c r="J192" s="109">
        <f t="shared" si="71"/>
        <v>0</v>
      </c>
      <c r="K192" s="48">
        <f t="shared" si="67"/>
        <v>3.580729166666667</v>
      </c>
    </row>
    <row r="193" spans="4:12">
      <c r="E193" s="293"/>
      <c r="F193" s="293"/>
      <c r="G193" s="160" t="s">
        <v>284</v>
      </c>
      <c r="H193" s="253">
        <f>SUM(H188:H191)</f>
        <v>24.10546875</v>
      </c>
      <c r="I193" s="51">
        <f t="shared" ref="I193:J193" si="72">SUM(I188:I191)</f>
        <v>7.4956597222222223</v>
      </c>
      <c r="J193" s="51">
        <f t="shared" si="72"/>
        <v>2.1484375</v>
      </c>
      <c r="K193" s="254">
        <f t="shared" si="67"/>
        <v>33.749565972222221</v>
      </c>
    </row>
    <row r="194" spans="4:12">
      <c r="E194" s="293"/>
      <c r="F194" s="293"/>
      <c r="G194" s="160" t="s">
        <v>1</v>
      </c>
      <c r="H194" s="253">
        <f>SUM(H188:H192)</f>
        <v>24.821614583333332</v>
      </c>
      <c r="I194" s="51">
        <f t="shared" ref="I194:J194" si="73">SUM(I188:I192)</f>
        <v>10.360243055555555</v>
      </c>
      <c r="J194" s="51">
        <f t="shared" si="73"/>
        <v>2.1484375</v>
      </c>
      <c r="K194" s="254">
        <f t="shared" si="67"/>
        <v>37.330295138888886</v>
      </c>
    </row>
    <row r="196" spans="4:12">
      <c r="D196" s="30" t="s">
        <v>832</v>
      </c>
      <c r="E196" s="222"/>
      <c r="F196" s="293"/>
      <c r="G196" s="50" t="s">
        <v>200</v>
      </c>
      <c r="H196" s="105">
        <f>H188*$H$22*VLOOKUP("Receiving",$G$39:$I$43,3,FALSE)/VLOOKUP("Receiving",$G$39:$I$43,2,FALSE)</f>
        <v>0.96106770833333333</v>
      </c>
      <c r="I196" s="106">
        <f t="shared" ref="I196:J196" si="74">I188*$H$22*VLOOKUP("Receiving",$G$39:$I$43,3,FALSE)/VLOOKUP("Receiving",$G$39:$I$43,2,FALSE)</f>
        <v>0.29759837962962965</v>
      </c>
      <c r="J196" s="106">
        <f t="shared" si="74"/>
        <v>0.15755208333333334</v>
      </c>
      <c r="K196" s="250">
        <f t="shared" ref="K196:K202" si="75">SUM(H196:J196)</f>
        <v>1.4162181712962962</v>
      </c>
    </row>
    <row r="197" spans="4:12">
      <c r="D197" s="30" t="s">
        <v>314</v>
      </c>
      <c r="E197" s="222"/>
      <c r="F197" s="293"/>
      <c r="G197" s="144" t="s">
        <v>279</v>
      </c>
      <c r="H197" s="107">
        <f t="shared" ref="H197:J197" si="76">H189*$H$22*VLOOKUP("Receiving",$G$39:$I$43,3,FALSE)/VLOOKUP("Receiving",$G$39:$I$43,2,FALSE)</f>
        <v>0.50416666666666676</v>
      </c>
      <c r="I197" s="12">
        <f t="shared" si="76"/>
        <v>0.25208333333333338</v>
      </c>
      <c r="J197" s="12">
        <f t="shared" si="76"/>
        <v>0</v>
      </c>
      <c r="K197" s="49">
        <f t="shared" si="75"/>
        <v>0.75625000000000009</v>
      </c>
    </row>
    <row r="198" spans="4:12">
      <c r="E198" s="222"/>
      <c r="F198" s="293"/>
      <c r="G198" s="144" t="s">
        <v>280</v>
      </c>
      <c r="H198" s="107">
        <f t="shared" ref="H198:J198" si="77">H190*$H$22*VLOOKUP("Receiving",$G$39:$I$43,3,FALSE)/VLOOKUP("Receiving",$G$39:$I$43,2,FALSE)</f>
        <v>0.13444444444444445</v>
      </c>
      <c r="I198" s="12">
        <f t="shared" si="77"/>
        <v>0</v>
      </c>
      <c r="J198" s="12">
        <f t="shared" si="77"/>
        <v>0</v>
      </c>
      <c r="K198" s="49">
        <f t="shared" si="75"/>
        <v>0.13444444444444445</v>
      </c>
    </row>
    <row r="199" spans="4:12">
      <c r="E199" s="222"/>
      <c r="F199" s="293"/>
      <c r="G199" s="144" t="s">
        <v>7</v>
      </c>
      <c r="H199" s="107">
        <f t="shared" ref="H199:J199" si="78">H191*$H$22*VLOOKUP("Receiving",$G$39:$I$43,3,FALSE)/VLOOKUP("Receiving",$G$39:$I$43,2,FALSE)</f>
        <v>0.16805555555555557</v>
      </c>
      <c r="I199" s="12">
        <f t="shared" si="78"/>
        <v>0</v>
      </c>
      <c r="J199" s="12">
        <f t="shared" si="78"/>
        <v>0</v>
      </c>
      <c r="K199" s="49">
        <f t="shared" si="75"/>
        <v>0.16805555555555557</v>
      </c>
    </row>
    <row r="200" spans="4:12">
      <c r="E200" s="295"/>
      <c r="F200" s="293"/>
      <c r="G200" s="146" t="s">
        <v>281</v>
      </c>
      <c r="H200" s="108">
        <f t="shared" ref="H200:J200" si="79">H192*$H$22*VLOOKUP("Receiving",$G$39:$I$43,3,FALSE)/VLOOKUP("Receiving",$G$39:$I$43,2,FALSE)</f>
        <v>5.2517361111111119E-2</v>
      </c>
      <c r="I200" s="109">
        <f t="shared" si="79"/>
        <v>0.21006944444444448</v>
      </c>
      <c r="J200" s="109">
        <f t="shared" si="79"/>
        <v>0</v>
      </c>
      <c r="K200" s="48">
        <f t="shared" si="75"/>
        <v>0.26258680555555558</v>
      </c>
    </row>
    <row r="201" spans="4:12">
      <c r="E201" s="293"/>
      <c r="F201" s="293"/>
      <c r="G201" s="160" t="s">
        <v>284</v>
      </c>
      <c r="H201" s="253">
        <f>SUM(H196:H199)</f>
        <v>1.7677343750000001</v>
      </c>
      <c r="I201" s="51">
        <f t="shared" ref="I201:J201" si="80">SUM(I196:I199)</f>
        <v>0.54968171296296298</v>
      </c>
      <c r="J201" s="51">
        <f t="shared" si="80"/>
        <v>0.15755208333333334</v>
      </c>
      <c r="K201" s="254">
        <f t="shared" si="75"/>
        <v>2.4749681712962963</v>
      </c>
    </row>
    <row r="202" spans="4:12">
      <c r="E202" s="293"/>
      <c r="F202" s="293"/>
      <c r="G202" s="160" t="s">
        <v>1</v>
      </c>
      <c r="H202" s="253">
        <f>SUM(H196:H200)</f>
        <v>1.8202517361111112</v>
      </c>
      <c r="I202" s="51">
        <f t="shared" ref="I202:J202" si="81">SUM(I196:I200)</f>
        <v>0.7597511574074074</v>
      </c>
      <c r="J202" s="51">
        <f t="shared" si="81"/>
        <v>0.15755208333333334</v>
      </c>
      <c r="K202" s="254">
        <f t="shared" si="75"/>
        <v>2.7375549768518521</v>
      </c>
      <c r="L202" s="10"/>
    </row>
    <row r="204" spans="4:12">
      <c r="D204" s="30" t="s">
        <v>833</v>
      </c>
      <c r="E204" s="222"/>
      <c r="F204" s="293"/>
      <c r="G204" s="50" t="s">
        <v>200</v>
      </c>
      <c r="H204" s="105">
        <f>H196/60</f>
        <v>1.6017795138888888E-2</v>
      </c>
      <c r="I204" s="106">
        <f t="shared" ref="I204:J204" si="82">I196/60</f>
        <v>4.9599729938271612E-3</v>
      </c>
      <c r="J204" s="106">
        <f t="shared" si="82"/>
        <v>2.6258680555555558E-3</v>
      </c>
      <c r="K204" s="250">
        <f t="shared" ref="K204:K210" si="83">SUM(H204:J204)</f>
        <v>2.3603636188271604E-2</v>
      </c>
    </row>
    <row r="205" spans="4:12">
      <c r="D205" s="30" t="s">
        <v>314</v>
      </c>
      <c r="E205" s="222"/>
      <c r="F205" s="293"/>
      <c r="G205" s="144" t="s">
        <v>279</v>
      </c>
      <c r="H205" s="107">
        <f t="shared" ref="H205:J205" si="84">H197/60</f>
        <v>8.4027777777777798E-3</v>
      </c>
      <c r="I205" s="12">
        <f t="shared" si="84"/>
        <v>4.2013888888888899E-3</v>
      </c>
      <c r="J205" s="12">
        <f t="shared" si="84"/>
        <v>0</v>
      </c>
      <c r="K205" s="49">
        <f t="shared" si="83"/>
        <v>1.260416666666667E-2</v>
      </c>
    </row>
    <row r="206" spans="4:12">
      <c r="E206" s="222"/>
      <c r="F206" s="293"/>
      <c r="G206" s="144" t="s">
        <v>280</v>
      </c>
      <c r="H206" s="107">
        <f t="shared" ref="H206:J206" si="85">H198/60</f>
        <v>2.2407407407407406E-3</v>
      </c>
      <c r="I206" s="12">
        <f t="shared" si="85"/>
        <v>0</v>
      </c>
      <c r="J206" s="12">
        <f t="shared" si="85"/>
        <v>0</v>
      </c>
      <c r="K206" s="49">
        <f t="shared" si="83"/>
        <v>2.2407407407407406E-3</v>
      </c>
    </row>
    <row r="207" spans="4:12">
      <c r="E207" s="222"/>
      <c r="F207" s="293"/>
      <c r="G207" s="144" t="s">
        <v>7</v>
      </c>
      <c r="H207" s="107">
        <f t="shared" ref="H207:J207" si="86">H199/60</f>
        <v>2.8009259259259263E-3</v>
      </c>
      <c r="I207" s="12">
        <f t="shared" si="86"/>
        <v>0</v>
      </c>
      <c r="J207" s="12">
        <f t="shared" si="86"/>
        <v>0</v>
      </c>
      <c r="K207" s="49">
        <f t="shared" si="83"/>
        <v>2.8009259259259263E-3</v>
      </c>
    </row>
    <row r="208" spans="4:12">
      <c r="E208" s="295"/>
      <c r="F208" s="293"/>
      <c r="G208" s="146" t="s">
        <v>281</v>
      </c>
      <c r="H208" s="108">
        <f t="shared" ref="H208:J208" si="87">H200/60</f>
        <v>8.7528935185185203E-4</v>
      </c>
      <c r="I208" s="109">
        <f t="shared" si="87"/>
        <v>3.5011574074074081E-3</v>
      </c>
      <c r="J208" s="109">
        <f t="shared" si="87"/>
        <v>0</v>
      </c>
      <c r="K208" s="48">
        <f t="shared" si="83"/>
        <v>4.3764467592592605E-3</v>
      </c>
    </row>
    <row r="209" spans="4:25">
      <c r="E209" s="293"/>
      <c r="F209" s="293"/>
      <c r="G209" s="160" t="s">
        <v>284</v>
      </c>
      <c r="H209" s="253">
        <f>SUM(H204:H207)</f>
        <v>2.9462239583333334E-2</v>
      </c>
      <c r="I209" s="51">
        <f t="shared" ref="I209:J209" si="88">SUM(I204:I207)</f>
        <v>9.1613618827160511E-3</v>
      </c>
      <c r="J209" s="51">
        <f t="shared" si="88"/>
        <v>2.6258680555555558E-3</v>
      </c>
      <c r="K209" s="254">
        <f t="shared" si="83"/>
        <v>4.1249469521604944E-2</v>
      </c>
    </row>
    <row r="210" spans="4:25" s="293" customFormat="1">
      <c r="D210" s="30"/>
      <c r="G210" s="160" t="s">
        <v>1</v>
      </c>
      <c r="H210" s="253">
        <f>SUM(H204:H208)</f>
        <v>3.0337528935185185E-2</v>
      </c>
      <c r="I210" s="51">
        <f t="shared" ref="I210:J210" si="89">SUM(I204:I208)</f>
        <v>1.2662519290123459E-2</v>
      </c>
      <c r="J210" s="51">
        <f t="shared" si="89"/>
        <v>2.6258680555555558E-3</v>
      </c>
      <c r="K210" s="254">
        <f t="shared" si="83"/>
        <v>4.5625916280864202E-2</v>
      </c>
    </row>
    <row r="211" spans="4:25" s="293" customFormat="1">
      <c r="D211" s="6"/>
      <c r="E211" s="6"/>
      <c r="F211" s="17"/>
    </row>
    <row r="212" spans="4:25">
      <c r="E212" s="6"/>
      <c r="F212" s="17"/>
      <c r="H212" s="148"/>
      <c r="I212" s="148"/>
      <c r="J212" s="165" t="s">
        <v>227</v>
      </c>
      <c r="K212" s="166"/>
      <c r="L212" s="167"/>
    </row>
    <row r="213" spans="4:25">
      <c r="D213" s="6"/>
      <c r="E213" s="6"/>
      <c r="F213" s="17"/>
      <c r="H213" s="152" t="s">
        <v>228</v>
      </c>
      <c r="I213" s="149" t="s">
        <v>226</v>
      </c>
      <c r="J213" s="144" t="s">
        <v>192</v>
      </c>
      <c r="K213" t="s">
        <v>224</v>
      </c>
      <c r="L213" s="168" t="s">
        <v>225</v>
      </c>
    </row>
    <row r="214" spans="4:25">
      <c r="D214" s="6" t="s">
        <v>229</v>
      </c>
      <c r="E214" s="247"/>
      <c r="F214" s="17"/>
      <c r="G214" s="50" t="s">
        <v>223</v>
      </c>
      <c r="H214" s="169">
        <v>1.1000000000000001</v>
      </c>
      <c r="I214" s="78">
        <v>2</v>
      </c>
      <c r="J214" s="170">
        <f t="shared" ref="J214:J220" si="90">I214*H$39</f>
        <v>30</v>
      </c>
      <c r="K214" s="170">
        <f t="shared" ref="K214:K220" si="91">I214*H$40</f>
        <v>30</v>
      </c>
      <c r="L214" s="171">
        <f t="shared" ref="L214:L220" si="92">I214*H$43</f>
        <v>22</v>
      </c>
    </row>
    <row r="215" spans="4:25">
      <c r="E215" s="223"/>
      <c r="G215" s="144" t="s">
        <v>219</v>
      </c>
      <c r="H215" s="172">
        <v>1.1000000000000001</v>
      </c>
      <c r="I215" s="79">
        <v>2</v>
      </c>
      <c r="J215" s="10">
        <f t="shared" si="90"/>
        <v>30</v>
      </c>
      <c r="K215" s="10">
        <f t="shared" si="91"/>
        <v>30</v>
      </c>
      <c r="L215" s="173">
        <f t="shared" si="92"/>
        <v>22</v>
      </c>
    </row>
    <row r="216" spans="4:25">
      <c r="E216" s="223"/>
      <c r="G216" s="144" t="s">
        <v>220</v>
      </c>
      <c r="H216" s="172">
        <v>1.1000000000000001</v>
      </c>
      <c r="I216" s="79">
        <v>2</v>
      </c>
      <c r="J216" s="10">
        <f t="shared" si="90"/>
        <v>30</v>
      </c>
      <c r="K216" s="10">
        <f t="shared" si="91"/>
        <v>30</v>
      </c>
      <c r="L216" s="173">
        <f t="shared" si="92"/>
        <v>22</v>
      </c>
    </row>
    <row r="217" spans="4:25">
      <c r="E217" s="223"/>
      <c r="G217" s="144" t="s">
        <v>261</v>
      </c>
      <c r="H217" s="172">
        <v>1.2</v>
      </c>
      <c r="I217" s="79">
        <v>1.5</v>
      </c>
      <c r="J217" s="10">
        <f t="shared" si="90"/>
        <v>22.5</v>
      </c>
      <c r="K217" s="10">
        <f t="shared" si="91"/>
        <v>22.5</v>
      </c>
      <c r="L217" s="173">
        <f t="shared" si="92"/>
        <v>16.5</v>
      </c>
    </row>
    <row r="218" spans="4:25">
      <c r="E218" s="223"/>
      <c r="G218" s="144" t="s">
        <v>221</v>
      </c>
      <c r="H218" s="172">
        <v>1.2</v>
      </c>
      <c r="I218" s="79">
        <v>1.5</v>
      </c>
      <c r="J218" s="10">
        <f t="shared" si="90"/>
        <v>22.5</v>
      </c>
      <c r="K218" s="10">
        <f t="shared" si="91"/>
        <v>22.5</v>
      </c>
      <c r="L218" s="173">
        <f t="shared" si="92"/>
        <v>16.5</v>
      </c>
    </row>
    <row r="219" spans="4:25">
      <c r="E219" s="223"/>
      <c r="G219" s="146" t="s">
        <v>222</v>
      </c>
      <c r="H219" s="174">
        <v>1.2</v>
      </c>
      <c r="I219" s="80">
        <v>1.5</v>
      </c>
      <c r="J219" s="175">
        <f t="shared" si="90"/>
        <v>22.5</v>
      </c>
      <c r="K219" s="175">
        <f t="shared" si="91"/>
        <v>22.5</v>
      </c>
      <c r="L219" s="176">
        <f t="shared" si="92"/>
        <v>16.5</v>
      </c>
    </row>
    <row r="220" spans="4:25">
      <c r="E220" s="223"/>
      <c r="G220" s="146" t="s">
        <v>75</v>
      </c>
      <c r="H220" s="177">
        <v>1.2</v>
      </c>
      <c r="I220" s="76">
        <v>1.5</v>
      </c>
      <c r="J220" s="175">
        <f t="shared" si="90"/>
        <v>22.5</v>
      </c>
      <c r="K220" s="175">
        <f t="shared" si="91"/>
        <v>22.5</v>
      </c>
      <c r="L220" s="176">
        <f t="shared" si="92"/>
        <v>16.5</v>
      </c>
    </row>
    <row r="222" spans="4:25">
      <c r="D222" s="30" t="s">
        <v>257</v>
      </c>
      <c r="G222" s="38" t="s">
        <v>100</v>
      </c>
      <c r="H222" s="27" t="s">
        <v>201</v>
      </c>
      <c r="I222" s="39" t="s">
        <v>102</v>
      </c>
      <c r="J222" s="35" t="s">
        <v>11</v>
      </c>
      <c r="K222" s="36" t="s">
        <v>101</v>
      </c>
      <c r="L222" s="27" t="s">
        <v>260</v>
      </c>
      <c r="R222" s="298" t="s">
        <v>119</v>
      </c>
      <c r="S222" s="299"/>
      <c r="T222" s="299"/>
      <c r="U222" s="299"/>
      <c r="V222" s="299"/>
      <c r="W222" s="299"/>
      <c r="X222" s="299"/>
      <c r="Y222" s="300"/>
    </row>
    <row r="223" spans="4:25">
      <c r="G223" s="37">
        <v>1</v>
      </c>
      <c r="H223" s="29" t="s">
        <v>160</v>
      </c>
      <c r="I223" s="29" t="s">
        <v>109</v>
      </c>
      <c r="J223" s="7" t="s">
        <v>75</v>
      </c>
      <c r="K223" s="178" t="s">
        <v>103</v>
      </c>
      <c r="L223" t="s">
        <v>75</v>
      </c>
      <c r="Q223" s="148"/>
      <c r="R223" s="31"/>
      <c r="S223" s="31"/>
      <c r="T223" s="84"/>
      <c r="U223" s="85" t="s">
        <v>262</v>
      </c>
      <c r="V223" s="85" t="s">
        <v>263</v>
      </c>
      <c r="W223" s="86" t="s">
        <v>183</v>
      </c>
      <c r="X223" s="84" t="s">
        <v>231</v>
      </c>
      <c r="Y223" s="62" t="s">
        <v>231</v>
      </c>
    </row>
    <row r="224" spans="4:25">
      <c r="G224" s="33">
        <v>2</v>
      </c>
      <c r="H224" t="s">
        <v>108</v>
      </c>
      <c r="I224" t="s">
        <v>109</v>
      </c>
      <c r="J224" s="7" t="s">
        <v>75</v>
      </c>
      <c r="K224" s="178" t="s">
        <v>103</v>
      </c>
      <c r="L224" t="s">
        <v>75</v>
      </c>
      <c r="Q224" s="87" t="s">
        <v>65</v>
      </c>
      <c r="R224" s="28" t="s">
        <v>69</v>
      </c>
      <c r="S224" s="28" t="s">
        <v>73</v>
      </c>
      <c r="T224" s="87" t="s">
        <v>124</v>
      </c>
      <c r="U224" s="88" t="s">
        <v>264</v>
      </c>
      <c r="V224" s="88" t="s">
        <v>264</v>
      </c>
      <c r="W224" s="89" t="s">
        <v>265</v>
      </c>
      <c r="X224" s="87" t="s">
        <v>266</v>
      </c>
      <c r="Y224" s="44" t="s">
        <v>267</v>
      </c>
    </row>
    <row r="225" spans="7:25">
      <c r="G225" s="33">
        <v>3</v>
      </c>
      <c r="H225" t="s">
        <v>157</v>
      </c>
      <c r="I225" t="s">
        <v>114</v>
      </c>
      <c r="J225" s="7" t="s">
        <v>75</v>
      </c>
      <c r="K225" s="178" t="s">
        <v>103</v>
      </c>
      <c r="L225" t="s">
        <v>75</v>
      </c>
      <c r="Q225" s="50" t="s">
        <v>66</v>
      </c>
      <c r="R225" s="165" t="s">
        <v>106</v>
      </c>
      <c r="S225" s="165" t="s">
        <v>106</v>
      </c>
      <c r="T225" s="179"/>
      <c r="U225" s="90" t="s">
        <v>106</v>
      </c>
      <c r="V225" s="91" t="s">
        <v>106</v>
      </c>
      <c r="W225" s="92"/>
      <c r="X225" s="179"/>
      <c r="Y225" s="167" t="s">
        <v>0</v>
      </c>
    </row>
    <row r="226" spans="7:25">
      <c r="G226" s="33">
        <v>4</v>
      </c>
      <c r="H226" t="s">
        <v>113</v>
      </c>
      <c r="I226" t="s">
        <v>114</v>
      </c>
      <c r="J226" s="7" t="s">
        <v>75</v>
      </c>
      <c r="K226" s="178" t="s">
        <v>103</v>
      </c>
      <c r="L226" t="s">
        <v>75</v>
      </c>
      <c r="Q226" s="144" t="s">
        <v>87</v>
      </c>
      <c r="R226" s="180" t="s">
        <v>106</v>
      </c>
      <c r="S226" s="180" t="s">
        <v>106</v>
      </c>
      <c r="T226" s="181" t="s">
        <v>268</v>
      </c>
      <c r="U226" s="32" t="s">
        <v>106</v>
      </c>
      <c r="V226" s="93"/>
      <c r="W226" s="94"/>
      <c r="X226" s="181" t="s">
        <v>106</v>
      </c>
      <c r="Y226" s="182" t="s">
        <v>106</v>
      </c>
    </row>
    <row r="227" spans="7:25">
      <c r="G227" s="33">
        <v>5</v>
      </c>
      <c r="H227" t="s">
        <v>115</v>
      </c>
      <c r="I227" t="s">
        <v>114</v>
      </c>
      <c r="J227" s="7" t="s">
        <v>75</v>
      </c>
      <c r="K227" s="178" t="s">
        <v>103</v>
      </c>
      <c r="L227" t="s">
        <v>75</v>
      </c>
      <c r="Q227" s="144" t="s">
        <v>172</v>
      </c>
      <c r="R227" s="180" t="s">
        <v>106</v>
      </c>
      <c r="S227" s="180"/>
      <c r="T227" s="181"/>
      <c r="U227" s="32" t="s">
        <v>106</v>
      </c>
      <c r="V227" s="93"/>
      <c r="W227" s="94"/>
      <c r="X227" s="181"/>
      <c r="Y227" s="182" t="s">
        <v>0</v>
      </c>
    </row>
    <row r="228" spans="7:25">
      <c r="G228" s="33">
        <v>6</v>
      </c>
      <c r="H228" t="s">
        <v>116</v>
      </c>
      <c r="I228" t="s">
        <v>114</v>
      </c>
      <c r="J228" s="7" t="s">
        <v>75</v>
      </c>
      <c r="K228" s="178" t="s">
        <v>103</v>
      </c>
      <c r="L228" t="s">
        <v>75</v>
      </c>
      <c r="Q228" s="144" t="s">
        <v>166</v>
      </c>
      <c r="R228" s="180"/>
      <c r="S228" s="180"/>
      <c r="T228" s="181"/>
      <c r="U228" s="32"/>
      <c r="V228" s="93" t="s">
        <v>106</v>
      </c>
      <c r="W228" s="94" t="s">
        <v>106</v>
      </c>
      <c r="X228" s="181"/>
      <c r="Y228" s="182" t="s">
        <v>0</v>
      </c>
    </row>
    <row r="229" spans="7:25">
      <c r="G229" s="33">
        <v>7</v>
      </c>
      <c r="H229" t="s">
        <v>117</v>
      </c>
      <c r="I229" t="s">
        <v>114</v>
      </c>
      <c r="J229" s="7" t="s">
        <v>75</v>
      </c>
      <c r="K229" s="178" t="s">
        <v>103</v>
      </c>
      <c r="L229" t="s">
        <v>75</v>
      </c>
      <c r="Q229" s="146" t="s">
        <v>88</v>
      </c>
      <c r="R229" s="183" t="s">
        <v>106</v>
      </c>
      <c r="S229" s="183"/>
      <c r="T229" s="184" t="s">
        <v>268</v>
      </c>
      <c r="U229" s="63" t="s">
        <v>106</v>
      </c>
      <c r="V229" s="95"/>
      <c r="W229" s="96" t="s">
        <v>106</v>
      </c>
      <c r="X229" s="184" t="s">
        <v>106</v>
      </c>
      <c r="Y229" s="185" t="s">
        <v>106</v>
      </c>
    </row>
    <row r="230" spans="7:25">
      <c r="G230" s="33">
        <v>8</v>
      </c>
      <c r="H230" t="s">
        <v>118</v>
      </c>
      <c r="I230" t="s">
        <v>114</v>
      </c>
      <c r="J230" s="7" t="s">
        <v>75</v>
      </c>
      <c r="K230" s="178" t="s">
        <v>103</v>
      </c>
      <c r="L230" t="s">
        <v>75</v>
      </c>
    </row>
    <row r="231" spans="7:25">
      <c r="G231" s="33">
        <v>9</v>
      </c>
      <c r="H231" t="s">
        <v>69</v>
      </c>
      <c r="I231" t="s">
        <v>120</v>
      </c>
      <c r="J231" s="7" t="s">
        <v>119</v>
      </c>
      <c r="K231" s="178" t="s">
        <v>103</v>
      </c>
      <c r="L231" t="s">
        <v>261</v>
      </c>
    </row>
    <row r="232" spans="7:25">
      <c r="G232" s="33">
        <v>10</v>
      </c>
      <c r="H232" t="s">
        <v>73</v>
      </c>
      <c r="I232" t="s">
        <v>121</v>
      </c>
      <c r="J232" s="7" t="s">
        <v>119</v>
      </c>
      <c r="K232" s="178" t="s">
        <v>103</v>
      </c>
      <c r="L232" t="s">
        <v>261</v>
      </c>
    </row>
    <row r="233" spans="7:25">
      <c r="G233" s="33">
        <v>11</v>
      </c>
      <c r="H233" t="s">
        <v>122</v>
      </c>
      <c r="I233" t="s">
        <v>109</v>
      </c>
      <c r="J233" s="7" t="s">
        <v>119</v>
      </c>
      <c r="K233" s="178" t="s">
        <v>103</v>
      </c>
      <c r="L233" t="s">
        <v>261</v>
      </c>
    </row>
    <row r="234" spans="7:25">
      <c r="G234" s="33">
        <v>12</v>
      </c>
      <c r="H234" t="s">
        <v>123</v>
      </c>
      <c r="I234" t="s">
        <v>114</v>
      </c>
      <c r="J234" s="7" t="s">
        <v>119</v>
      </c>
      <c r="K234" s="178" t="s">
        <v>103</v>
      </c>
      <c r="L234" t="s">
        <v>219</v>
      </c>
    </row>
    <row r="235" spans="7:25">
      <c r="G235" s="33">
        <v>13</v>
      </c>
      <c r="H235" t="s">
        <v>124</v>
      </c>
      <c r="I235" t="s">
        <v>125</v>
      </c>
      <c r="J235" s="7" t="s">
        <v>119</v>
      </c>
      <c r="K235" s="178" t="s">
        <v>103</v>
      </c>
      <c r="L235" t="s">
        <v>261</v>
      </c>
    </row>
    <row r="236" spans="7:25">
      <c r="G236" s="33">
        <v>14</v>
      </c>
      <c r="H236" t="s">
        <v>126</v>
      </c>
      <c r="I236" t="s">
        <v>127</v>
      </c>
      <c r="J236" s="7" t="s">
        <v>119</v>
      </c>
      <c r="K236" s="178" t="s">
        <v>110</v>
      </c>
      <c r="L236" t="s">
        <v>221</v>
      </c>
    </row>
    <row r="237" spans="7:25">
      <c r="G237" s="33">
        <v>15</v>
      </c>
      <c r="H237" t="s">
        <v>128</v>
      </c>
      <c r="I237" t="s">
        <v>129</v>
      </c>
      <c r="J237" s="7" t="s">
        <v>119</v>
      </c>
      <c r="K237" s="178" t="s">
        <v>110</v>
      </c>
      <c r="L237" t="s">
        <v>261</v>
      </c>
    </row>
    <row r="238" spans="7:25">
      <c r="G238" s="33">
        <v>16</v>
      </c>
      <c r="H238" t="s">
        <v>130</v>
      </c>
      <c r="I238" t="s">
        <v>129</v>
      </c>
      <c r="J238" s="7" t="s">
        <v>119</v>
      </c>
      <c r="K238" s="178" t="s">
        <v>110</v>
      </c>
      <c r="L238" t="s">
        <v>261</v>
      </c>
    </row>
    <row r="239" spans="7:25">
      <c r="G239" s="33">
        <v>17</v>
      </c>
      <c r="H239" t="s">
        <v>68</v>
      </c>
      <c r="I239" t="s">
        <v>131</v>
      </c>
      <c r="J239" s="7" t="s">
        <v>66</v>
      </c>
      <c r="K239" s="178" t="s">
        <v>103</v>
      </c>
      <c r="L239" t="s">
        <v>219</v>
      </c>
    </row>
    <row r="240" spans="7:25">
      <c r="G240" s="33">
        <v>18</v>
      </c>
      <c r="H240" t="s">
        <v>86</v>
      </c>
      <c r="I240" t="s">
        <v>131</v>
      </c>
      <c r="J240" s="7" t="s">
        <v>66</v>
      </c>
      <c r="K240" s="178" t="s">
        <v>103</v>
      </c>
      <c r="L240" t="s">
        <v>219</v>
      </c>
    </row>
    <row r="241" spans="7:12">
      <c r="G241" s="33">
        <v>19</v>
      </c>
      <c r="H241" t="s">
        <v>146</v>
      </c>
      <c r="I241" t="s">
        <v>131</v>
      </c>
      <c r="J241" s="7" t="s">
        <v>66</v>
      </c>
      <c r="K241" s="178" t="s">
        <v>103</v>
      </c>
      <c r="L241" t="s">
        <v>219</v>
      </c>
    </row>
    <row r="242" spans="7:12">
      <c r="G242" s="33">
        <v>20</v>
      </c>
      <c r="H242" t="s">
        <v>136</v>
      </c>
      <c r="I242" t="s">
        <v>137</v>
      </c>
      <c r="J242" s="7" t="s">
        <v>66</v>
      </c>
      <c r="K242" s="178" t="s">
        <v>103</v>
      </c>
      <c r="L242" t="s">
        <v>219</v>
      </c>
    </row>
    <row r="243" spans="7:12">
      <c r="G243" s="33">
        <v>21</v>
      </c>
      <c r="H243" t="s">
        <v>138</v>
      </c>
      <c r="I243" t="s">
        <v>137</v>
      </c>
      <c r="J243" s="7" t="s">
        <v>66</v>
      </c>
      <c r="K243" s="178" t="s">
        <v>103</v>
      </c>
      <c r="L243" t="s">
        <v>219</v>
      </c>
    </row>
    <row r="244" spans="7:12">
      <c r="G244" s="33">
        <v>22</v>
      </c>
      <c r="H244" t="s">
        <v>147</v>
      </c>
      <c r="I244" t="s">
        <v>131</v>
      </c>
      <c r="J244" s="7" t="s">
        <v>66</v>
      </c>
      <c r="K244" s="178" t="s">
        <v>103</v>
      </c>
      <c r="L244" t="s">
        <v>219</v>
      </c>
    </row>
    <row r="245" spans="7:12">
      <c r="G245" s="33">
        <v>23</v>
      </c>
      <c r="H245" t="s">
        <v>140</v>
      </c>
      <c r="I245" t="s">
        <v>137</v>
      </c>
      <c r="J245" s="7" t="s">
        <v>66</v>
      </c>
      <c r="K245" s="178" t="s">
        <v>103</v>
      </c>
      <c r="L245" t="s">
        <v>219</v>
      </c>
    </row>
    <row r="246" spans="7:12">
      <c r="G246" s="33">
        <v>24</v>
      </c>
      <c r="H246" t="s">
        <v>67</v>
      </c>
      <c r="I246" t="s">
        <v>137</v>
      </c>
      <c r="J246" s="7" t="s">
        <v>66</v>
      </c>
      <c r="K246" s="178" t="s">
        <v>103</v>
      </c>
      <c r="L246" t="s">
        <v>219</v>
      </c>
    </row>
    <row r="247" spans="7:12">
      <c r="G247" s="33">
        <v>25</v>
      </c>
      <c r="H247" t="s">
        <v>70</v>
      </c>
      <c r="I247" t="s">
        <v>137</v>
      </c>
      <c r="J247" s="7" t="s">
        <v>66</v>
      </c>
      <c r="K247" s="178" t="s">
        <v>103</v>
      </c>
      <c r="L247" t="s">
        <v>219</v>
      </c>
    </row>
    <row r="248" spans="7:12">
      <c r="G248" s="33">
        <v>26</v>
      </c>
      <c r="H248" t="s">
        <v>141</v>
      </c>
      <c r="I248" t="s">
        <v>137</v>
      </c>
      <c r="J248" s="7" t="s">
        <v>66</v>
      </c>
      <c r="K248" s="178" t="s">
        <v>103</v>
      </c>
      <c r="L248" t="s">
        <v>219</v>
      </c>
    </row>
    <row r="249" spans="7:12">
      <c r="G249" s="33">
        <v>27</v>
      </c>
      <c r="H249" t="s">
        <v>71</v>
      </c>
      <c r="I249" t="s">
        <v>137</v>
      </c>
      <c r="J249" s="7" t="s">
        <v>66</v>
      </c>
      <c r="K249" s="178" t="s">
        <v>103</v>
      </c>
      <c r="L249" t="s">
        <v>219</v>
      </c>
    </row>
    <row r="250" spans="7:12">
      <c r="G250" s="33">
        <v>28</v>
      </c>
      <c r="H250" t="s">
        <v>72</v>
      </c>
      <c r="I250" t="s">
        <v>125</v>
      </c>
      <c r="J250" s="7" t="s">
        <v>66</v>
      </c>
      <c r="K250" s="178" t="s">
        <v>103</v>
      </c>
      <c r="L250" t="s">
        <v>219</v>
      </c>
    </row>
    <row r="251" spans="7:12">
      <c r="G251" s="33">
        <v>29</v>
      </c>
      <c r="H251" t="s">
        <v>142</v>
      </c>
      <c r="I251" t="s">
        <v>143</v>
      </c>
      <c r="J251" s="7" t="s">
        <v>66</v>
      </c>
      <c r="K251" s="178" t="s">
        <v>103</v>
      </c>
      <c r="L251" t="s">
        <v>219</v>
      </c>
    </row>
    <row r="252" spans="7:12">
      <c r="G252" s="33">
        <v>30</v>
      </c>
      <c r="H252" t="s">
        <v>163</v>
      </c>
      <c r="I252" t="s">
        <v>164</v>
      </c>
      <c r="J252" s="7" t="s">
        <v>50</v>
      </c>
      <c r="K252" s="178" t="s">
        <v>103</v>
      </c>
      <c r="L252" t="s">
        <v>220</v>
      </c>
    </row>
    <row r="253" spans="7:12">
      <c r="G253" s="33">
        <v>31</v>
      </c>
      <c r="H253" t="s">
        <v>161</v>
      </c>
      <c r="I253" t="s">
        <v>127</v>
      </c>
      <c r="J253" s="7" t="s">
        <v>50</v>
      </c>
      <c r="K253" s="178" t="s">
        <v>103</v>
      </c>
      <c r="L253" t="s">
        <v>220</v>
      </c>
    </row>
    <row r="254" spans="7:12">
      <c r="G254" s="33">
        <v>32</v>
      </c>
      <c r="H254" t="s">
        <v>104</v>
      </c>
      <c r="I254" t="s">
        <v>107</v>
      </c>
      <c r="J254" s="7" t="s">
        <v>51</v>
      </c>
      <c r="K254" s="178" t="s">
        <v>103</v>
      </c>
      <c r="L254" t="s">
        <v>75</v>
      </c>
    </row>
    <row r="255" spans="7:12">
      <c r="G255" s="33">
        <v>33</v>
      </c>
      <c r="H255" t="s">
        <v>133</v>
      </c>
      <c r="I255" t="s">
        <v>127</v>
      </c>
      <c r="J255" s="7" t="s">
        <v>132</v>
      </c>
      <c r="K255" s="178" t="s">
        <v>103</v>
      </c>
      <c r="L255" t="s">
        <v>219</v>
      </c>
    </row>
    <row r="256" spans="7:12">
      <c r="G256" s="33">
        <v>34</v>
      </c>
      <c r="H256" t="s">
        <v>148</v>
      </c>
      <c r="I256" t="s">
        <v>107</v>
      </c>
      <c r="J256" s="7" t="s">
        <v>132</v>
      </c>
      <c r="K256" s="178" t="s">
        <v>103</v>
      </c>
      <c r="L256" t="s">
        <v>219</v>
      </c>
    </row>
    <row r="257" spans="7:12">
      <c r="G257" s="33">
        <v>35</v>
      </c>
      <c r="H257" t="s">
        <v>149</v>
      </c>
      <c r="I257" t="s">
        <v>114</v>
      </c>
      <c r="J257" s="7" t="s">
        <v>132</v>
      </c>
      <c r="K257" s="178" t="s">
        <v>103</v>
      </c>
      <c r="L257" t="s">
        <v>219</v>
      </c>
    </row>
    <row r="258" spans="7:12">
      <c r="G258" s="33">
        <v>36</v>
      </c>
      <c r="H258" t="s">
        <v>151</v>
      </c>
      <c r="I258" t="s">
        <v>127</v>
      </c>
      <c r="J258" s="7" t="s">
        <v>193</v>
      </c>
      <c r="K258" s="178" t="s">
        <v>103</v>
      </c>
      <c r="L258" t="s">
        <v>219</v>
      </c>
    </row>
    <row r="259" spans="7:12">
      <c r="G259" s="33">
        <v>37</v>
      </c>
      <c r="H259" t="s">
        <v>150</v>
      </c>
      <c r="I259" t="s">
        <v>127</v>
      </c>
      <c r="J259" s="7" t="s">
        <v>193</v>
      </c>
      <c r="K259" s="178" t="s">
        <v>103</v>
      </c>
      <c r="L259" t="s">
        <v>219</v>
      </c>
    </row>
    <row r="260" spans="7:12">
      <c r="G260" s="33">
        <v>38</v>
      </c>
      <c r="H260" t="s">
        <v>258</v>
      </c>
      <c r="I260" t="s">
        <v>114</v>
      </c>
      <c r="J260" s="7" t="s">
        <v>193</v>
      </c>
      <c r="K260" s="178" t="s">
        <v>103</v>
      </c>
      <c r="L260" t="s">
        <v>219</v>
      </c>
    </row>
    <row r="261" spans="7:12">
      <c r="G261" s="33">
        <v>39</v>
      </c>
      <c r="H261" t="s">
        <v>152</v>
      </c>
      <c r="I261" t="s">
        <v>125</v>
      </c>
      <c r="J261" s="7" t="s">
        <v>87</v>
      </c>
      <c r="K261" s="178" t="s">
        <v>103</v>
      </c>
      <c r="L261" t="s">
        <v>261</v>
      </c>
    </row>
    <row r="262" spans="7:12">
      <c r="G262" s="33">
        <v>40</v>
      </c>
      <c r="H262" t="s">
        <v>153</v>
      </c>
      <c r="I262" t="s">
        <v>129</v>
      </c>
      <c r="J262" s="7" t="s">
        <v>87</v>
      </c>
      <c r="K262" s="178" t="s">
        <v>103</v>
      </c>
      <c r="L262" t="s">
        <v>261</v>
      </c>
    </row>
    <row r="263" spans="7:12">
      <c r="G263" s="33">
        <v>41</v>
      </c>
      <c r="H263" t="s">
        <v>154</v>
      </c>
      <c r="I263" t="s">
        <v>125</v>
      </c>
      <c r="J263" s="7" t="s">
        <v>87</v>
      </c>
      <c r="K263" s="178" t="s">
        <v>103</v>
      </c>
      <c r="L263" t="s">
        <v>261</v>
      </c>
    </row>
    <row r="264" spans="7:12">
      <c r="G264" s="33">
        <v>42</v>
      </c>
      <c r="H264" t="s">
        <v>155</v>
      </c>
      <c r="I264" t="s">
        <v>137</v>
      </c>
      <c r="J264" s="7" t="s">
        <v>87</v>
      </c>
      <c r="K264" s="178" t="s">
        <v>103</v>
      </c>
      <c r="L264" t="s">
        <v>261</v>
      </c>
    </row>
    <row r="265" spans="7:12">
      <c r="G265" s="33">
        <v>43</v>
      </c>
      <c r="H265" t="s">
        <v>156</v>
      </c>
      <c r="I265" t="s">
        <v>125</v>
      </c>
      <c r="J265" s="7" t="s">
        <v>87</v>
      </c>
      <c r="K265" s="178" t="s">
        <v>103</v>
      </c>
      <c r="L265" t="s">
        <v>261</v>
      </c>
    </row>
    <row r="266" spans="7:12">
      <c r="G266" s="33">
        <v>44</v>
      </c>
      <c r="H266" t="s">
        <v>144</v>
      </c>
      <c r="I266" t="s">
        <v>145</v>
      </c>
      <c r="J266" s="7" t="s">
        <v>87</v>
      </c>
      <c r="K266" s="178" t="s">
        <v>103</v>
      </c>
      <c r="L266" t="s">
        <v>261</v>
      </c>
    </row>
    <row r="267" spans="7:12">
      <c r="G267" s="33">
        <v>45</v>
      </c>
      <c r="H267" t="s">
        <v>158</v>
      </c>
      <c r="I267" t="s">
        <v>121</v>
      </c>
      <c r="J267" s="7" t="s">
        <v>87</v>
      </c>
      <c r="K267" s="178" t="s">
        <v>103</v>
      </c>
      <c r="L267" t="s">
        <v>261</v>
      </c>
    </row>
    <row r="268" spans="7:12">
      <c r="G268" s="33">
        <v>46</v>
      </c>
      <c r="H268" t="s">
        <v>159</v>
      </c>
      <c r="I268" t="s">
        <v>121</v>
      </c>
      <c r="J268" s="7" t="s">
        <v>87</v>
      </c>
      <c r="K268" s="178" t="s">
        <v>103</v>
      </c>
      <c r="L268" t="s">
        <v>261</v>
      </c>
    </row>
    <row r="269" spans="7:12">
      <c r="G269" s="33">
        <v>47</v>
      </c>
      <c r="H269" t="s">
        <v>134</v>
      </c>
      <c r="I269" t="s">
        <v>135</v>
      </c>
      <c r="J269" s="7" t="s">
        <v>87</v>
      </c>
      <c r="K269" s="178" t="s">
        <v>103</v>
      </c>
      <c r="L269" t="s">
        <v>261</v>
      </c>
    </row>
    <row r="270" spans="7:12">
      <c r="G270" s="33">
        <v>48</v>
      </c>
      <c r="H270" t="s">
        <v>139</v>
      </c>
      <c r="I270" t="s">
        <v>135</v>
      </c>
      <c r="J270" s="7" t="s">
        <v>87</v>
      </c>
      <c r="K270" s="178" t="s">
        <v>103</v>
      </c>
      <c r="L270" t="s">
        <v>261</v>
      </c>
    </row>
    <row r="271" spans="7:12">
      <c r="G271" s="33">
        <v>49</v>
      </c>
      <c r="H271" t="s">
        <v>162</v>
      </c>
      <c r="I271" t="s">
        <v>137</v>
      </c>
      <c r="J271" s="7" t="s">
        <v>87</v>
      </c>
      <c r="K271" s="178" t="s">
        <v>103</v>
      </c>
      <c r="L271" t="s">
        <v>261</v>
      </c>
    </row>
    <row r="272" spans="7:12">
      <c r="G272" s="33">
        <v>50</v>
      </c>
      <c r="H272" t="s">
        <v>173</v>
      </c>
      <c r="I272" t="s">
        <v>137</v>
      </c>
      <c r="J272" s="7" t="s">
        <v>172</v>
      </c>
      <c r="K272" s="178" t="s">
        <v>103</v>
      </c>
      <c r="L272" t="s">
        <v>221</v>
      </c>
    </row>
    <row r="273" spans="7:12">
      <c r="G273" s="33">
        <v>51</v>
      </c>
      <c r="H273" t="s">
        <v>165</v>
      </c>
      <c r="I273" t="s">
        <v>109</v>
      </c>
      <c r="J273" s="7" t="s">
        <v>165</v>
      </c>
      <c r="K273" s="178" t="s">
        <v>103</v>
      </c>
      <c r="L273" t="s">
        <v>221</v>
      </c>
    </row>
    <row r="274" spans="7:12">
      <c r="G274" s="33">
        <v>52</v>
      </c>
      <c r="H274" t="s">
        <v>167</v>
      </c>
      <c r="I274" t="s">
        <v>114</v>
      </c>
      <c r="J274" s="7" t="s">
        <v>166</v>
      </c>
      <c r="K274" s="178" t="s">
        <v>103</v>
      </c>
      <c r="L274" t="s">
        <v>221</v>
      </c>
    </row>
    <row r="275" spans="7:12">
      <c r="G275" s="33">
        <v>53</v>
      </c>
      <c r="H275" t="s">
        <v>168</v>
      </c>
      <c r="I275" t="s">
        <v>107</v>
      </c>
      <c r="J275" s="7" t="s">
        <v>166</v>
      </c>
      <c r="K275" s="178" t="s">
        <v>103</v>
      </c>
      <c r="L275" t="s">
        <v>221</v>
      </c>
    </row>
    <row r="276" spans="7:12">
      <c r="G276" s="33">
        <v>54</v>
      </c>
      <c r="H276" t="s">
        <v>169</v>
      </c>
      <c r="I276" t="s">
        <v>107</v>
      </c>
      <c r="J276" s="7" t="s">
        <v>166</v>
      </c>
      <c r="K276" s="178" t="s">
        <v>103</v>
      </c>
      <c r="L276" t="s">
        <v>221</v>
      </c>
    </row>
    <row r="277" spans="7:12">
      <c r="G277" s="33">
        <v>55</v>
      </c>
      <c r="H277" t="s">
        <v>170</v>
      </c>
      <c r="I277" t="s">
        <v>125</v>
      </c>
      <c r="J277" s="7" t="s">
        <v>88</v>
      </c>
      <c r="K277" s="178" t="s">
        <v>110</v>
      </c>
      <c r="L277" t="s">
        <v>221</v>
      </c>
    </row>
    <row r="278" spans="7:12">
      <c r="G278" s="33">
        <v>56</v>
      </c>
      <c r="H278" t="s">
        <v>171</v>
      </c>
      <c r="I278" t="s">
        <v>125</v>
      </c>
      <c r="J278" s="7" t="s">
        <v>88</v>
      </c>
      <c r="K278" s="178" t="s">
        <v>110</v>
      </c>
      <c r="L278" t="s">
        <v>221</v>
      </c>
    </row>
    <row r="279" spans="7:12">
      <c r="G279" s="33">
        <v>57</v>
      </c>
      <c r="H279" t="s">
        <v>111</v>
      </c>
      <c r="I279" t="s">
        <v>112</v>
      </c>
      <c r="J279" s="7" t="s">
        <v>88</v>
      </c>
      <c r="K279" s="178" t="s">
        <v>110</v>
      </c>
      <c r="L279" t="s">
        <v>221</v>
      </c>
    </row>
    <row r="280" spans="7:12">
      <c r="G280" s="33">
        <v>58</v>
      </c>
      <c r="H280" t="s">
        <v>174</v>
      </c>
      <c r="I280" t="s">
        <v>121</v>
      </c>
      <c r="J280" s="7" t="s">
        <v>88</v>
      </c>
      <c r="K280" s="178" t="s">
        <v>110</v>
      </c>
      <c r="L280" t="s">
        <v>221</v>
      </c>
    </row>
    <row r="281" spans="7:12">
      <c r="G281" s="33">
        <v>59</v>
      </c>
      <c r="H281" t="s">
        <v>175</v>
      </c>
      <c r="I281" t="s">
        <v>129</v>
      </c>
      <c r="J281" s="7" t="s">
        <v>88</v>
      </c>
      <c r="K281" s="178" t="s">
        <v>110</v>
      </c>
      <c r="L281" t="s">
        <v>221</v>
      </c>
    </row>
    <row r="282" spans="7:12">
      <c r="G282" s="33">
        <v>60</v>
      </c>
      <c r="H282" t="s">
        <v>176</v>
      </c>
      <c r="I282" t="s">
        <v>125</v>
      </c>
      <c r="J282" s="7" t="s">
        <v>88</v>
      </c>
      <c r="K282" s="178" t="s">
        <v>110</v>
      </c>
      <c r="L282" t="s">
        <v>221</v>
      </c>
    </row>
    <row r="283" spans="7:12">
      <c r="G283" s="33">
        <v>61</v>
      </c>
      <c r="H283" t="s">
        <v>177</v>
      </c>
      <c r="I283" t="s">
        <v>135</v>
      </c>
      <c r="J283" s="7" t="s">
        <v>88</v>
      </c>
      <c r="K283" s="178" t="s">
        <v>110</v>
      </c>
      <c r="L283" t="s">
        <v>221</v>
      </c>
    </row>
    <row r="284" spans="7:12">
      <c r="G284" s="33">
        <v>62</v>
      </c>
      <c r="H284" t="s">
        <v>178</v>
      </c>
      <c r="I284" t="s">
        <v>129</v>
      </c>
      <c r="J284" s="7" t="s">
        <v>88</v>
      </c>
      <c r="K284" s="178" t="s">
        <v>110</v>
      </c>
      <c r="L284" t="s">
        <v>221</v>
      </c>
    </row>
    <row r="285" spans="7:12">
      <c r="G285" s="33">
        <v>63</v>
      </c>
      <c r="H285" t="s">
        <v>179</v>
      </c>
      <c r="I285" t="s">
        <v>143</v>
      </c>
      <c r="J285" s="7" t="s">
        <v>88</v>
      </c>
      <c r="K285" s="178" t="s">
        <v>110</v>
      </c>
      <c r="L285" t="s">
        <v>221</v>
      </c>
    </row>
    <row r="286" spans="7:12">
      <c r="G286" s="33">
        <v>64</v>
      </c>
      <c r="H286" t="s">
        <v>180</v>
      </c>
      <c r="I286" t="s">
        <v>125</v>
      </c>
      <c r="J286" s="7" t="s">
        <v>88</v>
      </c>
      <c r="K286" s="178" t="s">
        <v>110</v>
      </c>
      <c r="L286" t="s">
        <v>221</v>
      </c>
    </row>
    <row r="287" spans="7:12">
      <c r="G287" s="33">
        <v>65</v>
      </c>
      <c r="H287" t="s">
        <v>181</v>
      </c>
      <c r="I287" t="s">
        <v>182</v>
      </c>
      <c r="J287" s="7" t="s">
        <v>181</v>
      </c>
      <c r="K287" s="178" t="s">
        <v>110</v>
      </c>
      <c r="L287" t="s">
        <v>221</v>
      </c>
    </row>
    <row r="288" spans="7:12">
      <c r="G288" s="33">
        <v>66</v>
      </c>
      <c r="H288" t="s">
        <v>183</v>
      </c>
      <c r="I288" t="s">
        <v>127</v>
      </c>
      <c r="J288" s="7" t="s">
        <v>181</v>
      </c>
      <c r="K288" s="178" t="s">
        <v>110</v>
      </c>
      <c r="L288" t="s">
        <v>221</v>
      </c>
    </row>
    <row r="289" spans="7:12">
      <c r="G289" s="33">
        <v>67</v>
      </c>
      <c r="H289" t="s">
        <v>184</v>
      </c>
      <c r="I289" t="s">
        <v>127</v>
      </c>
      <c r="J289" s="7" t="s">
        <v>181</v>
      </c>
      <c r="K289" s="178" t="s">
        <v>110</v>
      </c>
      <c r="L289" t="s">
        <v>221</v>
      </c>
    </row>
    <row r="290" spans="7:12">
      <c r="G290" s="33">
        <v>68</v>
      </c>
      <c r="H290" t="s">
        <v>185</v>
      </c>
      <c r="I290" t="s">
        <v>107</v>
      </c>
      <c r="J290" s="7" t="s">
        <v>181</v>
      </c>
      <c r="K290" s="178" t="s">
        <v>110</v>
      </c>
      <c r="L290" t="s">
        <v>221</v>
      </c>
    </row>
    <row r="291" spans="7:12">
      <c r="G291" s="33">
        <v>69</v>
      </c>
      <c r="H291" t="s">
        <v>186</v>
      </c>
      <c r="I291" t="s">
        <v>114</v>
      </c>
      <c r="J291" s="7" t="s">
        <v>181</v>
      </c>
      <c r="K291" s="178" t="s">
        <v>110</v>
      </c>
      <c r="L291" t="s">
        <v>221</v>
      </c>
    </row>
    <row r="292" spans="7:12">
      <c r="G292" s="82">
        <v>70</v>
      </c>
      <c r="H292" s="4" t="s">
        <v>259</v>
      </c>
      <c r="I292" s="4" t="s">
        <v>198</v>
      </c>
      <c r="J292" s="83" t="s">
        <v>187</v>
      </c>
      <c r="K292" s="186" t="s">
        <v>103</v>
      </c>
      <c r="L292" t="s">
        <v>221</v>
      </c>
    </row>
  </sheetData>
  <mergeCells count="1">
    <mergeCell ref="R222:Y222"/>
  </mergeCells>
  <dataValidations disablePrompts="1" count="1">
    <dataValidation type="list" allowBlank="1" showInputMessage="1" showErrorMessage="1" sqref="I292" xr:uid="{995C9C8B-3832-4D69-BC7E-60239F91299F}">
      <formula1>$B$7:$B$138</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20E0EDE-65AC-448F-A31B-9CF751723B82}">
          <x14:formula1>
            <xm:f>'C:\Users\abhis\Documents\Abhishek\Work\04_Master_Metrics\Models\[RB Equipment List beta phase being added 12_26_2018.xlsm]OEM Group'!#REF!</xm:f>
          </x14:formula1>
          <xm:sqref>I223:I290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3A5D1-F430-4257-A326-BF4C45538161}">
  <sheetPr codeName="Sheet25"/>
  <dimension ref="A4:AW121"/>
  <sheetViews>
    <sheetView zoomScale="55" zoomScaleNormal="55" workbookViewId="0">
      <selection activeCell="G47" sqref="G47"/>
    </sheetView>
  </sheetViews>
  <sheetFormatPr defaultRowHeight="15.5"/>
  <cols>
    <col min="1" max="1" width="1.9140625" style="65" customWidth="1"/>
    <col min="2" max="4" width="5.25" style="65" customWidth="1"/>
    <col min="5" max="5" width="10.25" style="65" customWidth="1"/>
    <col min="6" max="6" width="38.83203125" style="65" customWidth="1"/>
    <col min="7" max="7" width="11.58203125" style="65" bestFit="1" customWidth="1"/>
    <col min="8" max="15" width="5.25" style="65" customWidth="1"/>
    <col min="16" max="18" width="8.6640625" style="65"/>
    <col min="19" max="19" width="25.9140625" style="65" customWidth="1"/>
    <col min="20" max="20" width="16.58203125" style="65" customWidth="1"/>
    <col min="21" max="21" width="18" style="65" customWidth="1"/>
    <col min="22" max="22" width="8.6640625" style="65" customWidth="1"/>
    <col min="23" max="23" width="8.6640625" customWidth="1"/>
    <col min="24" max="24" width="17.58203125" customWidth="1"/>
    <col min="25" max="25" width="8.6640625" customWidth="1"/>
    <col min="26" max="26" width="61.1640625" customWidth="1"/>
    <col min="27" max="27" width="70.83203125" customWidth="1"/>
    <col min="29" max="29" width="28.58203125" bestFit="1" customWidth="1"/>
    <col min="30" max="31" width="27.1640625" bestFit="1" customWidth="1"/>
    <col min="32" max="32" width="12.25" bestFit="1" customWidth="1"/>
    <col min="33" max="33" width="8.1640625" bestFit="1" customWidth="1"/>
    <col min="34" max="34" width="11.25" customWidth="1"/>
    <col min="35" max="35" width="12.25" bestFit="1" customWidth="1"/>
    <col min="36" max="36" width="10.9140625" customWidth="1"/>
    <col min="37" max="37" width="13.33203125" bestFit="1" customWidth="1"/>
    <col min="38" max="38" width="6.75" customWidth="1"/>
    <col min="39" max="39" width="11" bestFit="1" customWidth="1"/>
    <col min="40" max="40" width="11" customWidth="1"/>
    <col min="41" max="41" width="19.5" customWidth="1"/>
    <col min="42" max="42" width="21.6640625" bestFit="1" customWidth="1"/>
    <col min="43" max="44" width="21.6640625" customWidth="1"/>
    <col min="45" max="45" width="45.4140625" customWidth="1"/>
    <col min="46" max="46" width="36.58203125" bestFit="1" customWidth="1"/>
    <col min="48" max="48" width="54.4140625" customWidth="1"/>
  </cols>
  <sheetData>
    <row r="4" spans="29:29">
      <c r="AC4" t="s">
        <v>160</v>
      </c>
    </row>
    <row r="5" spans="29:29">
      <c r="AC5" t="s">
        <v>157</v>
      </c>
    </row>
    <row r="6" spans="29:29">
      <c r="AC6" t="s">
        <v>69</v>
      </c>
    </row>
    <row r="7" spans="29:29">
      <c r="AC7" t="s">
        <v>73</v>
      </c>
    </row>
    <row r="8" spans="29:29">
      <c r="AC8" t="s">
        <v>122</v>
      </c>
    </row>
    <row r="9" spans="29:29">
      <c r="AC9" t="s">
        <v>123</v>
      </c>
    </row>
    <row r="10" spans="29:29">
      <c r="AC10" t="s">
        <v>68</v>
      </c>
    </row>
    <row r="11" spans="29:29">
      <c r="AC11" t="s">
        <v>86</v>
      </c>
    </row>
    <row r="12" spans="29:29">
      <c r="AC12" t="s">
        <v>146</v>
      </c>
    </row>
    <row r="13" spans="29:29">
      <c r="AC13" t="s">
        <v>136</v>
      </c>
    </row>
    <row r="14" spans="29:29">
      <c r="AC14" t="s">
        <v>138</v>
      </c>
    </row>
    <row r="15" spans="29:29">
      <c r="AC15" s="29" t="s">
        <v>147</v>
      </c>
    </row>
    <row r="16" spans="29:29">
      <c r="AC16" t="s">
        <v>140</v>
      </c>
    </row>
    <row r="17" spans="2:45">
      <c r="AC17" t="s">
        <v>67</v>
      </c>
    </row>
    <row r="18" spans="2:45">
      <c r="AC18" t="s">
        <v>70</v>
      </c>
    </row>
    <row r="19" spans="2:45">
      <c r="AC19" t="s">
        <v>141</v>
      </c>
      <c r="AS19" s="27" t="s">
        <v>251</v>
      </c>
    </row>
    <row r="20" spans="2:45">
      <c r="AC20" t="s">
        <v>71</v>
      </c>
      <c r="AS20" t="s">
        <v>252</v>
      </c>
    </row>
    <row r="21" spans="2:45">
      <c r="AC21" t="s">
        <v>72</v>
      </c>
      <c r="AS21" t="s">
        <v>375</v>
      </c>
    </row>
    <row r="22" spans="2:45">
      <c r="AC22" t="s">
        <v>142</v>
      </c>
      <c r="AS22" t="s">
        <v>389</v>
      </c>
    </row>
    <row r="23" spans="2:45">
      <c r="AS23" t="s">
        <v>390</v>
      </c>
    </row>
    <row r="24" spans="2:45">
      <c r="AS24" t="s">
        <v>391</v>
      </c>
    </row>
    <row r="25" spans="2:45">
      <c r="AS25" t="s">
        <v>392</v>
      </c>
    </row>
    <row r="26" spans="2:45">
      <c r="AS26" t="s">
        <v>393</v>
      </c>
    </row>
    <row r="30" spans="2:45">
      <c r="AS30" s="27" t="s">
        <v>383</v>
      </c>
    </row>
    <row r="31" spans="2:45">
      <c r="B31" s="301"/>
      <c r="C31" s="302"/>
      <c r="P31" s="237"/>
      <c r="Q31"/>
      <c r="R31" s="301"/>
      <c r="S31"/>
      <c r="T31" s="302"/>
      <c r="U31"/>
      <c r="V31" s="301"/>
      <c r="AF31" s="27" t="s">
        <v>230</v>
      </c>
      <c r="AG31" s="27" t="s">
        <v>196</v>
      </c>
      <c r="AH31" s="27" t="s">
        <v>234</v>
      </c>
      <c r="AI31" s="27" t="s">
        <v>438</v>
      </c>
      <c r="AJ31" s="27" t="s">
        <v>436</v>
      </c>
      <c r="AK31" s="27" t="s">
        <v>247</v>
      </c>
      <c r="AS31" t="s">
        <v>384</v>
      </c>
    </row>
    <row r="32" spans="2:45">
      <c r="B32"/>
      <c r="C32"/>
      <c r="R32" s="302"/>
      <c r="T32" s="302"/>
      <c r="U32"/>
      <c r="V32" s="302"/>
      <c r="AF32" t="s">
        <v>52</v>
      </c>
      <c r="AG32" t="s">
        <v>232</v>
      </c>
      <c r="AH32" t="s">
        <v>235</v>
      </c>
      <c r="AI32" t="s">
        <v>435</v>
      </c>
      <c r="AJ32" t="s">
        <v>437</v>
      </c>
      <c r="AK32" t="s">
        <v>248</v>
      </c>
      <c r="AS32" t="s">
        <v>385</v>
      </c>
    </row>
    <row r="33" spans="1:49">
      <c r="B33" s="301"/>
      <c r="C33" s="302"/>
      <c r="J33" s="237"/>
      <c r="K33"/>
      <c r="L33" s="237"/>
      <c r="O33" s="237"/>
      <c r="R33"/>
      <c r="T33" s="302"/>
      <c r="AF33" t="s">
        <v>231</v>
      </c>
      <c r="AG33" t="s">
        <v>233</v>
      </c>
      <c r="AH33" t="s">
        <v>336</v>
      </c>
      <c r="AI33" t="s">
        <v>279</v>
      </c>
      <c r="AJ33" t="s">
        <v>237</v>
      </c>
      <c r="AK33" t="s">
        <v>249</v>
      </c>
    </row>
    <row r="34" spans="1:49">
      <c r="B34"/>
      <c r="C34"/>
      <c r="J34"/>
      <c r="L34"/>
      <c r="T34" s="302"/>
      <c r="V34" s="237"/>
      <c r="AF34" t="s">
        <v>53</v>
      </c>
      <c r="AH34" t="s">
        <v>335</v>
      </c>
      <c r="AI34" t="s">
        <v>439</v>
      </c>
      <c r="AJ34" s="11" t="str">
        <f>"Non 1.x ("&amp;$F$87&amp;":"&amp;TEXT($G$87,"0%")&amp;", "&amp;$F$88&amp;":"&amp;TEXT($G$88,"0%")&amp;", "&amp;$F$89&amp;":"&amp;TEXT($G$89,"0%")&amp;", "&amp;$F$90&amp;":"&amp;TEXT($G$90,"0%")&amp;")"</f>
        <v>Non 1.x (2.m:21%, 2.t:21%, 4.m:36%, 8.s:21%)</v>
      </c>
    </row>
    <row r="35" spans="1:49">
      <c r="B35" s="302"/>
      <c r="C35" s="302"/>
      <c r="D35" s="302"/>
      <c r="E35" s="302"/>
      <c r="F35" s="302"/>
      <c r="G35" s="302"/>
      <c r="H35"/>
      <c r="I35" s="302"/>
      <c r="J35" s="302"/>
      <c r="K35" s="302"/>
      <c r="L35" s="302"/>
      <c r="M35"/>
      <c r="N35" s="302"/>
      <c r="O35" s="302"/>
      <c r="P35" s="302"/>
      <c r="T35"/>
      <c r="V35"/>
      <c r="AF35" t="s">
        <v>3</v>
      </c>
      <c r="AH35" t="s">
        <v>337</v>
      </c>
      <c r="AI35" t="s">
        <v>466</v>
      </c>
      <c r="AJ35" t="s">
        <v>271</v>
      </c>
    </row>
    <row r="36" spans="1:49" ht="16" thickBot="1">
      <c r="B36" s="302"/>
      <c r="C36" s="302"/>
      <c r="D36" s="302"/>
      <c r="E36" s="302"/>
      <c r="F36" s="302"/>
      <c r="G36" s="302"/>
      <c r="H36"/>
      <c r="I36" s="302"/>
      <c r="J36" s="302"/>
      <c r="K36" s="302"/>
      <c r="L36" s="302"/>
      <c r="M36"/>
      <c r="N36" s="302"/>
      <c r="O36" s="302"/>
      <c r="P36" s="302"/>
      <c r="Q36"/>
      <c r="R36" s="301"/>
      <c r="S36"/>
      <c r="T36" s="302"/>
      <c r="U36" s="303"/>
      <c r="V36" s="303"/>
      <c r="AF36" t="s">
        <v>435</v>
      </c>
      <c r="AH36" t="s">
        <v>465</v>
      </c>
      <c r="AJ36" t="s">
        <v>272</v>
      </c>
    </row>
    <row r="37" spans="1:49">
      <c r="B37"/>
      <c r="C37"/>
      <c r="I37"/>
      <c r="K37"/>
      <c r="N37" s="302"/>
      <c r="O37" s="302"/>
      <c r="P37" s="302"/>
      <c r="Q37"/>
      <c r="R37" s="302"/>
      <c r="S37"/>
      <c r="T37" s="303"/>
      <c r="U37" s="303"/>
      <c r="V37" s="303"/>
      <c r="Z37" s="233" t="s">
        <v>372</v>
      </c>
      <c r="AA37" s="25"/>
      <c r="AJ37" t="s">
        <v>273</v>
      </c>
      <c r="AP37" s="288"/>
      <c r="AQ37" t="s">
        <v>628</v>
      </c>
    </row>
    <row r="38" spans="1:49">
      <c r="B38" s="301"/>
      <c r="C38" s="302"/>
      <c r="I38" s="301"/>
      <c r="J38" s="302"/>
      <c r="K38" s="302"/>
      <c r="N38"/>
      <c r="P38"/>
      <c r="V38"/>
      <c r="Z38" s="18" t="s">
        <v>359</v>
      </c>
      <c r="AA38" s="19" t="e">
        <f>LookUpConcat(_xlfn.CONCAT(AA37,"_",AA39),$AC$43:$AC$202,$AS$43:$AS$202,", ")</f>
        <v>#VALUE!</v>
      </c>
      <c r="AJ38" t="s">
        <v>274</v>
      </c>
    </row>
    <row r="39" spans="1:49">
      <c r="B39"/>
      <c r="C39"/>
      <c r="N39" s="237"/>
      <c r="P39" s="237"/>
      <c r="V39" s="237"/>
      <c r="Z39" s="18"/>
      <c r="AA39" s="19"/>
      <c r="AJ39" t="s">
        <v>275</v>
      </c>
    </row>
    <row r="40" spans="1:49">
      <c r="B40"/>
      <c r="C40"/>
      <c r="N40" s="237"/>
      <c r="P40" s="237"/>
      <c r="V40" s="237"/>
      <c r="Z40" s="18" t="s">
        <v>370</v>
      </c>
      <c r="AA40" s="19" t="e">
        <f>LookUpConcat(_xlfn.CONCAT(AA41,"_",AA39),$AC$43:$AC$202,$AS$43:$AS$202,", ")</f>
        <v>#VALUE!</v>
      </c>
      <c r="AJ40" t="s">
        <v>276</v>
      </c>
    </row>
    <row r="41" spans="1:49">
      <c r="B41"/>
      <c r="C41"/>
      <c r="N41" s="237"/>
      <c r="P41" s="237"/>
      <c r="V41" s="237"/>
      <c r="Z41" s="18" t="s">
        <v>371</v>
      </c>
      <c r="AA41" s="19" t="e">
        <f>LookUpConcat(_xlfn.CONCAT(AC40,"_",Z41),$AC$43:$AC$202,$AS$43:$AS$202,", ")</f>
        <v>#VALUE!</v>
      </c>
      <c r="AJ41" t="s">
        <v>277</v>
      </c>
    </row>
    <row r="42" spans="1:49" ht="16" thickBot="1">
      <c r="B42" s="301"/>
      <c r="C42" s="302"/>
      <c r="Z42" s="52" t="s">
        <v>360</v>
      </c>
      <c r="AA42" s="26" t="e">
        <f>LookUpConcat(_xlfn.CONCAT(Z42,"_",AC41),$AC$43:$AC$202,$AS$43:$AS$202,", ")</f>
        <v>#VALUE!</v>
      </c>
      <c r="AJ42" s="11" t="str">
        <f>"All ("&amp;$F$56&amp;":"&amp;TEXT($G$56,"0%")&amp;", "&amp;$F$57&amp;":"&amp;TEXT($G$57,"0%")&amp;", "&amp;$F$58&amp;":"&amp;TEXT($G$58,"0%")&amp;", "&amp;$F$59&amp;":"&amp;TEXT($G$59,"0%")&amp;", "&amp;$F$60&amp;":"&amp;TEXT($G$60,"0%")&amp;", "&amp;$F$61&amp;":"&amp;TEXT($G$61,"0%")&amp;", "&amp;$F$62&amp;":"&amp;TEXT($G$62,"0%")&amp;")"</f>
        <v>All (1.s:10%, 1.m:10%, 1.t:10%, 2.m:15%, 2.t:15%, 4.m:25%, 8.s:15%)</v>
      </c>
    </row>
    <row r="43" spans="1:49">
      <c r="S43" s="271" t="s">
        <v>240</v>
      </c>
      <c r="T43" s="272" t="s">
        <v>470</v>
      </c>
      <c r="U43" s="246" t="s">
        <v>330</v>
      </c>
      <c r="V43" s="246" t="s">
        <v>358</v>
      </c>
      <c r="W43" s="271" t="s">
        <v>234</v>
      </c>
      <c r="X43" s="274" t="s">
        <v>470</v>
      </c>
      <c r="AB43" s="27" t="s">
        <v>250</v>
      </c>
      <c r="AC43" s="27" t="s">
        <v>357</v>
      </c>
      <c r="AD43" s="27" t="s">
        <v>238</v>
      </c>
      <c r="AE43" s="27" t="s">
        <v>239</v>
      </c>
      <c r="AF43" s="27" t="s">
        <v>240</v>
      </c>
      <c r="AG43" s="27" t="s">
        <v>196</v>
      </c>
      <c r="AH43" s="27" t="s">
        <v>234</v>
      </c>
      <c r="AI43" s="27" t="s">
        <v>438</v>
      </c>
      <c r="AJ43" s="27" t="s">
        <v>436</v>
      </c>
      <c r="AK43" s="27" t="s">
        <v>247</v>
      </c>
      <c r="AL43" s="27" t="s">
        <v>330</v>
      </c>
      <c r="AM43" s="27" t="s">
        <v>445</v>
      </c>
      <c r="AN43" s="27" t="s">
        <v>483</v>
      </c>
      <c r="AO43" s="27" t="s">
        <v>382</v>
      </c>
      <c r="AP43" s="27" t="s">
        <v>347</v>
      </c>
      <c r="AQ43" s="27" t="s">
        <v>471</v>
      </c>
      <c r="AR43" s="27" t="s">
        <v>472</v>
      </c>
      <c r="AS43" s="27" t="s">
        <v>369</v>
      </c>
      <c r="AT43" s="27" t="s">
        <v>394</v>
      </c>
      <c r="AU43" s="27" t="s">
        <v>405</v>
      </c>
      <c r="AV43" s="27" t="s">
        <v>406</v>
      </c>
      <c r="AW43" s="27" t="s">
        <v>407</v>
      </c>
    </row>
    <row r="44" spans="1:49">
      <c r="S44" s="225" t="s">
        <v>52</v>
      </c>
      <c r="T44" s="65" t="s">
        <v>475</v>
      </c>
      <c r="U44" s="243" t="s">
        <v>333</v>
      </c>
      <c r="V44" s="245" t="s">
        <v>245</v>
      </c>
      <c r="W44" s="225" t="s">
        <v>235</v>
      </c>
      <c r="X44" s="229" t="s">
        <v>478</v>
      </c>
      <c r="Z44" s="27" t="s">
        <v>440</v>
      </c>
      <c r="AB44" s="22">
        <v>100</v>
      </c>
      <c r="AC44" t="str">
        <f>AD44&amp;"_"&amp;AE44</f>
        <v>PMR_Pallet handler</v>
      </c>
      <c r="AD44" s="22" t="s">
        <v>157</v>
      </c>
      <c r="AE44" s="22" t="s">
        <v>123</v>
      </c>
      <c r="AF44" s="22" t="s">
        <v>53</v>
      </c>
      <c r="AG44" s="22" t="s">
        <v>232</v>
      </c>
      <c r="AH44" s="22" t="s">
        <v>336</v>
      </c>
      <c r="AI44" s="22" t="s">
        <v>439</v>
      </c>
      <c r="AJ44" s="22" t="s">
        <v>437</v>
      </c>
      <c r="AK44" s="22" t="s">
        <v>249</v>
      </c>
      <c r="AL44" s="22" t="s">
        <v>332</v>
      </c>
      <c r="AM44" s="22">
        <v>1</v>
      </c>
      <c r="AN44" s="22" t="s">
        <v>574</v>
      </c>
      <c r="AO44" s="12"/>
      <c r="AP44" s="12">
        <f>G80</f>
        <v>2.4420572916666668E-2</v>
      </c>
      <c r="AQ44" s="12" t="str">
        <f>VLOOKUP(AF44,$S$43:$T$53,2,FALSE)</f>
        <v>rgb(199,227,114)</v>
      </c>
      <c r="AR44" s="12" t="str">
        <f>VLOOKUP(AH44,$W$43:$X$53,2,FALSE)</f>
        <v>rgb(113,190,138)</v>
      </c>
      <c r="AS44" t="str">
        <f>VLOOKUP(AL44,$U$43:$V$53,2,FALSE)&amp;ROUND(AP44,2)&amp;"_"&amp;AF44&amp;"_"&amp;AG44&amp;"_"&amp;AH44&amp;"_"&amp;AK44</f>
        <v>←0.02_Pallet_Single_Full_Widthwise</v>
      </c>
      <c r="AT44" t="str">
        <f>AD44&amp;" ["&amp;ROUND(AP44,2)&amp;"] "&amp;AE44</f>
        <v>PMR [0.02] Pallet handler</v>
      </c>
      <c r="AU44" s="22" t="s">
        <v>402</v>
      </c>
      <c r="AV44" t="str">
        <f>IF(AU44="first","","")&amp;CHAR(10)&amp;"{ from: """&amp;AD44&amp;""", to: """&amp;AE44&amp;""", long_text: """&amp;ROUND(AP44,2)&amp;"_"&amp;AF44&amp;"_"&amp;AG44&amp;""", short_text: """&amp;ROUND(AP44,2)&amp;""", fromSpot: """&amp;IF(AL44="Down","BottomSide",IF(AL44="Up","TopSide",IF(AL44="Left","LeftSide","RightSide")))&amp;""", toSpot: """&amp;IF(AL44="Down","TopSide",IF(AL44="Up","BottomSide",IF(AL44="Left","RightSide","LeftSide")))&amp;""", container: """&amp;AF44&amp;""", form: """&amp;AG44&amp;""", state: """&amp;AH44&amp;""", content: """&amp;AI44&amp;""", size: """&amp;AJ44&amp;""", flow_id: """&amp;AC44&amp;""", sequence_id: """&amp;AM44&amp;""", orientation: """&amp;AK44&amp;""", flow_color: """&amp;AQ44&amp;""", arrowhead_color: """&amp;AR44&amp;""", comments: """&amp;AN44&amp;""", containers_per_stack: """&amp;AO44&amp;""", throughput_per_minute: """&amp;AP44&amp;""" }"&amp;IF(AU44="last",CHAR(10)&amp;"]);",",")</f>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v>
      </c>
      <c r="AW44" t="str">
        <f>IF(AND(AU44&lt;&gt;"",AU44&lt;&gt;"last"),AV44,AW43&amp;AV44)</f>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v>
      </c>
    </row>
    <row r="45" spans="1:49">
      <c r="S45" s="225" t="s">
        <v>231</v>
      </c>
      <c r="T45" s="65" t="s">
        <v>474</v>
      </c>
      <c r="U45" s="243" t="s">
        <v>331</v>
      </c>
      <c r="V45" s="245" t="s">
        <v>246</v>
      </c>
      <c r="W45" s="225" t="s">
        <v>336</v>
      </c>
      <c r="X45" s="229" t="s">
        <v>481</v>
      </c>
      <c r="Z45" s="27" t="s">
        <v>209</v>
      </c>
      <c r="AA45" s="27" t="s">
        <v>208</v>
      </c>
      <c r="AB45">
        <f>AB44+1</f>
        <v>101</v>
      </c>
      <c r="AC45" t="str">
        <f t="shared" ref="AC45:AC101" si="0">AD45&amp;"_"&amp;AE45</f>
        <v>Pallet handler_Depalletizer</v>
      </c>
      <c r="AD45" s="22" t="s">
        <v>123</v>
      </c>
      <c r="AE45" s="22" t="s">
        <v>86</v>
      </c>
      <c r="AF45" s="22" t="s">
        <v>53</v>
      </c>
      <c r="AG45" s="22" t="s">
        <v>232</v>
      </c>
      <c r="AH45" s="22" t="s">
        <v>336</v>
      </c>
      <c r="AI45" s="22" t="s">
        <v>439</v>
      </c>
      <c r="AJ45" s="22" t="s">
        <v>437</v>
      </c>
      <c r="AK45" s="22" t="s">
        <v>249</v>
      </c>
      <c r="AL45" s="22" t="s">
        <v>331</v>
      </c>
      <c r="AM45" s="22">
        <f>AM44+1</f>
        <v>2</v>
      </c>
      <c r="AN45" s="22" t="s">
        <v>575</v>
      </c>
      <c r="AO45" s="12"/>
      <c r="AP45" s="12">
        <f>AP44</f>
        <v>2.4420572916666668E-2</v>
      </c>
      <c r="AQ45" s="12" t="str">
        <f t="shared" ref="AQ45:AQ53" si="1">VLOOKUP(AF45,$S$43:$T$53,2,FALSE)</f>
        <v>rgb(199,227,114)</v>
      </c>
      <c r="AR45" s="12" t="str">
        <f t="shared" ref="AR45:AR53" si="2">VLOOKUP(AH45,$W$43:$X$53,2,FALSE)</f>
        <v>rgb(113,190,138)</v>
      </c>
      <c r="AS45" t="str">
        <f t="shared" ref="AS45:AS53" si="3">VLOOKUP(AL45,$U$43:$V$53,2,FALSE)&amp;ROUND(AP45,2)&amp;"_"&amp;AF45&amp;"_"&amp;AG45&amp;"_"&amp;AH45&amp;"_"&amp;AK45</f>
        <v>↓0.02_Pallet_Single_Full_Widthwise</v>
      </c>
      <c r="AT45" t="str">
        <f t="shared" ref="AT45:AT53" si="4">AD45&amp;" ["&amp;ROUND(AP45,2)&amp;"] "&amp;AE45</f>
        <v>Pallet handler [0.02] Depalletizer</v>
      </c>
      <c r="AU45" s="22"/>
      <c r="AV45" t="str">
        <f t="shared" ref="AV45:AV101" si="5">IF(AU45="first","","")&amp;CHAR(10)&amp;"{ from: """&amp;AD45&amp;""", to: """&amp;AE45&amp;""", long_text: """&amp;ROUND(AP45,2)&amp;"_"&amp;AF45&amp;"_"&amp;AG45&amp;""", short_text: """&amp;ROUND(AP45,2)&amp;""", fromSpot: """&amp;IF(AL45="Down","BottomSide",IF(AL45="Up","TopSide",IF(AL45="Left","LeftSide","RightSide")))&amp;""", toSpot: """&amp;IF(AL45="Down","TopSide",IF(AL45="Up","BottomSide",IF(AL45="Left","RightSide","LeftSide")))&amp;""", container: """&amp;AF45&amp;""", form: """&amp;AG45&amp;""", state: """&amp;AH45&amp;""", content: """&amp;AI45&amp;""", size: """&amp;AJ45&amp;""", flow_id: """&amp;AC45&amp;""", sequence_id: """&amp;AM45&amp;""", orientation: """&amp;AK45&amp;""", flow_color: """&amp;AQ45&amp;""", arrowhead_color: """&amp;AR45&amp;""", comments: """&amp;AN45&amp;""", containers_per_stack: """&amp;AO45&amp;""", throughput_per_minute: """&amp;AP45&amp;""" }"&amp;IF(AU45="last",CHAR(10)&amp;"]);",",")</f>
        <v xml:space="preserve">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v>
      </c>
      <c r="AW45" t="str">
        <f>IF(AND(AU45&lt;&gt;"",AU45&lt;&gt;"last"),AV45,AW44&amp;AV45)</f>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v>
      </c>
    </row>
    <row r="46" spans="1:49">
      <c r="A46" s="50" t="s">
        <v>338</v>
      </c>
      <c r="B46" s="224"/>
      <c r="C46" s="224"/>
      <c r="D46" s="224"/>
      <c r="E46" s="224"/>
      <c r="F46" s="224"/>
      <c r="G46" s="66"/>
      <c r="S46" s="225" t="s">
        <v>53</v>
      </c>
      <c r="T46" s="65" t="s">
        <v>473</v>
      </c>
      <c r="U46" s="243" t="s">
        <v>332</v>
      </c>
      <c r="V46" s="245" t="s">
        <v>254</v>
      </c>
      <c r="W46" s="225" t="s">
        <v>335</v>
      </c>
      <c r="X46" s="229" t="s">
        <v>480</v>
      </c>
      <c r="Z46" t="s">
        <v>54</v>
      </c>
      <c r="AA46" t="s">
        <v>242</v>
      </c>
      <c r="AB46">
        <f t="shared" ref="AB46:AB110" si="6">AB45+1</f>
        <v>102</v>
      </c>
      <c r="AC46" t="str">
        <f t="shared" si="0"/>
        <v>Depalletizer_Case receiving frontend</v>
      </c>
      <c r="AD46" s="22" t="s">
        <v>86</v>
      </c>
      <c r="AE46" s="22" t="s">
        <v>146</v>
      </c>
      <c r="AF46" s="22" t="s">
        <v>3</v>
      </c>
      <c r="AG46" s="22" t="s">
        <v>232</v>
      </c>
      <c r="AH46" s="22" t="s">
        <v>336</v>
      </c>
      <c r="AI46" s="22" t="s">
        <v>279</v>
      </c>
      <c r="AJ46" s="22" t="s">
        <v>437</v>
      </c>
      <c r="AK46" s="22" t="s">
        <v>249</v>
      </c>
      <c r="AL46" s="22" t="s">
        <v>332</v>
      </c>
      <c r="AM46" s="22">
        <f t="shared" ref="AM46:AM109" si="7">AM45+1</f>
        <v>3</v>
      </c>
      <c r="AN46" s="22" t="s">
        <v>576</v>
      </c>
      <c r="AP46" s="12">
        <f>G48+G47/G55</f>
        <v>1.1721875000000002</v>
      </c>
      <c r="AQ46" s="12" t="str">
        <f t="shared" si="1"/>
        <v>rgb(154,208,220)</v>
      </c>
      <c r="AR46" s="12" t="str">
        <f t="shared" si="2"/>
        <v>rgb(113,190,138)</v>
      </c>
      <c r="AS46" t="str">
        <f t="shared" si="3"/>
        <v>←1.17_Case_Single_Full_Widthwise</v>
      </c>
      <c r="AT46" t="str">
        <f t="shared" si="4"/>
        <v>Depalletizer [1.17] Case receiving frontend</v>
      </c>
      <c r="AU46" s="22"/>
      <c r="AV46" t="str">
        <f t="shared" si="5"/>
        <v xml:space="preserve">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v>
      </c>
      <c r="AW46" t="str">
        <f t="shared" ref="AW46:AW101" si="8">IF(AND(AU46&lt;&gt;"",AU46&lt;&gt;"last"),AV46,AW45&amp;AV46)</f>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v>
      </c>
    </row>
    <row r="47" spans="1:49">
      <c r="A47" s="225"/>
      <c r="B47"/>
      <c r="C47"/>
      <c r="D47"/>
      <c r="E47"/>
      <c r="F47" s="7" t="s">
        <v>416</v>
      </c>
      <c r="G47" s="226">
        <f>Metrics!H122</f>
        <v>9.2262500000000003</v>
      </c>
      <c r="H47"/>
      <c r="I47"/>
      <c r="J47"/>
      <c r="K47"/>
      <c r="L47"/>
      <c r="M47"/>
      <c r="N47"/>
      <c r="O47"/>
      <c r="P47"/>
      <c r="Q47"/>
      <c r="R47"/>
      <c r="S47" s="144" t="s">
        <v>3</v>
      </c>
      <c r="T47" s="65" t="s">
        <v>476</v>
      </c>
      <c r="U47" s="243" t="s">
        <v>334</v>
      </c>
      <c r="V47" s="245" t="s">
        <v>253</v>
      </c>
      <c r="W47" s="144" t="s">
        <v>337</v>
      </c>
      <c r="X47" s="229" t="s">
        <v>479</v>
      </c>
      <c r="Z47" t="s">
        <v>55</v>
      </c>
      <c r="AA47" t="s">
        <v>243</v>
      </c>
      <c r="AB47">
        <f t="shared" si="6"/>
        <v>103</v>
      </c>
      <c r="AC47" t="str">
        <f t="shared" si="0"/>
        <v>Case receiving frontend_Case receiving backend</v>
      </c>
      <c r="AD47" s="22" t="s">
        <v>146</v>
      </c>
      <c r="AE47" s="242" t="s">
        <v>136</v>
      </c>
      <c r="AF47" s="22" t="s">
        <v>3</v>
      </c>
      <c r="AG47" s="22" t="s">
        <v>232</v>
      </c>
      <c r="AH47" s="22" t="s">
        <v>336</v>
      </c>
      <c r="AI47" s="22" t="s">
        <v>279</v>
      </c>
      <c r="AJ47" s="22" t="s">
        <v>437</v>
      </c>
      <c r="AK47" s="22" t="s">
        <v>249</v>
      </c>
      <c r="AL47" s="22" t="s">
        <v>331</v>
      </c>
      <c r="AM47" s="22">
        <f t="shared" si="7"/>
        <v>4</v>
      </c>
      <c r="AN47" s="22" t="s">
        <v>577</v>
      </c>
      <c r="AP47" s="12">
        <f>G48*G81</f>
        <v>0.36300000000000004</v>
      </c>
      <c r="AQ47" s="12" t="str">
        <f t="shared" si="1"/>
        <v>rgb(154,208,220)</v>
      </c>
      <c r="AR47" s="12" t="str">
        <f t="shared" si="2"/>
        <v>rgb(113,190,138)</v>
      </c>
      <c r="AS47" t="str">
        <f t="shared" si="3"/>
        <v>↓0.36_Case_Single_Full_Widthwise</v>
      </c>
      <c r="AT47" t="str">
        <f t="shared" si="4"/>
        <v>Case receiving frontend [0.36] Case receiving backend</v>
      </c>
      <c r="AU47" s="22"/>
      <c r="AV47" t="str">
        <f t="shared" si="5"/>
        <v xml:space="preserve">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v>
      </c>
      <c r="AW47"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v>
      </c>
    </row>
    <row r="48" spans="1:49">
      <c r="A48" s="144"/>
      <c r="B48"/>
      <c r="C48"/>
      <c r="D48"/>
      <c r="E48"/>
      <c r="F48" s="7" t="s">
        <v>417</v>
      </c>
      <c r="G48" s="226">
        <f>Metrics!H123</f>
        <v>0.40333333333333338</v>
      </c>
      <c r="H48"/>
      <c r="I48"/>
      <c r="J48"/>
      <c r="K48"/>
      <c r="L48"/>
      <c r="M48"/>
      <c r="N48"/>
      <c r="O48"/>
      <c r="P48"/>
      <c r="Q48"/>
      <c r="R48"/>
      <c r="S48" s="146" t="s">
        <v>435</v>
      </c>
      <c r="T48" s="231" t="s">
        <v>477</v>
      </c>
      <c r="U48" s="243" t="s">
        <v>359</v>
      </c>
      <c r="V48" s="245" t="s">
        <v>255</v>
      </c>
      <c r="W48" s="146" t="s">
        <v>465</v>
      </c>
      <c r="X48" s="232" t="s">
        <v>478</v>
      </c>
      <c r="Z48" t="s">
        <v>56</v>
      </c>
      <c r="AA48" t="s">
        <v>244</v>
      </c>
      <c r="AB48">
        <f t="shared" si="6"/>
        <v>104</v>
      </c>
      <c r="AC48" t="str">
        <f t="shared" si="0"/>
        <v>Case receiving backend_Manual receiving backend</v>
      </c>
      <c r="AD48" s="242" t="s">
        <v>136</v>
      </c>
      <c r="AE48" s="242" t="s">
        <v>140</v>
      </c>
      <c r="AF48" s="22" t="s">
        <v>52</v>
      </c>
      <c r="AG48" s="22" t="s">
        <v>232</v>
      </c>
      <c r="AH48" s="22" t="s">
        <v>336</v>
      </c>
      <c r="AI48" s="22" t="s">
        <v>279</v>
      </c>
      <c r="AJ48" s="22" t="s">
        <v>437</v>
      </c>
      <c r="AK48" s="22" t="s">
        <v>249</v>
      </c>
      <c r="AL48" s="22" t="s">
        <v>332</v>
      </c>
      <c r="AM48" s="22">
        <f t="shared" si="7"/>
        <v>5</v>
      </c>
      <c r="AN48" s="22" t="s">
        <v>578</v>
      </c>
      <c r="AP48" s="12">
        <f>AP47</f>
        <v>0.36300000000000004</v>
      </c>
      <c r="AQ48" s="12" t="str">
        <f t="shared" si="1"/>
        <v>rgb(239,90,104)</v>
      </c>
      <c r="AR48" s="12" t="str">
        <f t="shared" si="2"/>
        <v>rgb(113,190,138)</v>
      </c>
      <c r="AS48" t="str">
        <f t="shared" si="3"/>
        <v>←0.36_Tray_Single_Full_Widthwise</v>
      </c>
      <c r="AT48" t="str">
        <f t="shared" si="4"/>
        <v>Case receiving backend [0.36] Manual receiving backend</v>
      </c>
      <c r="AU48" s="22"/>
      <c r="AV48" t="str">
        <f t="shared" si="5"/>
        <v xml:space="preserve">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v>
      </c>
      <c r="AW48"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v>
      </c>
    </row>
    <row r="49" spans="1:49">
      <c r="A49" s="144"/>
      <c r="B49"/>
      <c r="C49"/>
      <c r="D49"/>
      <c r="E49"/>
      <c r="F49" s="7" t="s">
        <v>418</v>
      </c>
      <c r="G49" s="226">
        <f>Metrics!H124</f>
        <v>6.7222222222222239E-2</v>
      </c>
      <c r="H49"/>
      <c r="I49"/>
      <c r="J49"/>
      <c r="K49"/>
      <c r="L49"/>
      <c r="M49"/>
      <c r="N49"/>
      <c r="O49"/>
      <c r="P49"/>
      <c r="Q49"/>
      <c r="R49"/>
      <c r="S49" s="146" t="s">
        <v>561</v>
      </c>
      <c r="T49" s="232" t="s">
        <v>566</v>
      </c>
      <c r="U49" s="243" t="s">
        <v>360</v>
      </c>
      <c r="V49" s="245" t="s">
        <v>256</v>
      </c>
      <c r="AB49">
        <f t="shared" si="6"/>
        <v>105</v>
      </c>
      <c r="AC49" t="str">
        <f t="shared" si="0"/>
        <v>Case receiving frontend_Manual receiving frontend</v>
      </c>
      <c r="AD49" s="22" t="s">
        <v>146</v>
      </c>
      <c r="AE49" s="242" t="s">
        <v>147</v>
      </c>
      <c r="AF49" s="22" t="s">
        <v>3</v>
      </c>
      <c r="AG49" s="22" t="s">
        <v>232</v>
      </c>
      <c r="AH49" s="22" t="s">
        <v>336</v>
      </c>
      <c r="AI49" s="22" t="s">
        <v>279</v>
      </c>
      <c r="AJ49" s="22" t="s">
        <v>437</v>
      </c>
      <c r="AK49" s="22" t="s">
        <v>249</v>
      </c>
      <c r="AL49" s="22" t="s">
        <v>332</v>
      </c>
      <c r="AM49" s="22">
        <f t="shared" si="7"/>
        <v>6</v>
      </c>
      <c r="AN49" s="22" t="s">
        <v>579</v>
      </c>
      <c r="AP49" s="12">
        <f>AP46-AP47</f>
        <v>0.80918750000000017</v>
      </c>
      <c r="AQ49" s="12" t="str">
        <f t="shared" si="1"/>
        <v>rgb(154,208,220)</v>
      </c>
      <c r="AR49" s="12" t="str">
        <f t="shared" si="2"/>
        <v>rgb(113,190,138)</v>
      </c>
      <c r="AS49" t="str">
        <f t="shared" si="3"/>
        <v>←0.81_Case_Single_Full_Widthwise</v>
      </c>
      <c r="AT49" t="str">
        <f t="shared" si="4"/>
        <v>Case receiving frontend [0.81] Manual receiving frontend</v>
      </c>
      <c r="AU49" s="22"/>
      <c r="AV49" t="str">
        <f t="shared" si="5"/>
        <v xml:space="preserve">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v>
      </c>
      <c r="AW49"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v>
      </c>
    </row>
    <row r="50" spans="1:49">
      <c r="A50" s="144"/>
      <c r="B50"/>
      <c r="C50"/>
      <c r="D50"/>
      <c r="E50"/>
      <c r="F50" s="7" t="s">
        <v>419</v>
      </c>
      <c r="G50" s="226">
        <f>Metrics!H125</f>
        <v>1.680555555555556E-2</v>
      </c>
      <c r="H50"/>
      <c r="I50"/>
      <c r="J50"/>
      <c r="K50"/>
      <c r="L50"/>
      <c r="M50"/>
      <c r="N50"/>
      <c r="O50"/>
      <c r="P50"/>
      <c r="Q50"/>
      <c r="R50"/>
      <c r="S50" s="146" t="s">
        <v>236</v>
      </c>
      <c r="T50" s="232" t="s">
        <v>566</v>
      </c>
      <c r="U50" s="243" t="s">
        <v>361</v>
      </c>
      <c r="V50" s="245" t="s">
        <v>366</v>
      </c>
      <c r="AB50">
        <f t="shared" si="6"/>
        <v>106</v>
      </c>
      <c r="AC50" t="str">
        <f t="shared" si="0"/>
        <v>Manual receiving frontend_Manual receiving backend</v>
      </c>
      <c r="AD50" s="242" t="s">
        <v>147</v>
      </c>
      <c r="AE50" s="242" t="s">
        <v>140</v>
      </c>
      <c r="AF50" s="22" t="s">
        <v>3</v>
      </c>
      <c r="AG50" s="22" t="s">
        <v>232</v>
      </c>
      <c r="AH50" s="22" t="s">
        <v>336</v>
      </c>
      <c r="AI50" s="22" t="s">
        <v>279</v>
      </c>
      <c r="AJ50" s="22" t="s">
        <v>437</v>
      </c>
      <c r="AK50" s="22" t="s">
        <v>249</v>
      </c>
      <c r="AL50" s="22" t="s">
        <v>331</v>
      </c>
      <c r="AM50" s="22">
        <f t="shared" si="7"/>
        <v>7</v>
      </c>
      <c r="AN50" s="22" t="s">
        <v>580</v>
      </c>
      <c r="AP50" s="12">
        <f>AP49</f>
        <v>0.80918750000000017</v>
      </c>
      <c r="AQ50" s="12" t="str">
        <f t="shared" si="1"/>
        <v>rgb(154,208,220)</v>
      </c>
      <c r="AR50" s="12" t="str">
        <f t="shared" si="2"/>
        <v>rgb(113,190,138)</v>
      </c>
      <c r="AS50" t="str">
        <f t="shared" si="3"/>
        <v>↓0.81_Case_Single_Full_Widthwise</v>
      </c>
      <c r="AT50" t="str">
        <f t="shared" si="4"/>
        <v>Manual receiving frontend [0.81] Manual receiving backend</v>
      </c>
      <c r="AU50" s="22"/>
      <c r="AV50" t="str">
        <f t="shared" si="5"/>
        <v xml:space="preserve">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v>
      </c>
      <c r="AW50"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v>
      </c>
    </row>
    <row r="51" spans="1:49">
      <c r="A51" s="144"/>
      <c r="B51"/>
      <c r="C51"/>
      <c r="D51"/>
      <c r="E51"/>
      <c r="F51" s="7" t="s">
        <v>420</v>
      </c>
      <c r="G51" s="226">
        <f>Metrics!H100</f>
        <v>576</v>
      </c>
      <c r="H51"/>
      <c r="I51"/>
      <c r="J51"/>
      <c r="K51"/>
      <c r="L51"/>
      <c r="M51"/>
      <c r="N51"/>
      <c r="O51"/>
      <c r="P51"/>
      <c r="Q51"/>
      <c r="R51"/>
      <c r="S51"/>
      <c r="T51"/>
      <c r="U51" s="243" t="s">
        <v>362</v>
      </c>
      <c r="V51" s="245" t="s">
        <v>365</v>
      </c>
      <c r="AB51">
        <f t="shared" si="6"/>
        <v>107</v>
      </c>
      <c r="AC51" t="str">
        <f>AD51&amp;"_"&amp;AE51</f>
        <v>Manual receiving backend_Prep</v>
      </c>
      <c r="AD51" s="242" t="s">
        <v>140</v>
      </c>
      <c r="AE51" s="242" t="s">
        <v>67</v>
      </c>
      <c r="AF51" s="22" t="s">
        <v>52</v>
      </c>
      <c r="AG51" s="22" t="s">
        <v>232</v>
      </c>
      <c r="AH51" s="22" t="s">
        <v>336</v>
      </c>
      <c r="AI51" s="22" t="s">
        <v>279</v>
      </c>
      <c r="AJ51" s="22" t="s">
        <v>437</v>
      </c>
      <c r="AK51" s="22" t="s">
        <v>249</v>
      </c>
      <c r="AL51" s="22" t="s">
        <v>332</v>
      </c>
      <c r="AM51" s="22">
        <f t="shared" si="7"/>
        <v>8</v>
      </c>
      <c r="AN51" s="22" t="s">
        <v>581</v>
      </c>
      <c r="AP51" s="12">
        <f>G48*(1-G81)</f>
        <v>4.0333333333333332E-2</v>
      </c>
      <c r="AQ51" s="12" t="str">
        <f t="shared" si="1"/>
        <v>rgb(239,90,104)</v>
      </c>
      <c r="AR51" s="12" t="str">
        <f t="shared" si="2"/>
        <v>rgb(113,190,138)</v>
      </c>
      <c r="AS51" t="str">
        <f t="shared" si="3"/>
        <v>←0.04_Tray_Single_Full_Widthwise</v>
      </c>
      <c r="AT51" t="str">
        <f t="shared" si="4"/>
        <v>Manual receiving backend [0.04] Prep</v>
      </c>
      <c r="AU51" s="22"/>
      <c r="AV51" t="str">
        <f t="shared" si="5"/>
        <v xml:space="preserve">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v>
      </c>
      <c r="AW51"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v>
      </c>
    </row>
    <row r="52" spans="1:49">
      <c r="A52" s="144"/>
      <c r="B52"/>
      <c r="C52"/>
      <c r="D52"/>
      <c r="E52"/>
      <c r="F52" s="7" t="s">
        <v>421</v>
      </c>
      <c r="G52" s="226">
        <f>Metrics!H101</f>
        <v>48</v>
      </c>
      <c r="H52"/>
      <c r="I52"/>
      <c r="J52"/>
      <c r="K52"/>
      <c r="L52"/>
      <c r="M52"/>
      <c r="N52"/>
      <c r="O52"/>
      <c r="P52"/>
      <c r="Q52"/>
      <c r="R52"/>
      <c r="S52"/>
      <c r="T52"/>
      <c r="U52" s="243" t="s">
        <v>363</v>
      </c>
      <c r="V52" s="22" t="s">
        <v>367</v>
      </c>
      <c r="AB52">
        <f t="shared" si="6"/>
        <v>108</v>
      </c>
      <c r="AC52" t="str">
        <f t="shared" si="0"/>
        <v>Manual receiving backend_Prep</v>
      </c>
      <c r="AD52" s="242" t="s">
        <v>140</v>
      </c>
      <c r="AE52" s="242" t="s">
        <v>67</v>
      </c>
      <c r="AF52" s="22" t="s">
        <v>435</v>
      </c>
      <c r="AG52" s="22" t="s">
        <v>232</v>
      </c>
      <c r="AH52" s="22" t="s">
        <v>336</v>
      </c>
      <c r="AI52" s="22" t="s">
        <v>435</v>
      </c>
      <c r="AJ52" s="22" t="s">
        <v>444</v>
      </c>
      <c r="AK52" s="22" t="s">
        <v>249</v>
      </c>
      <c r="AL52" s="22" t="s">
        <v>332</v>
      </c>
      <c r="AM52" s="22">
        <f t="shared" si="7"/>
        <v>9</v>
      </c>
      <c r="AN52" s="22" t="s">
        <v>582</v>
      </c>
      <c r="AP52" s="12">
        <f>G86</f>
        <v>0.76885416666666662</v>
      </c>
      <c r="AQ52" s="12" t="str">
        <f t="shared" si="1"/>
        <v>rgb(212,221,218)</v>
      </c>
      <c r="AR52" s="12" t="str">
        <f t="shared" si="2"/>
        <v>rgb(113,190,138)</v>
      </c>
      <c r="AS52" t="str">
        <f t="shared" si="3"/>
        <v>←0.77_Compartment_Single_Full_Widthwise</v>
      </c>
      <c r="AT52" t="str">
        <f t="shared" si="4"/>
        <v>Manual receiving backend [0.77] Prep</v>
      </c>
      <c r="AU52" s="22"/>
      <c r="AV52" t="str">
        <f t="shared" si="5"/>
        <v xml:space="preserve">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v>
      </c>
      <c r="AW52"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v>
      </c>
    </row>
    <row r="53" spans="1:49">
      <c r="A53" s="144"/>
      <c r="B53"/>
      <c r="C53"/>
      <c r="D53"/>
      <c r="E53"/>
      <c r="F53" s="7" t="s">
        <v>422</v>
      </c>
      <c r="G53" s="226">
        <f>Metrics!H102</f>
        <v>30</v>
      </c>
      <c r="H53"/>
      <c r="I53"/>
      <c r="J53"/>
      <c r="K53"/>
      <c r="L53"/>
      <c r="M53"/>
      <c r="N53"/>
      <c r="O53"/>
      <c r="P53"/>
      <c r="Q53"/>
      <c r="R53"/>
      <c r="S53"/>
      <c r="T53"/>
      <c r="U53" s="243" t="s">
        <v>364</v>
      </c>
      <c r="V53" s="22" t="s">
        <v>368</v>
      </c>
      <c r="AB53">
        <f t="shared" si="6"/>
        <v>109</v>
      </c>
      <c r="AC53" t="str">
        <f t="shared" si="0"/>
        <v>Manual receiving backend_Prep</v>
      </c>
      <c r="AD53" s="242" t="s">
        <v>140</v>
      </c>
      <c r="AE53" s="242" t="s">
        <v>67</v>
      </c>
      <c r="AF53" s="22" t="s">
        <v>52</v>
      </c>
      <c r="AG53" s="22" t="s">
        <v>232</v>
      </c>
      <c r="AH53" s="22" t="s">
        <v>336</v>
      </c>
      <c r="AI53" s="22" t="s">
        <v>435</v>
      </c>
      <c r="AJ53" s="22" t="s">
        <v>237</v>
      </c>
      <c r="AK53" s="22" t="s">
        <v>249</v>
      </c>
      <c r="AL53" s="22" t="s">
        <v>332</v>
      </c>
      <c r="AM53" s="22">
        <f t="shared" si="7"/>
        <v>10</v>
      </c>
      <c r="AN53" s="22" t="s">
        <v>583</v>
      </c>
      <c r="AP53" s="12">
        <f>G85</f>
        <v>0.32950892857142861</v>
      </c>
      <c r="AQ53" s="12" t="str">
        <f t="shared" si="1"/>
        <v>rgb(239,90,104)</v>
      </c>
      <c r="AR53" s="12" t="str">
        <f t="shared" si="2"/>
        <v>rgb(113,190,138)</v>
      </c>
      <c r="AS53" t="str">
        <f t="shared" si="3"/>
        <v>←0.33_Tray_Single_Full_Widthwise</v>
      </c>
      <c r="AT53" t="str">
        <f t="shared" si="4"/>
        <v>Manual receiving backend [0.33] Prep</v>
      </c>
      <c r="AU53" s="22"/>
      <c r="AV53" t="str">
        <f t="shared" si="5"/>
        <v xml:space="preserve">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v>
      </c>
      <c r="AW53"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v>
      </c>
    </row>
    <row r="54" spans="1:49">
      <c r="A54" s="144"/>
      <c r="B54"/>
      <c r="C54"/>
      <c r="D54"/>
      <c r="E54"/>
      <c r="F54" s="7" t="s">
        <v>423</v>
      </c>
      <c r="G54" s="226">
        <f>Metrics!H103</f>
        <v>6</v>
      </c>
      <c r="H54"/>
      <c r="I54"/>
      <c r="J54"/>
      <c r="K54"/>
      <c r="L54"/>
      <c r="M54"/>
      <c r="N54"/>
      <c r="O54"/>
      <c r="P54"/>
      <c r="Q54"/>
      <c r="R54"/>
      <c r="S54"/>
      <c r="T54"/>
      <c r="U54"/>
      <c r="V54"/>
      <c r="AB54">
        <f t="shared" si="6"/>
        <v>110</v>
      </c>
      <c r="AC54" t="str">
        <f t="shared" si="0"/>
        <v>Manual receiving backend_Prep</v>
      </c>
      <c r="AD54" s="242" t="s">
        <v>140</v>
      </c>
      <c r="AE54" s="242" t="s">
        <v>67</v>
      </c>
      <c r="AF54" s="22" t="s">
        <v>52</v>
      </c>
      <c r="AG54" s="22" t="s">
        <v>232</v>
      </c>
      <c r="AH54" s="22" t="s">
        <v>336</v>
      </c>
      <c r="AI54" s="22" t="s">
        <v>279</v>
      </c>
      <c r="AJ54" s="22" t="s">
        <v>437</v>
      </c>
      <c r="AK54" s="22" t="s">
        <v>249</v>
      </c>
      <c r="AL54" s="22" t="s">
        <v>332</v>
      </c>
      <c r="AM54" s="22">
        <f t="shared" si="7"/>
        <v>11</v>
      </c>
      <c r="AN54" s="22" t="s">
        <v>584</v>
      </c>
      <c r="AP54" s="10">
        <f>AP48</f>
        <v>0.36300000000000004</v>
      </c>
      <c r="AQ54" s="12" t="str">
        <f t="shared" ref="AQ54:AQ56" si="9">VLOOKUP(AF54,$S$43:$T$53,2,FALSE)</f>
        <v>rgb(239,90,104)</v>
      </c>
      <c r="AR54" s="12" t="str">
        <f t="shared" ref="AR54:AR56" si="10">VLOOKUP(AH54,$W$43:$X$53,2,FALSE)</f>
        <v>rgb(113,190,138)</v>
      </c>
      <c r="AS54" t="str">
        <f t="shared" ref="AS54:AS56" si="11">VLOOKUP(AL54,$U$43:$V$53,2,FALSE)&amp;ROUND(AP54,2)&amp;"_"&amp;AF54&amp;"_"&amp;AG54&amp;"_"&amp;AH54&amp;"_"&amp;AK54</f>
        <v>←0.36_Tray_Single_Full_Widthwise</v>
      </c>
      <c r="AT54" t="str">
        <f t="shared" ref="AT54:AT56" si="12">AD54&amp;" ["&amp;ROUND(AP54,2)&amp;"] "&amp;AE54</f>
        <v>Manual receiving backend [0.36] Prep</v>
      </c>
      <c r="AU54" s="22"/>
      <c r="AV54" t="str">
        <f t="shared" si="5"/>
        <v xml:space="preserve">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v>
      </c>
      <c r="AW54"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v>
      </c>
    </row>
    <row r="55" spans="1:49">
      <c r="A55" s="144"/>
      <c r="B55"/>
      <c r="C55"/>
      <c r="D55"/>
      <c r="E55"/>
      <c r="F55" s="7" t="s">
        <v>427</v>
      </c>
      <c r="G55" s="173">
        <f>Metrics!H85</f>
        <v>12</v>
      </c>
      <c r="H55"/>
      <c r="I55"/>
      <c r="J55"/>
      <c r="K55"/>
      <c r="L55"/>
      <c r="M55"/>
      <c r="N55"/>
      <c r="O55"/>
      <c r="P55"/>
      <c r="Q55"/>
      <c r="R55"/>
      <c r="S55"/>
      <c r="T55"/>
      <c r="U55"/>
      <c r="V55"/>
      <c r="AB55">
        <f t="shared" si="6"/>
        <v>111</v>
      </c>
      <c r="AC55" t="str">
        <f t="shared" si="0"/>
        <v>Prep_Inbound connector</v>
      </c>
      <c r="AD55" s="22" t="s">
        <v>67</v>
      </c>
      <c r="AE55" s="22" t="s">
        <v>141</v>
      </c>
      <c r="AF55" s="22" t="s">
        <v>435</v>
      </c>
      <c r="AG55" s="22" t="s">
        <v>232</v>
      </c>
      <c r="AH55" s="22" t="s">
        <v>336</v>
      </c>
      <c r="AI55" s="22" t="s">
        <v>435</v>
      </c>
      <c r="AJ55" s="22" t="s">
        <v>444</v>
      </c>
      <c r="AK55" s="22" t="s">
        <v>249</v>
      </c>
      <c r="AL55" s="22" t="s">
        <v>332</v>
      </c>
      <c r="AM55" s="22">
        <f t="shared" si="7"/>
        <v>12</v>
      </c>
      <c r="AN55" s="22" t="s">
        <v>585</v>
      </c>
      <c r="AP55" s="12">
        <f>AP52</f>
        <v>0.76885416666666662</v>
      </c>
      <c r="AQ55" s="12" t="str">
        <f t="shared" si="9"/>
        <v>rgb(212,221,218)</v>
      </c>
      <c r="AR55" s="12" t="str">
        <f t="shared" si="10"/>
        <v>rgb(113,190,138)</v>
      </c>
      <c r="AS55" t="str">
        <f t="shared" si="11"/>
        <v>←0.77_Compartment_Single_Full_Widthwise</v>
      </c>
      <c r="AT55" t="str">
        <f t="shared" si="12"/>
        <v>Prep [0.77] Inbound connector</v>
      </c>
      <c r="AU55" s="22"/>
      <c r="AV55" t="str">
        <f t="shared" si="5"/>
        <v xml:space="preserve">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v>
      </c>
      <c r="AW55"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v>
      </c>
    </row>
    <row r="56" spans="1:49">
      <c r="A56" s="225"/>
      <c r="E56" s="7" t="s">
        <v>430</v>
      </c>
      <c r="F56" s="65" t="str">
        <f>Metrics!G25</f>
        <v>1.s</v>
      </c>
      <c r="G56" s="262">
        <f>Metrics!H25</f>
        <v>0.1</v>
      </c>
      <c r="H56"/>
      <c r="I56"/>
      <c r="J56"/>
      <c r="K56"/>
      <c r="L56"/>
      <c r="M56"/>
      <c r="N56"/>
      <c r="O56"/>
      <c r="P56"/>
      <c r="Q56"/>
      <c r="R56"/>
      <c r="S56" t="s">
        <v>409</v>
      </c>
      <c r="T56" t="str">
        <f>CONCATENATE("[ // node data ",CHAR(10),CLEAN(AA79),CHAR(10),"[ // link data ",CHAR(10),CLEAN(AW101))</f>
        <v>[ // node data 
{ key: "MR", loc: new go.Point(630, 385), release: "Beta 1a" },{ key: "PMR", group: "Inbound", loc: new go.Point(980, 70), release: "Beta 1a" },{ key: "Stacker", isGroup: true},{ key: "Stacking", group: "Stacker", loc: new go.Point(280, 437.5), release: "Beta 1a" },{ key: "Destacking", group: "Stacker", loc: new go.Point(280, 385), release: "Beta 1a" },{ key: "Shuffler", loc: new go.Point(70, 437.5), release: "HDS # 1" },{ key: "Stack handler", loc: new go.Point(490, 385), release: "Beta 1a" },{ key: "Pallet handler", group: "Inbound", loc: new go.Point(840, 70), release: "HDS # 1" },{ key: "Trashbaler", loc: new go.Point(980, 210), release: "HDS # 1" },{ key: "Depalletizer", group: "Inbound", loc: new go.Point(840, 140), release: "HDS # 1" },{ key: "Case receiving frontend", group: "Case receiving", loc: new go.Point(630, 140), release: "HDS # 1" },{ key: "Case receiving backend", group: "Case receiving", loc: new go.Point(630, 210), release: "HDS # 1" },{ key: "Master dispenser", loc: new go.Point(840, 245), release: "Beta 1a" },{ key: "Manual receiving frontend", group: "Manual receiving", loc: new go.Point(420, 140), release: "Beta 1a" },{ key: "Manual receiving backend", group: "Manual receiving", loc: new go.Point(420, 210), release: "Beta 1a" },{ key: "Prep", loc: new go.Point(245, 210), release: "Beta 1a" },{ key: "Traybreaker", loc: new go.Point(280, 280), release: "Beta 1a" },{ key: "Inbound connector", loc: new go.Point(70, 210), release: "Beta 1a" },{ key: "Traymaker", loc: new go.Point(-126, 210), release: "Beta 1a" },
[ // link data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v>
      </c>
      <c r="U56"/>
      <c r="V56"/>
      <c r="AB56">
        <f t="shared" si="6"/>
        <v>112</v>
      </c>
      <c r="AC56" t="str">
        <f t="shared" si="0"/>
        <v>Prep_Inbound connector</v>
      </c>
      <c r="AD56" s="22" t="s">
        <v>67</v>
      </c>
      <c r="AE56" s="22" t="s">
        <v>141</v>
      </c>
      <c r="AF56" s="22" t="s">
        <v>52</v>
      </c>
      <c r="AG56" s="22" t="s">
        <v>232</v>
      </c>
      <c r="AH56" s="22" t="s">
        <v>336</v>
      </c>
      <c r="AI56" s="22" t="s">
        <v>435</v>
      </c>
      <c r="AJ56" s="22" t="s">
        <v>237</v>
      </c>
      <c r="AK56" s="22" t="s">
        <v>249</v>
      </c>
      <c r="AL56" s="22" t="s">
        <v>332</v>
      </c>
      <c r="AM56" s="22">
        <f t="shared" si="7"/>
        <v>13</v>
      </c>
      <c r="AN56" s="22" t="s">
        <v>586</v>
      </c>
      <c r="AP56" s="12">
        <f>AP53</f>
        <v>0.32950892857142861</v>
      </c>
      <c r="AQ56" s="12" t="str">
        <f t="shared" si="9"/>
        <v>rgb(239,90,104)</v>
      </c>
      <c r="AR56" s="12" t="str">
        <f t="shared" si="10"/>
        <v>rgb(113,190,138)</v>
      </c>
      <c r="AS56" t="str">
        <f t="shared" si="11"/>
        <v>←0.33_Tray_Single_Full_Widthwise</v>
      </c>
      <c r="AT56" t="str">
        <f t="shared" si="12"/>
        <v>Prep [0.33] Inbound connector</v>
      </c>
      <c r="AU56" s="22"/>
      <c r="AV56" t="str">
        <f t="shared" si="5"/>
        <v xml:space="preserve">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v>
      </c>
      <c r="AW56"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v>
      </c>
    </row>
    <row r="57" spans="1:49">
      <c r="A57" s="225"/>
      <c r="F57" s="65" t="str">
        <f>Metrics!G26</f>
        <v>1.m</v>
      </c>
      <c r="G57" s="262">
        <f>Metrics!H26</f>
        <v>0.1</v>
      </c>
      <c r="H57"/>
      <c r="I57"/>
      <c r="J57"/>
      <c r="K57"/>
      <c r="L57"/>
      <c r="M57"/>
      <c r="N57"/>
      <c r="O57"/>
      <c r="P57"/>
      <c r="Q57"/>
      <c r="R57"/>
      <c r="S57" t="s">
        <v>513</v>
      </c>
      <c r="T57" t="str">
        <f>CONCATENATE("[  ",CLEAN(VLOOKUP("last",X:AA,4,FALSE)),"[ ",CLEAN(VLOOKUP("last",AU:AX,3,FALSE)))</f>
        <v>[  { key: "MR", loc: new go.Point(630, 385), release: "Beta 1a" },{ key: "PMR", group: "Inbound", loc: new go.Point(980, 70), release: "Beta 1a" },{ key: "Stacker", isGroup: true},{ key: "Stacking", group: "Stacker", loc: new go.Point(280, 437.5), release: "Beta 1a" },{ key: "Destacking", group: "Stacker", loc: new go.Point(280, 385), release: "Beta 1a" },{ key: "Shuffler", loc: new go.Point(70, 437.5), release: "HDS # 1" },{ key: "Stack handler", loc: new go.Point(490, 385), release: "Beta 1a" },{ key: "Pallet handler", group: "Inbound", loc: new go.Point(840, 70), release: "HDS # 1" },{ key: "Trashbaler", loc: new go.Point(980, 210), release: "HDS # 1" },{ key: "Depalletizer", group: "Inbound", loc: new go.Point(840, 140), release: "HDS # 1" },{ key: "Case receiving frontend", group: "Case receiving", loc: new go.Point(630, 140), release: "HDS # 1" },{ key: "Case receiving backend", group: "Case receiving", loc: new go.Point(630, 210), release: "HDS # 1" },{ key: "Master dispenser", loc: new go.Point(840, 245), release: "Beta 1a" },{ key: "Manual receiving frontend", group: "Manual receiving", loc: new go.Point(420, 140), release: "Beta 1a" },{ key: "Manual receiving backend", group: "Manual receiving", loc: new go.Point(420, 210), release: "Beta 1a" },{ key: "Prep", loc: new go.Point(245, 210), release: "Beta 1a" },{ key: "Traybreaker", loc: new go.Point(280, 280), release: "Beta 1a" },{ key: "Inbound connector", loc: new go.Point(70, 210), release: "Beta 1a" },{ key: "Traymaker", loc: new go.Point(-126, 210), release: "Beta 1a" },{ key: "Outbound connector", loc: new go.Point(70, 350), release: "Beta 1a" },{ key: "Tray wash", loc: new go.Point(245, 140), release: "HDS # 1" },{ key: "Inbound", isGroup: true},{ key: "Case receiving", isGroup: true},{ key: "Manual receiving", isGroup: true}],[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 from: "Prep", to: "Inbound connector", long_text: "0.15_Compartment_Single", short_text: "0.15", fromSpot: "LeftSide", toSpot: "RightSide", container: "Compartment", form: "Single", state: "Empty", content: "Compartment", size: "Non 1.x (2.m:21%, 2.t:21%, 4.m:36%, 8.s:21%", flow_id: "Prep_Inbound connector", sequence_id: "64", orientation: "Widthwise", flow_color: "rgb(212,221,218)", arrowhead_color: "rgb(194,220,188)", comments: "The cleaned up non 1.x compartment is sent back to the inbound connector", containers_per_stack: "", throughput_per_minute: "0.153770833333333" },{ from: "Prep", to: "Prep", long_text: "0.03_All_Single", short_text: "0.03", fromSpot: "BottomSide", toSpot: "TopSide", container: "All", form: "Single", state: "Full", content: "Mixed", size: "Mixed", flow_id: "Prep_Prep", sequence_id: "65", orientation: "Widthwise", flow_color: "rgb(144,166,248) ", arrowhead_color: "rgb(113,190,138)", comments: "A certain portion of all flows (trays with cases, trays of 1.x compartments and trays containing non 1.x compartments) will fail the weight check and will need an manual intervention by the prep operator. It could be a system override needed because item induction wasn't done properly or the # of items recorded in the previous manual step was incorrect. Once corrected, the prep cell will send the tray back to the inbound connector for planned processing", containers_per_stack: "", throughput_per_minute: "0.0300339285714286" }]);</v>
      </c>
      <c r="U57"/>
      <c r="V57"/>
      <c r="AB57">
        <f t="shared" si="6"/>
        <v>113</v>
      </c>
      <c r="AC57" t="str">
        <f t="shared" si="0"/>
        <v>Prep_Inbound connector</v>
      </c>
      <c r="AD57" s="22" t="s">
        <v>67</v>
      </c>
      <c r="AE57" s="22" t="s">
        <v>141</v>
      </c>
      <c r="AF57" s="22" t="s">
        <v>52</v>
      </c>
      <c r="AG57" s="22" t="s">
        <v>232</v>
      </c>
      <c r="AH57" s="22" t="s">
        <v>336</v>
      </c>
      <c r="AI57" s="22" t="s">
        <v>279</v>
      </c>
      <c r="AJ57" s="22" t="s">
        <v>437</v>
      </c>
      <c r="AK57" s="22" t="s">
        <v>249</v>
      </c>
      <c r="AL57" s="22" t="s">
        <v>332</v>
      </c>
      <c r="AM57" s="22">
        <f t="shared" si="7"/>
        <v>14</v>
      </c>
      <c r="AN57" s="22" t="s">
        <v>587</v>
      </c>
      <c r="AP57" s="10">
        <f>AP54+AP51</f>
        <v>0.40333333333333338</v>
      </c>
      <c r="AQ57" s="12" t="str">
        <f t="shared" ref="AQ57:AQ101" si="13">VLOOKUP(AF57,$S$43:$T$53,2,FALSE)</f>
        <v>rgb(239,90,104)</v>
      </c>
      <c r="AR57" s="12" t="str">
        <f t="shared" ref="AR57:AR101" si="14">VLOOKUP(AH57,$W$43:$X$53,2,FALSE)</f>
        <v>rgb(113,190,138)</v>
      </c>
      <c r="AS57" t="str">
        <f t="shared" ref="AS57:AS101" si="15">VLOOKUP(AL57,$U$43:$V$53,2,FALSE)&amp;ROUND(AP57,2)&amp;"_"&amp;AF57&amp;"_"&amp;AG57&amp;"_"&amp;AH57&amp;"_"&amp;AK57</f>
        <v>←0.4_Tray_Single_Full_Widthwise</v>
      </c>
      <c r="AT57" t="str">
        <f t="shared" ref="AT57:AT101" si="16">AD57&amp;" ["&amp;ROUND(AP57,2)&amp;"] "&amp;AE57</f>
        <v>Prep [0.4] Inbound connector</v>
      </c>
      <c r="AU57" s="22"/>
      <c r="AV57" t="str">
        <f t="shared" si="5"/>
        <v xml:space="preserve">
{ from: "Prep", to: "Inbound connector", long_text: "0.4_Tray_Single", short_text: "0.4", fromSpot: "LeftSide", toSpot: "RightSide", container: "Tray", form: "Single", state: "Full", content: "Casepack", size: "Standard", flow_id: "Prep_Inbound connector", sequence_id: "14", orientation: "Widthwise", flow_color: "rgb(239,90,104)", arrowhead_color: "rgb(113,190,138)", comments: "Trays with casepacks and their contents are being verified for accuracy using scales", containers_per_stack: "", throughput_per_minute: "0.403333333333333" },</v>
      </c>
      <c r="AW57"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
{ from: "Prep", to: "Inbound connector", long_text: "0.4_Tray_Single", short_text: "0.4", fromSpot: "LeftSide", toSpot: "RightSide", container: "Tray", form: "Single", state: "Full", content: "Casepack", size: "Standard", flow_id: "Prep_Inbound connector", sequence_id: "14", orientation: "Widthwise", flow_color: "rgb(239,90,104)", arrowhead_color: "rgb(113,190,138)", comments: "Trays with casepacks and their contents are being verified for accuracy using scales", containers_per_stack: "", throughput_per_minute: "0.403333333333333" },</v>
      </c>
    </row>
    <row r="58" spans="1:49" ht="16" thickBot="1">
      <c r="A58" s="225"/>
      <c r="F58" s="65" t="str">
        <f>Metrics!G27</f>
        <v>1.t</v>
      </c>
      <c r="G58" s="262">
        <f>Metrics!H27</f>
        <v>0.1</v>
      </c>
      <c r="H58"/>
      <c r="I58"/>
      <c r="J58"/>
      <c r="K58"/>
      <c r="L58"/>
      <c r="M58"/>
      <c r="N58"/>
      <c r="O58"/>
      <c r="P58"/>
      <c r="Q58"/>
      <c r="R58"/>
      <c r="S58" t="s">
        <v>408</v>
      </c>
      <c r="T58" t="str">
        <f>CONCATENATE("[  ",CLEAN(VLOOKUP("last",X:AA,4,FALSE)),"[ ",CLEAN(AW59))</f>
        <v>[  { key: "MR", loc: new go.Point(630, 385), release: "Beta 1a" },{ key: "PMR", group: "Inbound", loc: new go.Point(980, 70), release: "Beta 1a" },{ key: "Stacker", isGroup: true},{ key: "Stacking", group: "Stacker", loc: new go.Point(280, 437.5), release: "Beta 1a" },{ key: "Destacking", group: "Stacker", loc: new go.Point(280, 385), release: "Beta 1a" },{ key: "Shuffler", loc: new go.Point(70, 437.5), release: "HDS # 1" },{ key: "Stack handler", loc: new go.Point(490, 385), release: "Beta 1a" },{ key: "Pallet handler", group: "Inbound", loc: new go.Point(840, 70), release: "HDS # 1" },{ key: "Trashbaler", loc: new go.Point(980, 210), release: "HDS # 1" },{ key: "Depalletizer", group: "Inbound", loc: new go.Point(840, 140), release: "HDS # 1" },{ key: "Case receiving frontend", group: "Case receiving", loc: new go.Point(630, 140), release: "HDS # 1" },{ key: "Case receiving backend", group: "Case receiving", loc: new go.Point(630, 210), release: "HDS # 1" },{ key: "Master dispenser", loc: new go.Point(840, 245), release: "Beta 1a" },{ key: "Manual receiving frontend", group: "Manual receiving", loc: new go.Point(420, 140), release: "Beta 1a" },{ key: "Manual receiving backend", group: "Manual receiving", loc: new go.Point(420, 210), release: "Beta 1a" },{ key: "Prep", loc: new go.Point(245, 210), release: "Beta 1a" },{ key: "Traybreaker", loc: new go.Point(280, 280), release: "Beta 1a" },{ key: "Inbound connector", loc: new go.Point(70, 210), release: "Beta 1a" },{ key: "Traymaker", loc: new go.Point(-126, 210), release: "Beta 1a" },{ key: "Outbound connector", loc: new go.Point(70, 350), release: "Beta 1a" },{ key: "Tray wash", loc: new go.Point(245, 140), release: "HDS # 1" },{ key: "Inbound", isGroup: true},{ key: "Case receiving", isGroup: true},{ key: "Manual receiving", isGroup: true}],[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 from: "Prep", to: "Inbound connector", long_text: "0.4_Tray_Single", short_text: "0.4", fromSpot: "LeftSide", toSpot: "RightSide", container: "Tray", form: "Single", state: "Full", content: "Casepack", size: "Standard", flow_id: "Prep_Inbound connector", sequence_id: "14", orientation: "Widthwise", flow_color: "rgb(239,90,104)", arrowhead_color: "rgb(113,190,138)", comments: "Trays with casepacks and their contents are being verified for accuracy using scales", containers_per_stack: "", throughput_per_minute: "0.403333333333333" },{ from: "Inbound connector", to: "Traymaker", long_text: "0.77_Compartment_Single", short_text: "0.77", fromSpot: "LeftSide", toSpot: "RightSide", container: "Compartment", form: "Single", state: "Full", content: "Compartment", size: "Non 1.x (2.m:21%, 2.t:21%, 4.m:36%, 8.s:21%", flow_id: "Inbound connector_Traymaker", sequence_id: "15", orientation: "Widthwise", flow_color: "rgb(212,221,218)", arrowhead_color: "rgb(113,190,138)", comments: "Non 1.x containers which need to be constituted into appropriate tray configuration head towards the traymaker using the outfeed lane of the inbound connector cell", containers_per_stack: "", throughput_per_minute: "0.768854166666667" },{ from: "MR", to: "Stack handler", long_text: "0.1_Tray_Stack", short_text: "0.1", fromSpot: "LeftSide", toSpot: "RightSide", container: "Tray", form: "Stack", state: "Empty", content: "Casepack", size: "Standard", flow_id: "MR_Stack handler", sequence_id: "16", orientation: "Widthwise", flow_color: "rgb(239,90,104)", arrowhead_color: "rgb(194,220,188)", comments: "This flow of empty traystacks will be used to receive casepacks", containers_per_stack: "4", throughput_per_minute: "0.100833333333333" },</v>
      </c>
      <c r="U58" t="str">
        <f>CLEAN(AW78)</f>
        <v>{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 from: "Traybreaker", to: "Inbound connector", long_text: "1.49_Tray_Single", short_text: "1.49", fromSpot: "LeftSide", toSpot: "RightSide", container: "Tray", form: "Single", state: "Empty", content: "Trayframe", size: "Standard", flow_id: "Traybreaker_Inbound connector", sequence_id: "33", orientation: "Widthwise", flow_color: "rgb(239,90,104)", arrowhead_color: "rgb(194,220,188)", comments: "After traybreaking, empty trayframes move from spur3 in the traybreaker cell to the inbound connector", containers_per_stack: "", throughput_per_minute: "1.49244700542114" },{ from: "Inbound connector", to: "Traymaker", long_text: "3.59_Compartment_Single", short_text: "3.59", fromSpot: "LeftSide", toSpot: "RightSide", container: "Compartment", form: "Single", state: "Full", content: "Compartment", size: "Non 1.x (2.m:21%, 2.t:21%, 4.m:36%, 8.s:21%", flow_id: "Inbound connector_Traymaker", sequence_id: "34", orientation: "Widthwise", flow_color: "rgb(212,221,218)", arrowhead_color: "rgb(113,190,138)", comments: "This represents the non empty compartments which need to go back to the traymaking process for reconstitution with other compartments", containers_per_stack: "", throughput_per_minute: "3.58760052168457" },{ from: "Inbound connector", to: "Traymaker", long_text: "1.09_Tray_Single", short_text: "1.09", fromSpot: "LeftSide", toSpot: "RightSide", container: "Tray", form: "Single", state: "Empty", content: "Trayframe", size: "Standard", flow_id: "Inbound connector_Traymaker", sequence_id: "35", orientation: "Widthwise", flow_color: "rgb(239,90,104)", arrowhead_color: "rgb(194,220,188)", comments: "A certain number of trayframes will now be directed from the inbound connector to the traymaker- this will be used to house the newly formed trays after the traymaking process", containers_per_stack: "", throughput_per_minute: "1.08911367208781" },</v>
      </c>
      <c r="V58" t="str">
        <f>CLEAN(VLOOKUP("last",AU:AW,3,FALSE))</f>
        <v>{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 from: "Prep", to: "Inbound connector", long_text: "0.15_Compartment_Single", short_text: "0.15", fromSpot: "LeftSide", toSpot: "RightSide", container: "Compartment", form: "Single", state: "Empty", content: "Compartment", size: "Non 1.x (2.m:21%, 2.t:21%, 4.m:36%, 8.s:21%", flow_id: "Prep_Inbound connector", sequence_id: "64", orientation: "Widthwise", flow_color: "rgb(212,221,218)", arrowhead_color: "rgb(194,220,188)", comments: "The cleaned up non 1.x compartment is sent back to the inbound connector", containers_per_stack: "", throughput_per_minute: "0.153770833333333" },{ from: "Prep", to: "Prep", long_text: "0.03_All_Single", short_text: "0.03", fromSpot: "BottomSide", toSpot: "TopSide", container: "All", form: "Single", state: "Full", content: "Mixed", size: "Mixed", flow_id: "Prep_Prep", sequence_id: "65", orientation: "Widthwise", flow_color: "rgb(144,166,248) ", arrowhead_color: "rgb(113,190,138)", comments: "A certain portion of all flows (trays with cases, trays of 1.x compartments and trays containing non 1.x compartments) will fail the weight check and will need an manual intervention by the prep operator. It could be a system override needed because item induction wasn't done properly or the # of items recorded in the previous manual step was incorrect. Once corrected, the prep cell will send the tray back to the inbound connector for planned processing", containers_per_stack: "", throughput_per_minute: "0.0300339285714286" }]);</v>
      </c>
      <c r="AB58">
        <f t="shared" si="6"/>
        <v>114</v>
      </c>
      <c r="AC58" t="str">
        <f t="shared" si="0"/>
        <v>Inbound connector_Traymaker</v>
      </c>
      <c r="AD58" s="22" t="s">
        <v>141</v>
      </c>
      <c r="AE58" s="22" t="s">
        <v>71</v>
      </c>
      <c r="AF58" s="22" t="s">
        <v>435</v>
      </c>
      <c r="AG58" s="22" t="s">
        <v>232</v>
      </c>
      <c r="AH58" s="22" t="s">
        <v>336</v>
      </c>
      <c r="AI58" s="22" t="s">
        <v>435</v>
      </c>
      <c r="AJ58" s="22" t="s">
        <v>444</v>
      </c>
      <c r="AK58" s="22" t="s">
        <v>249</v>
      </c>
      <c r="AL58" s="22" t="s">
        <v>332</v>
      </c>
      <c r="AM58" s="22">
        <f t="shared" si="7"/>
        <v>15</v>
      </c>
      <c r="AN58" s="22" t="s">
        <v>588</v>
      </c>
      <c r="AP58" s="12">
        <f>AP55</f>
        <v>0.76885416666666662</v>
      </c>
      <c r="AQ58" s="12" t="str">
        <f t="shared" si="13"/>
        <v>rgb(212,221,218)</v>
      </c>
      <c r="AR58" s="12" t="str">
        <f t="shared" si="14"/>
        <v>rgb(113,190,138)</v>
      </c>
      <c r="AS58" t="str">
        <f t="shared" si="15"/>
        <v>←0.77_Compartment_Single_Full_Widthwise</v>
      </c>
      <c r="AT58" t="str">
        <f t="shared" si="16"/>
        <v>Inbound connector [0.77] Traymaker</v>
      </c>
      <c r="AU58" s="22"/>
      <c r="AV58" t="str">
        <f t="shared" si="5"/>
        <v xml:space="preserve">
{ from: "Inbound connector", to: "Traymaker", long_text: "0.77_Compartment_Single", short_text: "0.77", fromSpot: "LeftSide", toSpot: "RightSide", container: "Compartment", form: "Single", state: "Full", content: "Compartment", size: "Non 1.x (2.m:21%, 2.t:21%, 4.m:36%, 8.s:21%", flow_id: "Inbound connector_Traymaker", sequence_id: "15", orientation: "Widthwise", flow_color: "rgb(212,221,218)", arrowhead_color: "rgb(113,190,138)", comments: "Non 1.x containers which need to be constituted into appropriate tray configuration head towards the traymaker using the outfeed lane of the inbound connector cell", containers_per_stack: "", throughput_per_minute: "0.768854166666667" },</v>
      </c>
      <c r="AW58"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
{ from: "Prep", to: "Inbound connector", long_text: "0.4_Tray_Single", short_text: "0.4", fromSpot: "LeftSide", toSpot: "RightSide", container: "Tray", form: "Single", state: "Full", content: "Casepack", size: "Standard", flow_id: "Prep_Inbound connector", sequence_id: "14", orientation: "Widthwise", flow_color: "rgb(239,90,104)", arrowhead_color: "rgb(113,190,138)", comments: "Trays with casepacks and their contents are being verified for accuracy using scales", containers_per_stack: "", throughput_per_minute: "0.403333333333333" },
{ from: "Inbound connector", to: "Traymaker", long_text: "0.77_Compartment_Single", short_text: "0.77", fromSpot: "LeftSide", toSpot: "RightSide", container: "Compartment", form: "Single", state: "Full", content: "Compartment", size: "Non 1.x (2.m:21%, 2.t:21%, 4.m:36%, 8.s:21%", flow_id: "Inbound connector_Traymaker", sequence_id: "15", orientation: "Widthwise", flow_color: "rgb(212,221,218)", arrowhead_color: "rgb(113,190,138)", comments: "Non 1.x containers which need to be constituted into appropriate tray configuration head towards the traymaker using the outfeed lane of the inbound connector cell", containers_per_stack: "", throughput_per_minute: "0.768854166666667" },</v>
      </c>
    </row>
    <row r="59" spans="1:49" ht="16" thickBot="1">
      <c r="A59" s="225"/>
      <c r="F59" s="65" t="str">
        <f>Metrics!G28</f>
        <v>2.m</v>
      </c>
      <c r="G59" s="262">
        <f>Metrics!H28</f>
        <v>0.15</v>
      </c>
      <c r="H59"/>
      <c r="I59"/>
      <c r="J59"/>
      <c r="K59"/>
      <c r="L59"/>
      <c r="M59"/>
      <c r="N59"/>
      <c r="O59"/>
      <c r="P59"/>
      <c r="Q59"/>
      <c r="R59"/>
      <c r="S59"/>
      <c r="T59"/>
      <c r="U59"/>
      <c r="V59" s="27" t="s">
        <v>398</v>
      </c>
      <c r="W59" s="240" t="s">
        <v>410</v>
      </c>
      <c r="X59" s="241">
        <v>0.7</v>
      </c>
      <c r="Y59" s="27"/>
      <c r="AB59">
        <f t="shared" si="6"/>
        <v>115</v>
      </c>
      <c r="AC59" t="str">
        <f t="shared" si="0"/>
        <v>MR_Stack handler</v>
      </c>
      <c r="AD59" s="22" t="s">
        <v>160</v>
      </c>
      <c r="AE59" s="22" t="s">
        <v>122</v>
      </c>
      <c r="AF59" s="22" t="s">
        <v>52</v>
      </c>
      <c r="AG59" s="22" t="s">
        <v>262</v>
      </c>
      <c r="AH59" s="22" t="s">
        <v>337</v>
      </c>
      <c r="AI59" s="22" t="s">
        <v>279</v>
      </c>
      <c r="AJ59" s="22" t="s">
        <v>437</v>
      </c>
      <c r="AK59" s="22" t="s">
        <v>249</v>
      </c>
      <c r="AL59" s="22" t="s">
        <v>332</v>
      </c>
      <c r="AM59" s="22">
        <f t="shared" si="7"/>
        <v>16</v>
      </c>
      <c r="AN59" s="22" t="s">
        <v>589</v>
      </c>
      <c r="AO59" s="12">
        <f>$G$79</f>
        <v>4</v>
      </c>
      <c r="AP59" s="12">
        <f>G95/G79</f>
        <v>0.10083333333333334</v>
      </c>
      <c r="AQ59" s="12" t="str">
        <f t="shared" si="13"/>
        <v>rgb(239,90,104)</v>
      </c>
      <c r="AR59" s="12" t="str">
        <f t="shared" si="14"/>
        <v>rgb(194,220,188)</v>
      </c>
      <c r="AS59" t="str">
        <f t="shared" si="15"/>
        <v>←0.1_Tray_Stack_Empty_Widthwise</v>
      </c>
      <c r="AT59" t="str">
        <f t="shared" si="16"/>
        <v>MR [0.1] Stack handler</v>
      </c>
      <c r="AU59" s="22"/>
      <c r="AV59" t="str">
        <f t="shared" si="5"/>
        <v xml:space="preserve">
{ from: "MR", to: "Stack handler", long_text: "0.1_Tray_Stack", short_text: "0.1", fromSpot: "LeftSide", toSpot: "RightSide", container: "Tray", form: "Stack", state: "Empty", content: "Casepack", size: "Standard", flow_id: "MR_Stack handler", sequence_id: "16", orientation: "Widthwise", flow_color: "rgb(239,90,104)", arrowhead_color: "rgb(194,220,188)", comments: "This flow of empty traystacks will be used to receive casepacks", containers_per_stack: "4", throughput_per_minute: "0.100833333333333" },</v>
      </c>
      <c r="AW59" t="str">
        <f t="shared" si="8"/>
        <v xml:space="preserve">
{ from: "PMR", to: "Pallet handler", long_text: "0.02_Pallet_Single", short_text: "0.02", fromSpot: "LeftSide", toSpot: "RightSide", container: "Pallet", form: "Single", state: "Full", content: "Layer", size: "Standard", flow_id: "PMR_Pallet handler", sequence_id: "1", orientation: "Widthwise", flow_color: "rgb(199,227,114)", arrowhead_color: "rgb(113,190,138)", comments: "Pallets are brought into receiving from the inbound dock or pallet storage area via PMRs. Each PMR is capable of transporting 1 pallet at a time..", containers_per_stack: "", throughput_per_minute: "0.0244205729166667" },
{ from: "Pallet handler", to: "Depalletizer", long_text: "0.02_Pallet_Single", short_text: "0.02", fromSpot: "BottomSide", toSpot: "TopSide", container: "Pallet", form: "Single", state: "Full", content: "Layer", size: "Standard", flow_id: "Pallet handler_Depalletizer", sequence_id: "2", orientation: "Widthwise", flow_color: "rgb(199,227,114)", arrowhead_color: "rgb(113,190,138)", comments: "Pallets are conveyed from the pallet handler after being handed off by the PMR into the depalletizer cell which has the ability to  present 1 pallet at a time to operators working at an elevated platform", containers_per_stack: "", throughput_per_minute: "0.0244205729166667" },
{ from: "Depalletizer", to: "Case receiving frontend", long_text: "1.17_Case_Single", short_text: "1.17", fromSpot: "LeftSide", toSpot: "RightSide", container: "Case", form: "Single", state: "Full", content: "Casepack", size: "Standard", flow_id: "Depalletizer_Case receiving frontend", sequence_id: "3", orientation: "Widthwise", flow_color: "rgb(154,208,220)", arrowhead_color: "rgb(113,190,138)", comments: "Operators process layers of pallets and pass along cases of product to the next steps in the process", containers_per_stack: "", throughput_per_minute: "1.1721875" },
{ from: "Case receiving frontend", to: "Case receiving backend", long_text: "0.36_Case_Single", short_text: "0.36", fromSpot: "BottomSide", toSpot: "TopSide", container: "Case", form: "Single", state: "Full", content: "Casepack", size: "Standard", flow_id: "Case receiving frontend_Case receiving backend", sequence_id: "4", orientation: "Widthwise", flow_color: "rgb(154,208,220)", arrowhead_color: "rgb(113,190,138)", comments: "A high percentage of SKUs that get sold as casepacks will be directed to the case receiving backend cell for automated induction into trays", containers_per_stack: "", throughput_per_minute: "0.363" },
{ from: "Case receiving backend", to: "Manual receiving backend", long_text: "0.36_Tray_Single", short_text: "0.36", fromSpot: "LeftSide", toSpot: "RightSide", container: "Tray", form: "Single", state: "Full", content: "Casepack", size: "Standard", flow_id: "Case receiving backend_Manual receiving backend", sequence_id: "5", orientation: "Widthwise", flow_color: "rgb(239,90,104)", arrowhead_color: "rgb(113,190,138)", comments: "Casepacks in trays are then passed along to the manual receiving backend cell via the lower lane", containers_per_stack: "", throughput_per_minute: "0.363" },
{ from: "Case receiving frontend", to: "Manual receiving frontend", long_text: "0.81_Case_Single", short_text: "0.81", fromSpot: "LeftSide", toSpot: "RightSide", container: "Case", form: "Single", state: "Full", content: "Casepack", size: "Standard", flow_id: "Case receiving frontend_Manual receiving frontend", sequence_id: "6", orientation: "Widthwise", flow_color: "rgb(154,208,220)", arrowhead_color: "rgb(113,190,138)", comments: "The remaining cases use the passthrough lane to come to the manual receiving frontend cell", containers_per_stack: "", throughput_per_minute: "0.8091875" },
{ from: "Manual receiving frontend", to: "Manual receiving backend", long_text: "0.81_Case_Single", short_text: "0.81", fromSpot: "BottomSide", toSpot: "TopSide", container: "Case", form: "Single", state: "Full", content: "Casepack", size: "Standard", flow_id: "Manual receiving frontend_Manual receiving backend", sequence_id: "7", orientation: "Widthwise", flow_color: "rgb(154,208,220)", arrowhead_color: "rgb(113,190,138)", comments: "SKUs that need to be decanted into individual compartments show up in the manual receiving backend cell as cases where the operator unloads them into system recommended containers. This cell also has the ability to process SKUs that arrive via carts or manual jacks", containers_per_stack: "", throughput_per_minute: "0.8091875" },
{ from: "Manual receiving backend", to: "Prep", long_text: "0.04_Tray_Single", short_text: "0.04", fromSpot: "LeftSide", toSpot: "RightSide", container: "Tray", form: "Single", state: "Full", content: "Casepack", size: "Standard", flow_id: "Manual receiving backend_Prep", sequence_id: "8", orientation: "Widthwise", flow_color: "rgb(239,90,104)", arrowhead_color: "rgb(113,190,138)", comments: "This flow represents casepacks that need manual assistance for being transferred into trays", containers_per_stack: "", throughput_per_minute: "0.0403333333333333" },
{ from: "Manual receiving backend", to: "Prep", long_text: "0.77_Compartment_Single", short_text: "0.77", fromSpot: "LeftSide", toSpot: "RightSide", container: "Compartment", form: "Single", state: "Full", content: "Compartment", size: "Non 1.x (2.m:21%, 2.t:21%, 4.m:36%, 8.s:21%", flow_id: "Manual receiving backend_Prep", sequence_id: "9", orientation: "Widthwise", flow_color: "rgb(212,221,218)", arrowhead_color: "rgb(113,190,138)", comments: "SKUs that get decanted into non 1.x containers will need to eventually go to the traymaker for being combined into viable trays", containers_per_stack: "", throughput_per_minute: "0.768854166666667" },
{ from: "Manual receiving backend", to: "Prep", long_text: "0.33_Tray_Single", short_text: "0.33", fromSpot: "LeftSide", toSpot: "RightSide", container: "Tray", form: "Single", state: "Full", content: "Compartment", size: "1.x", flow_id: "Manual receiving backend_Prep", sequence_id: "10", orientation: "Widthwise", flow_color: "rgb(239,90,104)", arrowhead_color: "rgb(113,190,138)", comments: "This flow represents 1.x compartments which bypass the traymaking process", containers_per_stack: "", throughput_per_minute: "0.329508928571429" },
{ from: "Manual receiving backend", to: "Prep", long_text: "0.36_Tray_Single", short_text: "0.36", fromSpot: "LeftSide", toSpot: "RightSide", container: "Tray", form: "Single", state: "Full", content: "Casepack", size: "Standard", flow_id: "Manual receiving backend_Prep", sequence_id: "11", orientation: "Widthwise", flow_color: "rgb(239,90,104)", arrowhead_color: "rgb(113,190,138)", comments: "This the flow which is inherited from the upstream process of automated casepack receiving cell", containers_per_stack: "", throughput_per_minute: "0.363" },
{ from: "Prep", to: "Inbound connector", long_text: "0.77_Compartment_Single", short_text: "0.77", fromSpot: "LeftSide", toSpot: "RightSide", container: "Compartment", form: "Single", state: "Full", content: "Compartment", size: "Non 1.x (2.m:21%, 2.t:21%, 4.m:36%, 8.s:21%", flow_id: "Prep_Inbound connector", sequence_id: "12", orientation: "Widthwise", flow_color: "rgb(212,221,218)", arrowhead_color: "rgb(113,190,138)", comments: "Non 1.x containers and their contents are being verified for accuracy using scales", containers_per_stack: "", throughput_per_minute: "0.768854166666667" },
{ from: "Prep", to: "Inbound connector", long_text: "0.33_Tray_Single", short_text: "0.33", fromSpot: "LeftSide", toSpot: "RightSide", container: "Tray", form: "Single", state: "Full", content: "Compartment", size: "1.x", flow_id: "Prep_Inbound connector", sequence_id: "13", orientation: "Widthwise", flow_color: "rgb(239,90,104)", arrowhead_color: "rgb(113,190,138)", comments: "1.x containers and their contents are being verified for accuracy using scales", containers_per_stack: "", throughput_per_minute: "0.329508928571429" },
{ from: "Prep", to: "Inbound connector", long_text: "0.4_Tray_Single", short_text: "0.4", fromSpot: "LeftSide", toSpot: "RightSide", container: "Tray", form: "Single", state: "Full", content: "Casepack", size: "Standard", flow_id: "Prep_Inbound connector", sequence_id: "14", orientation: "Widthwise", flow_color: "rgb(239,90,104)", arrowhead_color: "rgb(113,190,138)", comments: "Trays with casepacks and their contents are being verified for accuracy using scales", containers_per_stack: "", throughput_per_minute: "0.403333333333333" },
{ from: "Inbound connector", to: "Traymaker", long_text: "0.77_Compartment_Single", short_text: "0.77", fromSpot: "LeftSide", toSpot: "RightSide", container: "Compartment", form: "Single", state: "Full", content: "Compartment", size: "Non 1.x (2.m:21%, 2.t:21%, 4.m:36%, 8.s:21%", flow_id: "Inbound connector_Traymaker", sequence_id: "15", orientation: "Widthwise", flow_color: "rgb(212,221,218)", arrowhead_color: "rgb(113,190,138)", comments: "Non 1.x containers which need to be constituted into appropriate tray configuration head towards the traymaker using the outfeed lane of the inbound connector cell", containers_per_stack: "", throughput_per_minute: "0.768854166666667" },
{ from: "MR", to: "Stack handler", long_text: "0.1_Tray_Stack", short_text: "0.1", fromSpot: "LeftSide", toSpot: "RightSide", container: "Tray", form: "Stack", state: "Empty", content: "Casepack", size: "Standard", flow_id: "MR_Stack handler", sequence_id: "16", orientation: "Widthwise", flow_color: "rgb(239,90,104)", arrowhead_color: "rgb(194,220,188)", comments: "This flow of empty traystacks will be used to receive casepacks", containers_per_stack: "4", throughput_per_minute: "0.100833333333333" },</v>
      </c>
    </row>
    <row r="60" spans="1:49">
      <c r="A60" s="225"/>
      <c r="F60" s="65" t="str">
        <f>Metrics!G29</f>
        <v>2.t</v>
      </c>
      <c r="G60" s="262">
        <f>Metrics!H29</f>
        <v>0.15</v>
      </c>
      <c r="H60"/>
      <c r="I60"/>
      <c r="J60"/>
      <c r="K60"/>
      <c r="L60"/>
      <c r="M60"/>
      <c r="N60"/>
      <c r="O60"/>
      <c r="P60"/>
      <c r="Q60"/>
      <c r="R60"/>
      <c r="S60" s="27" t="s">
        <v>105</v>
      </c>
      <c r="T60" s="27" t="s">
        <v>395</v>
      </c>
      <c r="U60" s="27" t="s">
        <v>396</v>
      </c>
      <c r="V60" s="239" t="s">
        <v>199</v>
      </c>
      <c r="W60" s="27" t="s">
        <v>397</v>
      </c>
      <c r="X60" s="27" t="s">
        <v>401</v>
      </c>
      <c r="Y60" s="27" t="s">
        <v>469</v>
      </c>
      <c r="Z60" s="27" t="s">
        <v>400</v>
      </c>
      <c r="AA60" s="27" t="s">
        <v>404</v>
      </c>
      <c r="AB60">
        <f t="shared" si="6"/>
        <v>116</v>
      </c>
      <c r="AC60" t="str">
        <f t="shared" si="0"/>
        <v>MR_Stack handler</v>
      </c>
      <c r="AD60" s="22" t="s">
        <v>160</v>
      </c>
      <c r="AE60" s="22" t="s">
        <v>122</v>
      </c>
      <c r="AF60" s="22" t="s">
        <v>52</v>
      </c>
      <c r="AG60" s="22" t="s">
        <v>262</v>
      </c>
      <c r="AH60" s="22" t="s">
        <v>337</v>
      </c>
      <c r="AI60" s="22" t="s">
        <v>435</v>
      </c>
      <c r="AJ60" s="22" t="s">
        <v>237</v>
      </c>
      <c r="AK60" s="22" t="s">
        <v>249</v>
      </c>
      <c r="AL60" s="22" t="s">
        <v>332</v>
      </c>
      <c r="AM60" s="22">
        <f t="shared" si="7"/>
        <v>17</v>
      </c>
      <c r="AN60" s="22" t="s">
        <v>590</v>
      </c>
      <c r="AO60" s="12">
        <f>$G$79</f>
        <v>4</v>
      </c>
      <c r="AP60" s="12">
        <f>G94/G79</f>
        <v>8.2377232142857151E-2</v>
      </c>
      <c r="AQ60" s="12" t="str">
        <f t="shared" si="13"/>
        <v>rgb(239,90,104)</v>
      </c>
      <c r="AR60" s="12" t="str">
        <f t="shared" si="14"/>
        <v>rgb(194,220,188)</v>
      </c>
      <c r="AS60" t="str">
        <f t="shared" si="15"/>
        <v>←0.08_Tray_Stack_Empty_Widthwise</v>
      </c>
      <c r="AT60" t="str">
        <f t="shared" si="16"/>
        <v>MR [0.08] Stack handler</v>
      </c>
      <c r="AU60" s="22" t="s">
        <v>512</v>
      </c>
      <c r="AV60" t="str">
        <f t="shared" si="5"/>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v>
      </c>
      <c r="AW60"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v>
      </c>
    </row>
    <row r="61" spans="1:49">
      <c r="A61" s="225"/>
      <c r="F61" s="65" t="str">
        <f>Metrics!G30</f>
        <v>4.m</v>
      </c>
      <c r="G61" s="262">
        <f>Metrics!H30</f>
        <v>0.25</v>
      </c>
      <c r="H61"/>
      <c r="I61"/>
      <c r="J61"/>
      <c r="K61"/>
      <c r="L61"/>
      <c r="M61"/>
      <c r="N61"/>
      <c r="O61"/>
      <c r="P61"/>
      <c r="Q61"/>
      <c r="R61"/>
      <c r="S61" s="242" t="s">
        <v>160</v>
      </c>
      <c r="T61" s="22"/>
      <c r="U61" s="22"/>
      <c r="V61" s="22">
        <v>900</v>
      </c>
      <c r="W61" s="22">
        <v>550</v>
      </c>
      <c r="X61" s="22" t="s">
        <v>402</v>
      </c>
      <c r="Y61" s="22" t="s">
        <v>467</v>
      </c>
      <c r="Z61" t="str">
        <f>IF(X61="first","","")&amp;CHAR(10)&amp;"{ key: """&amp;S61&amp;""""&amp;IF(T61&lt;&gt;"",", isGroup: true","")&amp;IF(U61&lt;&gt;"",", group: """&amp;U61&amp;"""","")&amp;IF(T61&lt;&gt;"","}",", loc: new go.Point("&amp;V61*$X$59&amp;", "&amp;W61*$X$59&amp;"), release: """&amp;Y61&amp;""" }")&amp;IF(X61="last","],",",")</f>
        <v xml:space="preserve">
{ key: "MR", loc: new go.Point(630, 385), release: "Beta 1a" },</v>
      </c>
      <c r="AA61" t="str">
        <f>Z61</f>
        <v xml:space="preserve">
{ key: "MR", loc: new go.Point(630, 385), release: "Beta 1a" },</v>
      </c>
      <c r="AB61">
        <f t="shared" si="6"/>
        <v>117</v>
      </c>
      <c r="AC61" t="str">
        <f t="shared" si="0"/>
        <v>MR_Stack handler</v>
      </c>
      <c r="AD61" s="242" t="s">
        <v>160</v>
      </c>
      <c r="AE61" s="242" t="s">
        <v>122</v>
      </c>
      <c r="AF61" s="22" t="s">
        <v>52</v>
      </c>
      <c r="AG61" s="22" t="s">
        <v>262</v>
      </c>
      <c r="AH61" s="22" t="s">
        <v>335</v>
      </c>
      <c r="AI61" s="22" t="s">
        <v>435</v>
      </c>
      <c r="AJ61" s="22" t="s">
        <v>444</v>
      </c>
      <c r="AK61" s="22" t="s">
        <v>249</v>
      </c>
      <c r="AL61" s="22" t="s">
        <v>332</v>
      </c>
      <c r="AM61" s="22">
        <f t="shared" si="7"/>
        <v>18</v>
      </c>
      <c r="AN61" s="22" t="s">
        <v>591</v>
      </c>
      <c r="AO61" s="12">
        <f>$G$79</f>
        <v>4</v>
      </c>
      <c r="AP61" s="12">
        <f>G93/G79</f>
        <v>0.17473958333333331</v>
      </c>
      <c r="AQ61" s="12" t="str">
        <f t="shared" si="13"/>
        <v>rgb(239,90,104)</v>
      </c>
      <c r="AR61" s="12" t="str">
        <f t="shared" si="14"/>
        <v>rgb(162,212,171)</v>
      </c>
      <c r="AS61" t="str">
        <f t="shared" si="15"/>
        <v>←0.17_Tray_Stack_Partial_Widthwise</v>
      </c>
      <c r="AT61" t="str">
        <f t="shared" si="16"/>
        <v>MR [0.17] Stack handler</v>
      </c>
      <c r="AU61" s="22"/>
      <c r="AV61" t="str">
        <f t="shared" si="5"/>
        <v xml:space="preserve">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v>
      </c>
      <c r="AW61"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v>
      </c>
    </row>
    <row r="62" spans="1:49">
      <c r="A62" s="225"/>
      <c r="F62" s="65" t="str">
        <f>Metrics!G31</f>
        <v>8.s</v>
      </c>
      <c r="G62" s="262">
        <f>Metrics!H31</f>
        <v>0.14999999999999991</v>
      </c>
      <c r="H62"/>
      <c r="I62"/>
      <c r="J62"/>
      <c r="K62"/>
      <c r="L62"/>
      <c r="M62"/>
      <c r="N62"/>
      <c r="O62"/>
      <c r="P62"/>
      <c r="Q62"/>
      <c r="R62"/>
      <c r="S62" s="242" t="s">
        <v>157</v>
      </c>
      <c r="T62" s="22"/>
      <c r="U62" s="22" t="s">
        <v>76</v>
      </c>
      <c r="V62" s="22">
        <v>1400</v>
      </c>
      <c r="W62" s="22">
        <v>100</v>
      </c>
      <c r="X62" s="22"/>
      <c r="Y62" s="22" t="s">
        <v>467</v>
      </c>
      <c r="Z62" t="str">
        <f t="shared" ref="Z62:Z63" si="17">IF(X62="first","","")&amp;CHAR(10)&amp;"{ key: """&amp;S62&amp;""""&amp;IF(T62&lt;&gt;"",", isGroup: true","")&amp;IF(U62&lt;&gt;"",", group: """&amp;U62&amp;"""","")&amp;IF(T62&lt;&gt;"","}",", loc: new go.Point("&amp;V62*$X$59&amp;", "&amp;W62*$X$59&amp;"), release: """&amp;Y62&amp;""" }")&amp;IF(X62="last","],",",")</f>
        <v xml:space="preserve">
{ key: "PMR", group: "Inbound", loc: new go.Point(980, 70), release: "Beta 1a" },</v>
      </c>
      <c r="AA62" t="str">
        <f>AA61&amp;Z62</f>
        <v xml:space="preserve">
{ key: "MR", loc: new go.Point(630, 385), release: "Beta 1a" },
{ key: "PMR", group: "Inbound", loc: new go.Point(980, 70), release: "Beta 1a" },</v>
      </c>
      <c r="AB62">
        <f t="shared" si="6"/>
        <v>118</v>
      </c>
      <c r="AC62" t="str">
        <f t="shared" si="0"/>
        <v>MR_Stack handler</v>
      </c>
      <c r="AD62" s="22" t="s">
        <v>160</v>
      </c>
      <c r="AE62" s="22" t="s">
        <v>122</v>
      </c>
      <c r="AF62" s="22" t="s">
        <v>52</v>
      </c>
      <c r="AG62" s="22" t="s">
        <v>262</v>
      </c>
      <c r="AH62" s="22" t="s">
        <v>465</v>
      </c>
      <c r="AI62" s="22" t="s">
        <v>435</v>
      </c>
      <c r="AJ62" s="22" t="s">
        <v>444</v>
      </c>
      <c r="AK62" s="22" t="s">
        <v>249</v>
      </c>
      <c r="AL62" s="22" t="s">
        <v>332</v>
      </c>
      <c r="AM62" s="22">
        <f t="shared" si="7"/>
        <v>19</v>
      </c>
      <c r="AN62" s="22" t="s">
        <v>592</v>
      </c>
      <c r="AO62" s="12">
        <f>$G$79</f>
        <v>4</v>
      </c>
      <c r="AP62" s="12">
        <f>G102/G79</f>
        <v>9.753883468861918E-2</v>
      </c>
      <c r="AQ62" s="12" t="str">
        <f t="shared" si="13"/>
        <v>rgb(239,90,104)</v>
      </c>
      <c r="AR62" s="12" t="str">
        <f t="shared" si="14"/>
        <v>rgb(62,172,171)</v>
      </c>
      <c r="AS62" t="str">
        <f t="shared" si="15"/>
        <v>←0.1_Tray_Stack_Reorg_Widthwise</v>
      </c>
      <c r="AT62" t="str">
        <f t="shared" si="16"/>
        <v>MR [0.1] Stack handler</v>
      </c>
      <c r="AU62" s="22"/>
      <c r="AV62" t="str">
        <f t="shared" si="5"/>
        <v xml:space="preserve">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v>
      </c>
      <c r="AW62"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v>
      </c>
    </row>
    <row r="63" spans="1:49">
      <c r="A63" s="225"/>
      <c r="F63" s="65" t="str">
        <f>Metrics!G32</f>
        <v>Total</v>
      </c>
      <c r="G63" s="262">
        <f>Metrics!H32</f>
        <v>1</v>
      </c>
      <c r="H63"/>
      <c r="I63"/>
      <c r="J63"/>
      <c r="K63"/>
      <c r="L63"/>
      <c r="M63"/>
      <c r="N63"/>
      <c r="O63"/>
      <c r="P63"/>
      <c r="Q63"/>
      <c r="R63"/>
      <c r="S63" s="242" t="s">
        <v>69</v>
      </c>
      <c r="T63" s="22" t="s">
        <v>397</v>
      </c>
      <c r="U63" s="243"/>
      <c r="V63" s="22"/>
      <c r="W63" s="22"/>
      <c r="X63" s="22"/>
      <c r="Y63" s="22" t="s">
        <v>467</v>
      </c>
      <c r="Z63" t="str">
        <f t="shared" si="17"/>
        <v xml:space="preserve">
{ key: "Stacker", isGroup: true},</v>
      </c>
      <c r="AA63" t="str">
        <f t="shared" ref="AA63" si="18">AA62&amp;Z63</f>
        <v xml:space="preserve">
{ key: "MR", loc: new go.Point(630, 385), release: "Beta 1a" },
{ key: "PMR", group: "Inbound", loc: new go.Point(980, 70), release: "Beta 1a" },
{ key: "Stacker", isGroup: true},</v>
      </c>
      <c r="AB63">
        <f t="shared" si="6"/>
        <v>119</v>
      </c>
      <c r="AC63" t="str">
        <f t="shared" si="0"/>
        <v>Stack handler_Destacking</v>
      </c>
      <c r="AD63" s="22" t="s">
        <v>122</v>
      </c>
      <c r="AE63" s="22" t="s">
        <v>482</v>
      </c>
      <c r="AF63" s="22" t="s">
        <v>52</v>
      </c>
      <c r="AG63" s="22" t="s">
        <v>262</v>
      </c>
      <c r="AH63" s="22" t="s">
        <v>337</v>
      </c>
      <c r="AI63" s="22" t="s">
        <v>279</v>
      </c>
      <c r="AJ63" s="22" t="s">
        <v>437</v>
      </c>
      <c r="AK63" s="22" t="s">
        <v>249</v>
      </c>
      <c r="AL63" s="22" t="s">
        <v>332</v>
      </c>
      <c r="AM63" s="22">
        <f t="shared" si="7"/>
        <v>20</v>
      </c>
      <c r="AN63" s="22" t="s">
        <v>593</v>
      </c>
      <c r="AO63" s="12">
        <f>AO59</f>
        <v>4</v>
      </c>
      <c r="AP63" s="12">
        <f t="shared" ref="AP63:AP66" si="19">AP59</f>
        <v>0.10083333333333334</v>
      </c>
      <c r="AQ63" s="12" t="str">
        <f t="shared" si="13"/>
        <v>rgb(239,90,104)</v>
      </c>
      <c r="AR63" s="12" t="str">
        <f t="shared" si="14"/>
        <v>rgb(194,220,188)</v>
      </c>
      <c r="AS63" t="str">
        <f t="shared" si="15"/>
        <v>←0.1_Tray_Stack_Empty_Widthwise</v>
      </c>
      <c r="AT63" t="str">
        <f t="shared" si="16"/>
        <v>Stack handler [0.1] Destacking</v>
      </c>
      <c r="AU63" s="22"/>
      <c r="AV63" t="str">
        <f t="shared" si="5"/>
        <v xml:space="preserve">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v>
      </c>
      <c r="AW63"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v>
      </c>
    </row>
    <row r="64" spans="1:49">
      <c r="A64" s="225"/>
      <c r="E64" s="7" t="s">
        <v>431</v>
      </c>
      <c r="F64" s="65" t="str">
        <f>Metrics!G25</f>
        <v>1.s</v>
      </c>
      <c r="G64" s="229">
        <f>Metrics!I25</f>
        <v>12</v>
      </c>
      <c r="H64"/>
      <c r="I64"/>
      <c r="J64"/>
      <c r="K64"/>
      <c r="L64"/>
      <c r="M64"/>
      <c r="N64"/>
      <c r="O64"/>
      <c r="P64"/>
      <c r="Q64"/>
      <c r="R64"/>
      <c r="S64" s="243" t="s">
        <v>120</v>
      </c>
      <c r="T64" s="243"/>
      <c r="U64" s="243" t="s">
        <v>69</v>
      </c>
      <c r="V64" s="22">
        <v>400</v>
      </c>
      <c r="W64" s="22">
        <v>625</v>
      </c>
      <c r="X64" s="22"/>
      <c r="Y64" s="22" t="s">
        <v>467</v>
      </c>
      <c r="Z64" t="str">
        <f t="shared" ref="Z64:Z84" si="20">IF(X64="first","","")&amp;CHAR(10)&amp;"{ key: """&amp;S64&amp;""""&amp;IF(T64&lt;&gt;"",", isGroup: true","")&amp;IF(U64&lt;&gt;"",", group: """&amp;U64&amp;"""","")&amp;IF(T64&lt;&gt;"","}",", loc: new go.Point("&amp;V64*$X$59&amp;", "&amp;W64*$X$59&amp;"), release: """&amp;Y64&amp;""" }")&amp;IF(X64="last","],",",")</f>
        <v xml:space="preserve">
{ key: "Stacking", group: "Stacker", loc: new go.Point(280, 437.5), release: "Beta 1a" },</v>
      </c>
      <c r="AA64" t="str">
        <f t="shared" ref="AA64:AA84" si="21">AA63&amp;Z64</f>
        <v xml:space="preserve">
{ key: "MR", loc: new go.Point(630, 385), release: "Beta 1a" },
{ key: "PMR", group: "Inbound", loc: new go.Point(980, 70), release: "Beta 1a" },
{ key: "Stacker", isGroup: true},
{ key: "Stacking", group: "Stacker", loc: new go.Point(280, 437.5), release: "Beta 1a" },</v>
      </c>
      <c r="AB64">
        <f t="shared" si="6"/>
        <v>120</v>
      </c>
      <c r="AC64" t="str">
        <f t="shared" si="0"/>
        <v>Stack handler_Destacking</v>
      </c>
      <c r="AD64" s="22" t="s">
        <v>122</v>
      </c>
      <c r="AE64" s="22" t="s">
        <v>482</v>
      </c>
      <c r="AF64" s="22" t="s">
        <v>52</v>
      </c>
      <c r="AG64" s="22" t="s">
        <v>262</v>
      </c>
      <c r="AH64" s="22" t="s">
        <v>337</v>
      </c>
      <c r="AI64" s="22" t="s">
        <v>435</v>
      </c>
      <c r="AJ64" s="22" t="s">
        <v>237</v>
      </c>
      <c r="AK64" s="22" t="s">
        <v>249</v>
      </c>
      <c r="AL64" s="22" t="s">
        <v>332</v>
      </c>
      <c r="AM64" s="22">
        <f t="shared" si="7"/>
        <v>21</v>
      </c>
      <c r="AN64" s="22" t="s">
        <v>594</v>
      </c>
      <c r="AO64" s="12">
        <f t="shared" ref="AO64" si="22">AO60</f>
        <v>4</v>
      </c>
      <c r="AP64" s="12">
        <f t="shared" si="19"/>
        <v>8.2377232142857151E-2</v>
      </c>
      <c r="AQ64" s="12" t="str">
        <f t="shared" si="13"/>
        <v>rgb(239,90,104)</v>
      </c>
      <c r="AR64" s="12" t="str">
        <f t="shared" si="14"/>
        <v>rgb(194,220,188)</v>
      </c>
      <c r="AS64" t="str">
        <f t="shared" si="15"/>
        <v>←0.08_Tray_Stack_Empty_Widthwise</v>
      </c>
      <c r="AT64" t="str">
        <f t="shared" si="16"/>
        <v>Stack handler [0.08] Destacking</v>
      </c>
      <c r="AU64" s="22"/>
      <c r="AV64" t="str">
        <f t="shared" si="5"/>
        <v xml:space="preserve">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v>
      </c>
      <c r="AW64"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v>
      </c>
    </row>
    <row r="65" spans="1:49">
      <c r="A65" s="225"/>
      <c r="F65" s="65" t="str">
        <f>Metrics!G26</f>
        <v>1.m</v>
      </c>
      <c r="G65" s="229">
        <f>Metrics!I26</f>
        <v>12</v>
      </c>
      <c r="H65"/>
      <c r="I65"/>
      <c r="J65"/>
      <c r="K65"/>
      <c r="L65"/>
      <c r="M65"/>
      <c r="N65"/>
      <c r="O65"/>
      <c r="P65"/>
      <c r="Q65"/>
      <c r="R65"/>
      <c r="S65" s="243" t="s">
        <v>482</v>
      </c>
      <c r="T65" s="243"/>
      <c r="U65" s="243" t="s">
        <v>69</v>
      </c>
      <c r="V65" s="22">
        <v>400</v>
      </c>
      <c r="W65" s="22">
        <v>550</v>
      </c>
      <c r="X65" s="22"/>
      <c r="Y65" s="22" t="s">
        <v>467</v>
      </c>
      <c r="Z65" t="str">
        <f t="shared" si="20"/>
        <v xml:space="preserve">
{ key: "Destacking", group: "Stacker", loc: new go.Point(280, 385), release: "Beta 1a" },</v>
      </c>
      <c r="AA65"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v>
      </c>
      <c r="AB65">
        <f t="shared" si="6"/>
        <v>121</v>
      </c>
      <c r="AC65" t="str">
        <f t="shared" si="0"/>
        <v>Stack handler_Destacking</v>
      </c>
      <c r="AD65" s="22" t="s">
        <v>122</v>
      </c>
      <c r="AE65" s="22" t="s">
        <v>482</v>
      </c>
      <c r="AF65" s="22" t="s">
        <v>52</v>
      </c>
      <c r="AG65" s="22" t="s">
        <v>262</v>
      </c>
      <c r="AH65" s="22" t="s">
        <v>335</v>
      </c>
      <c r="AI65" s="22" t="s">
        <v>435</v>
      </c>
      <c r="AJ65" s="22" t="s">
        <v>444</v>
      </c>
      <c r="AK65" s="22" t="s">
        <v>249</v>
      </c>
      <c r="AL65" s="22" t="s">
        <v>332</v>
      </c>
      <c r="AM65" s="22">
        <f t="shared" si="7"/>
        <v>22</v>
      </c>
      <c r="AN65" s="22" t="s">
        <v>595</v>
      </c>
      <c r="AO65" s="10">
        <f t="shared" ref="AO65" si="23">AO61</f>
        <v>4</v>
      </c>
      <c r="AP65" s="12">
        <f t="shared" si="19"/>
        <v>0.17473958333333331</v>
      </c>
      <c r="AQ65" s="12" t="str">
        <f t="shared" si="13"/>
        <v>rgb(239,90,104)</v>
      </c>
      <c r="AR65" s="12" t="str">
        <f t="shared" si="14"/>
        <v>rgb(162,212,171)</v>
      </c>
      <c r="AS65" t="str">
        <f t="shared" si="15"/>
        <v>←0.17_Tray_Stack_Partial_Widthwise</v>
      </c>
      <c r="AT65" t="str">
        <f t="shared" si="16"/>
        <v>Stack handler [0.17] Destacking</v>
      </c>
      <c r="AU65" s="22"/>
      <c r="AV65" t="str">
        <f t="shared" si="5"/>
        <v xml:space="preserve">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v>
      </c>
      <c r="AW65"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v>
      </c>
    </row>
    <row r="66" spans="1:49">
      <c r="A66" s="225"/>
      <c r="F66" s="65" t="str">
        <f>Metrics!G27</f>
        <v>1.t</v>
      </c>
      <c r="G66" s="229">
        <f>Metrics!I27</f>
        <v>12</v>
      </c>
      <c r="H66"/>
      <c r="I66"/>
      <c r="J66"/>
      <c r="K66"/>
      <c r="L66"/>
      <c r="M66"/>
      <c r="N66"/>
      <c r="O66"/>
      <c r="P66"/>
      <c r="Q66"/>
      <c r="R66"/>
      <c r="S66" s="242" t="s">
        <v>73</v>
      </c>
      <c r="T66" s="22"/>
      <c r="U66" s="243"/>
      <c r="V66" s="22">
        <v>100</v>
      </c>
      <c r="W66" s="22">
        <v>625</v>
      </c>
      <c r="X66" s="22"/>
      <c r="Y66" s="22" t="s">
        <v>468</v>
      </c>
      <c r="Z66" t="str">
        <f t="shared" si="20"/>
        <v xml:space="preserve">
{ key: "Shuffler", loc: new go.Point(70, 437.5), release: "HDS # 1" },</v>
      </c>
      <c r="AA66"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v>
      </c>
      <c r="AB66">
        <f t="shared" si="6"/>
        <v>122</v>
      </c>
      <c r="AC66" t="str">
        <f t="shared" si="0"/>
        <v>Stack handler_Destacking</v>
      </c>
      <c r="AD66" s="22" t="s">
        <v>122</v>
      </c>
      <c r="AE66" s="22" t="s">
        <v>482</v>
      </c>
      <c r="AF66" s="22" t="s">
        <v>52</v>
      </c>
      <c r="AG66" s="22" t="s">
        <v>262</v>
      </c>
      <c r="AH66" s="22" t="s">
        <v>465</v>
      </c>
      <c r="AI66" s="22" t="s">
        <v>435</v>
      </c>
      <c r="AJ66" s="22" t="s">
        <v>444</v>
      </c>
      <c r="AK66" s="22" t="s">
        <v>249</v>
      </c>
      <c r="AL66" s="22" t="s">
        <v>332</v>
      </c>
      <c r="AM66" s="22">
        <f t="shared" si="7"/>
        <v>23</v>
      </c>
      <c r="AN66" s="22" t="s">
        <v>596</v>
      </c>
      <c r="AO66" s="10">
        <f t="shared" ref="AO66" si="24">AO62</f>
        <v>4</v>
      </c>
      <c r="AP66" s="12">
        <f t="shared" si="19"/>
        <v>9.753883468861918E-2</v>
      </c>
      <c r="AQ66" s="12" t="str">
        <f t="shared" si="13"/>
        <v>rgb(239,90,104)</v>
      </c>
      <c r="AR66" s="12" t="str">
        <f t="shared" si="14"/>
        <v>rgb(62,172,171)</v>
      </c>
      <c r="AS66" t="str">
        <f t="shared" si="15"/>
        <v>←0.1_Tray_Stack_Reorg_Widthwise</v>
      </c>
      <c r="AT66" t="str">
        <f t="shared" si="16"/>
        <v>Stack handler [0.1] Destacking</v>
      </c>
      <c r="AU66" s="22"/>
      <c r="AV66" t="str">
        <f t="shared" si="5"/>
        <v xml:space="preserve">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v>
      </c>
      <c r="AW66"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v>
      </c>
    </row>
    <row r="67" spans="1:49">
      <c r="A67" s="225"/>
      <c r="F67" s="65" t="str">
        <f>Metrics!G28</f>
        <v>2.m</v>
      </c>
      <c r="G67" s="229">
        <f>Metrics!I28</f>
        <v>8</v>
      </c>
      <c r="H67"/>
      <c r="I67"/>
      <c r="J67"/>
      <c r="K67"/>
      <c r="L67"/>
      <c r="M67"/>
      <c r="N67"/>
      <c r="O67"/>
      <c r="P67"/>
      <c r="Q67"/>
      <c r="R67"/>
      <c r="S67" s="242" t="s">
        <v>122</v>
      </c>
      <c r="T67" s="22"/>
      <c r="U67" s="22"/>
      <c r="V67" s="22">
        <v>700</v>
      </c>
      <c r="W67" s="22">
        <v>550</v>
      </c>
      <c r="X67" s="22"/>
      <c r="Y67" s="22" t="s">
        <v>467</v>
      </c>
      <c r="Z67" t="str">
        <f t="shared" si="20"/>
        <v xml:space="preserve">
{ key: "Stack handler", loc: new go.Point(490, 385), release: "Beta 1a" },</v>
      </c>
      <c r="AA67"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v>
      </c>
      <c r="AB67">
        <f t="shared" si="6"/>
        <v>123</v>
      </c>
      <c r="AC67" t="str">
        <f t="shared" si="0"/>
        <v>Destacking_Traybreaker</v>
      </c>
      <c r="AD67" s="22" t="s">
        <v>482</v>
      </c>
      <c r="AE67" s="22" t="s">
        <v>70</v>
      </c>
      <c r="AF67" s="22" t="s">
        <v>52</v>
      </c>
      <c r="AG67" s="22" t="s">
        <v>232</v>
      </c>
      <c r="AH67" s="22" t="s">
        <v>337</v>
      </c>
      <c r="AI67" s="22" t="s">
        <v>279</v>
      </c>
      <c r="AJ67" s="22" t="s">
        <v>437</v>
      </c>
      <c r="AK67" s="22" t="s">
        <v>249</v>
      </c>
      <c r="AL67" s="22" t="s">
        <v>333</v>
      </c>
      <c r="AM67" s="22">
        <f t="shared" si="7"/>
        <v>24</v>
      </c>
      <c r="AN67" s="22" t="s">
        <v>597</v>
      </c>
      <c r="AP67" s="12">
        <f>AP63*AO63</f>
        <v>0.40333333333333338</v>
      </c>
      <c r="AQ67" s="12" t="str">
        <f t="shared" si="13"/>
        <v>rgb(239,90,104)</v>
      </c>
      <c r="AR67" s="12" t="str">
        <f t="shared" si="14"/>
        <v>rgb(194,220,188)</v>
      </c>
      <c r="AS67" t="str">
        <f t="shared" si="15"/>
        <v>↑0.4_Tray_Single_Empty_Widthwise</v>
      </c>
      <c r="AT67" t="str">
        <f t="shared" si="16"/>
        <v>Destacking [0.4] Traybreaker</v>
      </c>
      <c r="AU67" s="22"/>
      <c r="AV67" t="str">
        <f t="shared" si="5"/>
        <v xml:space="preserve">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v>
      </c>
      <c r="AW67"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v>
      </c>
    </row>
    <row r="68" spans="1:49">
      <c r="A68" s="225"/>
      <c r="F68" s="65" t="str">
        <f>Metrics!G29</f>
        <v>2.t</v>
      </c>
      <c r="G68" s="229">
        <f>Metrics!I29</f>
        <v>8</v>
      </c>
      <c r="H68"/>
      <c r="I68"/>
      <c r="J68"/>
      <c r="K68"/>
      <c r="L68"/>
      <c r="M68"/>
      <c r="N68"/>
      <c r="O68"/>
      <c r="P68"/>
      <c r="Q68"/>
      <c r="R68"/>
      <c r="S68" s="242" t="s">
        <v>123</v>
      </c>
      <c r="T68" s="22"/>
      <c r="U68" s="22" t="s">
        <v>76</v>
      </c>
      <c r="V68" s="22">
        <v>1200</v>
      </c>
      <c r="W68" s="22">
        <v>100</v>
      </c>
      <c r="X68" s="22"/>
      <c r="Y68" s="22" t="s">
        <v>468</v>
      </c>
      <c r="Z68" t="str">
        <f t="shared" si="20"/>
        <v xml:space="preserve">
{ key: "Pallet handler", group: "Inbound", loc: new go.Point(840, 70), release: "HDS # 1" },</v>
      </c>
      <c r="AA68"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v>
      </c>
      <c r="AB68">
        <f t="shared" si="6"/>
        <v>124</v>
      </c>
      <c r="AC68" t="str">
        <f t="shared" si="0"/>
        <v>Destacking_Traybreaker</v>
      </c>
      <c r="AD68" s="22" t="s">
        <v>482</v>
      </c>
      <c r="AE68" s="22" t="s">
        <v>70</v>
      </c>
      <c r="AF68" s="22" t="s">
        <v>52</v>
      </c>
      <c r="AG68" s="22" t="s">
        <v>232</v>
      </c>
      <c r="AH68" s="22" t="s">
        <v>337</v>
      </c>
      <c r="AI68" s="22" t="s">
        <v>435</v>
      </c>
      <c r="AJ68" s="22" t="s">
        <v>237</v>
      </c>
      <c r="AK68" s="22" t="s">
        <v>249</v>
      </c>
      <c r="AL68" s="22" t="s">
        <v>333</v>
      </c>
      <c r="AM68" s="22">
        <f t="shared" si="7"/>
        <v>25</v>
      </c>
      <c r="AN68" s="22" t="s">
        <v>598</v>
      </c>
      <c r="AP68" s="12">
        <f>AP64*AO64</f>
        <v>0.32950892857142861</v>
      </c>
      <c r="AQ68" s="12" t="str">
        <f t="shared" si="13"/>
        <v>rgb(239,90,104)</v>
      </c>
      <c r="AR68" s="12" t="str">
        <f t="shared" si="14"/>
        <v>rgb(194,220,188)</v>
      </c>
      <c r="AS68" t="str">
        <f t="shared" si="15"/>
        <v>↑0.33_Tray_Single_Empty_Widthwise</v>
      </c>
      <c r="AT68" t="str">
        <f t="shared" si="16"/>
        <v>Destacking [0.33] Traybreaker</v>
      </c>
      <c r="AU68" s="22"/>
      <c r="AV68" t="str">
        <f t="shared" si="5"/>
        <v xml:space="preserve">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v>
      </c>
      <c r="AW68"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v>
      </c>
    </row>
    <row r="69" spans="1:49">
      <c r="A69" s="225"/>
      <c r="F69" s="65" t="str">
        <f>Metrics!G30</f>
        <v>4.m</v>
      </c>
      <c r="G69" s="229">
        <f>Metrics!I30</f>
        <v>6</v>
      </c>
      <c r="H69"/>
      <c r="I69"/>
      <c r="J69"/>
      <c r="K69"/>
      <c r="L69"/>
      <c r="M69"/>
      <c r="N69"/>
      <c r="O69"/>
      <c r="P69"/>
      <c r="Q69"/>
      <c r="R69"/>
      <c r="S69" s="242" t="s">
        <v>68</v>
      </c>
      <c r="T69" s="22"/>
      <c r="U69" s="22"/>
      <c r="V69" s="22">
        <v>1400</v>
      </c>
      <c r="W69" s="22">
        <v>300</v>
      </c>
      <c r="X69" s="22"/>
      <c r="Y69" s="22" t="s">
        <v>468</v>
      </c>
      <c r="Z69" t="str">
        <f t="shared" si="20"/>
        <v xml:space="preserve">
{ key: "Trashbaler", loc: new go.Point(980, 210), release: "HDS # 1" },</v>
      </c>
      <c r="AA69"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v>
      </c>
      <c r="AB69">
        <f t="shared" si="6"/>
        <v>125</v>
      </c>
      <c r="AC69" t="str">
        <f t="shared" si="0"/>
        <v>Destacking_Traybreaker</v>
      </c>
      <c r="AD69" s="22" t="s">
        <v>482</v>
      </c>
      <c r="AE69" s="22" t="s">
        <v>70</v>
      </c>
      <c r="AF69" s="22" t="s">
        <v>52</v>
      </c>
      <c r="AG69" s="22" t="s">
        <v>232</v>
      </c>
      <c r="AH69" s="22" t="s">
        <v>335</v>
      </c>
      <c r="AI69" s="22" t="s">
        <v>435</v>
      </c>
      <c r="AJ69" s="22" t="s">
        <v>444</v>
      </c>
      <c r="AK69" s="22" t="s">
        <v>249</v>
      </c>
      <c r="AL69" s="22" t="s">
        <v>333</v>
      </c>
      <c r="AM69" s="22">
        <f t="shared" si="7"/>
        <v>26</v>
      </c>
      <c r="AN69" s="22" t="s">
        <v>599</v>
      </c>
      <c r="AP69" s="12">
        <f>AP65*AO65</f>
        <v>0.69895833333333324</v>
      </c>
      <c r="AQ69" s="12" t="str">
        <f t="shared" si="13"/>
        <v>rgb(239,90,104)</v>
      </c>
      <c r="AR69" s="12" t="str">
        <f t="shared" si="14"/>
        <v>rgb(162,212,171)</v>
      </c>
      <c r="AS69" t="str">
        <f t="shared" si="15"/>
        <v>↑0.7_Tray_Single_Partial_Widthwise</v>
      </c>
      <c r="AT69" t="str">
        <f t="shared" si="16"/>
        <v>Destacking [0.7] Traybreaker</v>
      </c>
      <c r="AU69" s="22"/>
      <c r="AV69" t="str">
        <f t="shared" si="5"/>
        <v xml:space="preserve">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v>
      </c>
      <c r="AW69"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v>
      </c>
    </row>
    <row r="70" spans="1:49">
      <c r="A70" s="225"/>
      <c r="F70" s="65" t="str">
        <f>Metrics!G31</f>
        <v>8.s</v>
      </c>
      <c r="G70" s="229">
        <f>Metrics!I31</f>
        <v>6</v>
      </c>
      <c r="H70"/>
      <c r="I70"/>
      <c r="J70"/>
      <c r="K70"/>
      <c r="L70"/>
      <c r="M70"/>
      <c r="N70"/>
      <c r="O70"/>
      <c r="P70"/>
      <c r="Q70"/>
      <c r="R70"/>
      <c r="S70" s="242" t="s">
        <v>86</v>
      </c>
      <c r="T70" s="22"/>
      <c r="U70" s="22" t="s">
        <v>76</v>
      </c>
      <c r="V70" s="22">
        <v>1200</v>
      </c>
      <c r="W70" s="22">
        <v>200</v>
      </c>
      <c r="X70" s="22"/>
      <c r="Y70" s="22" t="s">
        <v>468</v>
      </c>
      <c r="Z70" t="str">
        <f t="shared" si="20"/>
        <v xml:space="preserve">
{ key: "Depalletizer", group: "Inbound", loc: new go.Point(840, 140), release: "HDS # 1" },</v>
      </c>
      <c r="AA70"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v>
      </c>
      <c r="AB70">
        <f t="shared" si="6"/>
        <v>126</v>
      </c>
      <c r="AC70" t="str">
        <f t="shared" si="0"/>
        <v>Destacking_Traybreaker</v>
      </c>
      <c r="AD70" s="22" t="s">
        <v>482</v>
      </c>
      <c r="AE70" s="22" t="s">
        <v>70</v>
      </c>
      <c r="AF70" s="22" t="s">
        <v>52</v>
      </c>
      <c r="AG70" s="22" t="s">
        <v>232</v>
      </c>
      <c r="AH70" s="22" t="s">
        <v>465</v>
      </c>
      <c r="AI70" s="22" t="s">
        <v>435</v>
      </c>
      <c r="AJ70" s="22" t="s">
        <v>444</v>
      </c>
      <c r="AK70" s="22" t="s">
        <v>249</v>
      </c>
      <c r="AL70" s="22" t="s">
        <v>333</v>
      </c>
      <c r="AM70" s="22">
        <f t="shared" si="7"/>
        <v>27</v>
      </c>
      <c r="AN70" s="22" t="s">
        <v>600</v>
      </c>
      <c r="AP70" s="10">
        <f>AP66*AO66</f>
        <v>0.39015533875447672</v>
      </c>
      <c r="AQ70" s="12" t="str">
        <f t="shared" si="13"/>
        <v>rgb(239,90,104)</v>
      </c>
      <c r="AR70" s="12" t="str">
        <f t="shared" si="14"/>
        <v>rgb(62,172,171)</v>
      </c>
      <c r="AS70" t="str">
        <f t="shared" si="15"/>
        <v>↑0.39_Tray_Single_Reorg_Widthwise</v>
      </c>
      <c r="AT70" t="str">
        <f t="shared" si="16"/>
        <v>Destacking [0.39] Traybreaker</v>
      </c>
      <c r="AU70" s="22"/>
      <c r="AV70" t="str">
        <f t="shared" si="5"/>
        <v xml:space="preserve">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v>
      </c>
      <c r="AW70"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v>
      </c>
    </row>
    <row r="71" spans="1:49">
      <c r="A71" s="225"/>
      <c r="F71" s="65" t="str">
        <f>Metrics!G32</f>
        <v>Total</v>
      </c>
      <c r="G71" s="229">
        <f>Metrics!I32</f>
        <v>8.4</v>
      </c>
      <c r="H71"/>
      <c r="I71"/>
      <c r="J71"/>
      <c r="K71"/>
      <c r="L71"/>
      <c r="M71"/>
      <c r="N71"/>
      <c r="O71"/>
      <c r="P71"/>
      <c r="Q71"/>
      <c r="R71"/>
      <c r="S71" s="242" t="s">
        <v>146</v>
      </c>
      <c r="T71" s="22"/>
      <c r="U71" s="22" t="s">
        <v>442</v>
      </c>
      <c r="V71" s="22">
        <v>900</v>
      </c>
      <c r="W71" s="22">
        <v>200</v>
      </c>
      <c r="X71" s="22"/>
      <c r="Y71" s="22" t="s">
        <v>468</v>
      </c>
      <c r="Z71" t="str">
        <f t="shared" si="20"/>
        <v xml:space="preserve">
{ key: "Case receiving frontend", group: "Case receiving", loc: new go.Point(630, 140), release: "HDS # 1" },</v>
      </c>
      <c r="AA71"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v>
      </c>
      <c r="AB71">
        <f t="shared" si="6"/>
        <v>127</v>
      </c>
      <c r="AC71" t="str">
        <f t="shared" si="0"/>
        <v>Traybreaker_Inbound connector</v>
      </c>
      <c r="AD71" s="22" t="s">
        <v>70</v>
      </c>
      <c r="AE71" s="22" t="s">
        <v>141</v>
      </c>
      <c r="AF71" s="22" t="s">
        <v>52</v>
      </c>
      <c r="AG71" s="22" t="s">
        <v>232</v>
      </c>
      <c r="AH71" s="22" t="s">
        <v>337</v>
      </c>
      <c r="AI71" s="22" t="s">
        <v>466</v>
      </c>
      <c r="AJ71" s="22" t="s">
        <v>437</v>
      </c>
      <c r="AK71" s="22" t="s">
        <v>249</v>
      </c>
      <c r="AL71" s="22" t="s">
        <v>332</v>
      </c>
      <c r="AM71" s="22">
        <f t="shared" si="7"/>
        <v>28</v>
      </c>
      <c r="AN71" s="22" t="s">
        <v>601</v>
      </c>
      <c r="AP71" s="10">
        <f>AP67</f>
        <v>0.40333333333333338</v>
      </c>
      <c r="AQ71" s="12" t="str">
        <f t="shared" si="13"/>
        <v>rgb(239,90,104)</v>
      </c>
      <c r="AR71" s="12" t="str">
        <f t="shared" si="14"/>
        <v>rgb(194,220,188)</v>
      </c>
      <c r="AS71" t="str">
        <f t="shared" si="15"/>
        <v>←0.4_Tray_Single_Empty_Widthwise</v>
      </c>
      <c r="AT71" t="str">
        <f t="shared" si="16"/>
        <v>Traybreaker [0.4] Inbound connector</v>
      </c>
      <c r="AU71" s="22"/>
      <c r="AV71" t="str">
        <f t="shared" si="5"/>
        <v xml:space="preserve">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v>
      </c>
      <c r="AW71"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v>
      </c>
    </row>
    <row r="72" spans="1:49">
      <c r="A72" s="225"/>
      <c r="F72" s="65" t="str">
        <f>Metrics!G34</f>
        <v># of compartments per tray (non 1.x)</v>
      </c>
      <c r="G72" s="265">
        <f>Metrics!H34</f>
        <v>3.9999999999999987</v>
      </c>
      <c r="H72"/>
      <c r="I72"/>
      <c r="J72"/>
      <c r="K72"/>
      <c r="L72"/>
      <c r="M72"/>
      <c r="N72"/>
      <c r="O72"/>
      <c r="P72"/>
      <c r="Q72"/>
      <c r="R72"/>
      <c r="S72" s="242" t="s">
        <v>136</v>
      </c>
      <c r="T72" s="22"/>
      <c r="U72" s="22" t="s">
        <v>442</v>
      </c>
      <c r="V72" s="22">
        <v>900</v>
      </c>
      <c r="W72" s="22">
        <v>300</v>
      </c>
      <c r="X72" s="22"/>
      <c r="Y72" s="22" t="s">
        <v>468</v>
      </c>
      <c r="Z72" t="str">
        <f t="shared" si="20"/>
        <v xml:space="preserve">
{ key: "Case receiving backend", group: "Case receiving", loc: new go.Point(630, 210), release: "HDS # 1" },</v>
      </c>
      <c r="AA72"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v>
      </c>
      <c r="AB72">
        <f t="shared" si="6"/>
        <v>128</v>
      </c>
      <c r="AC72" t="str">
        <f t="shared" si="0"/>
        <v>Traybreaker_Inbound connector</v>
      </c>
      <c r="AD72" s="22" t="s">
        <v>70</v>
      </c>
      <c r="AE72" s="22" t="s">
        <v>141</v>
      </c>
      <c r="AF72" s="22" t="s">
        <v>52</v>
      </c>
      <c r="AG72" s="22" t="s">
        <v>232</v>
      </c>
      <c r="AH72" s="22" t="s">
        <v>337</v>
      </c>
      <c r="AI72" s="22" t="s">
        <v>435</v>
      </c>
      <c r="AJ72" s="22" t="s">
        <v>237</v>
      </c>
      <c r="AK72" s="22" t="s">
        <v>249</v>
      </c>
      <c r="AL72" s="22" t="s">
        <v>332</v>
      </c>
      <c r="AM72" s="22">
        <f t="shared" si="7"/>
        <v>29</v>
      </c>
      <c r="AN72" s="22" t="s">
        <v>602</v>
      </c>
      <c r="AP72" s="10">
        <f>AP68</f>
        <v>0.32950892857142861</v>
      </c>
      <c r="AQ72" s="12" t="str">
        <f t="shared" si="13"/>
        <v>rgb(239,90,104)</v>
      </c>
      <c r="AR72" s="12" t="str">
        <f t="shared" si="14"/>
        <v>rgb(194,220,188)</v>
      </c>
      <c r="AS72" t="str">
        <f t="shared" si="15"/>
        <v>←0.33_Tray_Single_Empty_Widthwise</v>
      </c>
      <c r="AT72" t="str">
        <f t="shared" si="16"/>
        <v>Traybreaker [0.33] Inbound connector</v>
      </c>
      <c r="AU72" s="22"/>
      <c r="AV72" t="str">
        <f t="shared" si="5"/>
        <v xml:space="preserve">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v>
      </c>
      <c r="AW72"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v>
      </c>
    </row>
    <row r="73" spans="1:49">
      <c r="A73" s="225"/>
      <c r="F73" s="65" t="str">
        <f>Metrics!G35</f>
        <v># of compartments per tray (all)</v>
      </c>
      <c r="G73" s="265">
        <f>Metrics!H35</f>
        <v>2.9</v>
      </c>
      <c r="H73"/>
      <c r="I73"/>
      <c r="J73"/>
      <c r="K73"/>
      <c r="L73"/>
      <c r="M73"/>
      <c r="N73"/>
      <c r="O73"/>
      <c r="P73"/>
      <c r="Q73"/>
      <c r="R73"/>
      <c r="S73" s="242" t="s">
        <v>138</v>
      </c>
      <c r="T73" s="22"/>
      <c r="U73" s="22"/>
      <c r="V73" s="22">
        <v>1200</v>
      </c>
      <c r="W73" s="22">
        <v>350</v>
      </c>
      <c r="X73" s="22"/>
      <c r="Y73" s="22" t="s">
        <v>467</v>
      </c>
      <c r="Z73" t="str">
        <f t="shared" si="20"/>
        <v xml:space="preserve">
{ key: "Master dispenser", loc: new go.Point(840, 245), release: "Beta 1a" },</v>
      </c>
      <c r="AA73"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v>
      </c>
      <c r="AB73">
        <f t="shared" si="6"/>
        <v>129</v>
      </c>
      <c r="AC73" t="str">
        <f t="shared" si="0"/>
        <v>Traybreaker_Inbound connector</v>
      </c>
      <c r="AD73" s="22" t="s">
        <v>70</v>
      </c>
      <c r="AE73" s="22" t="s">
        <v>141</v>
      </c>
      <c r="AF73" s="22" t="s">
        <v>435</v>
      </c>
      <c r="AG73" s="22" t="s">
        <v>232</v>
      </c>
      <c r="AH73" s="22" t="s">
        <v>335</v>
      </c>
      <c r="AI73" s="22" t="s">
        <v>435</v>
      </c>
      <c r="AJ73" s="22" t="s">
        <v>444</v>
      </c>
      <c r="AK73" s="22" t="s">
        <v>249</v>
      </c>
      <c r="AL73" s="22" t="s">
        <v>332</v>
      </c>
      <c r="AM73" s="22">
        <f t="shared" si="7"/>
        <v>30</v>
      </c>
      <c r="AN73" s="22" t="s">
        <v>604</v>
      </c>
      <c r="AP73" s="10">
        <f>AP69*G72</f>
        <v>2.7958333333333321</v>
      </c>
      <c r="AQ73" s="12" t="str">
        <f t="shared" si="13"/>
        <v>rgb(212,221,218)</v>
      </c>
      <c r="AR73" s="12" t="str">
        <f t="shared" si="14"/>
        <v>rgb(162,212,171)</v>
      </c>
      <c r="AS73" t="str">
        <f t="shared" si="15"/>
        <v>←2.8_Compartment_Single_Partial_Widthwise</v>
      </c>
      <c r="AT73" t="str">
        <f t="shared" si="16"/>
        <v>Traybreaker [2.8] Inbound connector</v>
      </c>
      <c r="AU73" s="22"/>
      <c r="AV73" t="str">
        <f t="shared" si="5"/>
        <v xml:space="preserve">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v>
      </c>
      <c r="AW73"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v>
      </c>
    </row>
    <row r="74" spans="1:49">
      <c r="A74" s="225"/>
      <c r="F74" s="65" t="s">
        <v>432</v>
      </c>
      <c r="G74" s="229">
        <f>SUMPRODUCT(G64:G66,G56:G58)/SUM(G56:G58)</f>
        <v>12</v>
      </c>
      <c r="S74" s="242" t="s">
        <v>147</v>
      </c>
      <c r="T74" s="22"/>
      <c r="U74" s="22" t="s">
        <v>443</v>
      </c>
      <c r="V74" s="22">
        <v>600</v>
      </c>
      <c r="W74" s="22">
        <v>200</v>
      </c>
      <c r="X74" s="22"/>
      <c r="Y74" s="22" t="s">
        <v>467</v>
      </c>
      <c r="Z74" t="str">
        <f t="shared" si="20"/>
        <v xml:space="preserve">
{ key: "Manual receiving frontend", group: "Manual receiving", loc: new go.Point(420, 140), release: "Beta 1a" },</v>
      </c>
      <c r="AA74"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v>
      </c>
      <c r="AB74">
        <f t="shared" si="6"/>
        <v>130</v>
      </c>
      <c r="AC74" t="str">
        <f t="shared" si="0"/>
        <v>Traybreaker_Inbound connector</v>
      </c>
      <c r="AD74" s="22" t="s">
        <v>70</v>
      </c>
      <c r="AE74" s="22" t="s">
        <v>141</v>
      </c>
      <c r="AF74" s="22" t="s">
        <v>435</v>
      </c>
      <c r="AG74" s="22" t="s">
        <v>232</v>
      </c>
      <c r="AH74" s="22" t="s">
        <v>465</v>
      </c>
      <c r="AI74" s="22" t="s">
        <v>435</v>
      </c>
      <c r="AJ74" s="22" t="s">
        <v>444</v>
      </c>
      <c r="AK74" s="22" t="s">
        <v>249</v>
      </c>
      <c r="AL74" s="22" t="s">
        <v>332</v>
      </c>
      <c r="AM74" s="22">
        <f t="shared" si="7"/>
        <v>31</v>
      </c>
      <c r="AN74" s="22" t="s">
        <v>603</v>
      </c>
      <c r="AP74" s="10">
        <f>AP70*G72</f>
        <v>1.5606213550179064</v>
      </c>
      <c r="AQ74" s="12" t="str">
        <f t="shared" si="13"/>
        <v>rgb(212,221,218)</v>
      </c>
      <c r="AR74" s="12" t="str">
        <f t="shared" si="14"/>
        <v>rgb(62,172,171)</v>
      </c>
      <c r="AS74" t="str">
        <f t="shared" si="15"/>
        <v>←1.56_Compartment_Single_Reorg_Widthwise</v>
      </c>
      <c r="AT74" t="str">
        <f t="shared" si="16"/>
        <v>Traybreaker [1.56] Inbound connector</v>
      </c>
      <c r="AU74" s="22"/>
      <c r="AV74" t="str">
        <f t="shared" si="5"/>
        <v xml:space="preserve">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v>
      </c>
      <c r="AW74"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v>
      </c>
    </row>
    <row r="75" spans="1:49">
      <c r="A75" s="225"/>
      <c r="F75" s="65" t="s">
        <v>454</v>
      </c>
      <c r="G75" s="263">
        <f>Metrics!H46</f>
        <v>6350</v>
      </c>
      <c r="H75" s="261"/>
      <c r="S75" s="242" t="s">
        <v>140</v>
      </c>
      <c r="T75" s="22"/>
      <c r="U75" s="243" t="s">
        <v>443</v>
      </c>
      <c r="V75" s="22">
        <v>600</v>
      </c>
      <c r="W75" s="22">
        <v>300</v>
      </c>
      <c r="X75" s="22"/>
      <c r="Y75" s="22" t="s">
        <v>467</v>
      </c>
      <c r="Z75" t="str">
        <f t="shared" si="20"/>
        <v xml:space="preserve">
{ key: "Manual receiving backend", group: "Manual receiving", loc: new go.Point(420, 210), release: "Beta 1a" },</v>
      </c>
      <c r="AA75"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v>
      </c>
      <c r="AB75">
        <f t="shared" si="6"/>
        <v>131</v>
      </c>
      <c r="AC75" t="str">
        <f t="shared" si="0"/>
        <v>Master dispenser_Case receiving backend</v>
      </c>
      <c r="AD75" s="22" t="s">
        <v>138</v>
      </c>
      <c r="AE75" s="242" t="s">
        <v>136</v>
      </c>
      <c r="AF75" s="22" t="s">
        <v>52</v>
      </c>
      <c r="AG75" s="22" t="s">
        <v>232</v>
      </c>
      <c r="AH75" s="22" t="s">
        <v>337</v>
      </c>
      <c r="AI75" s="22" t="s">
        <v>466</v>
      </c>
      <c r="AJ75" s="22" t="s">
        <v>437</v>
      </c>
      <c r="AK75" s="22" t="s">
        <v>249</v>
      </c>
      <c r="AL75" s="22" t="s">
        <v>332</v>
      </c>
      <c r="AM75" s="22">
        <f t="shared" si="7"/>
        <v>32</v>
      </c>
      <c r="AN75" s="22" t="s">
        <v>605</v>
      </c>
      <c r="AP75" s="12">
        <f>AP53</f>
        <v>0.32950892857142861</v>
      </c>
      <c r="AQ75" s="12" t="str">
        <f t="shared" si="13"/>
        <v>rgb(239,90,104)</v>
      </c>
      <c r="AR75" s="12" t="str">
        <f t="shared" si="14"/>
        <v>rgb(194,220,188)</v>
      </c>
      <c r="AS75" t="str">
        <f t="shared" si="15"/>
        <v>←0.33_Tray_Single_Empty_Widthwise</v>
      </c>
      <c r="AT75" t="str">
        <f t="shared" si="16"/>
        <v>Master dispenser [0.33] Case receiving backend</v>
      </c>
      <c r="AU75" s="22"/>
      <c r="AV75" t="str">
        <f t="shared" si="5"/>
        <v xml:space="preserve">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v>
      </c>
      <c r="AW75"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v>
      </c>
    </row>
    <row r="76" spans="1:49">
      <c r="A76" s="230"/>
      <c r="B76" s="231"/>
      <c r="C76" s="231"/>
      <c r="D76" s="231"/>
      <c r="E76" s="231"/>
      <c r="F76" s="231" t="s">
        <v>458</v>
      </c>
      <c r="G76" s="232">
        <f>Metrics!H39</f>
        <v>15</v>
      </c>
      <c r="S76" s="242" t="s">
        <v>67</v>
      </c>
      <c r="T76" s="243"/>
      <c r="U76" s="243"/>
      <c r="V76" s="243">
        <v>350</v>
      </c>
      <c r="W76" s="22">
        <v>300</v>
      </c>
      <c r="X76" s="22"/>
      <c r="Y76" s="22" t="s">
        <v>467</v>
      </c>
      <c r="Z76" t="str">
        <f t="shared" si="20"/>
        <v xml:space="preserve">
{ key: "Prep", loc: new go.Point(245, 210), release: "Beta 1a" },</v>
      </c>
      <c r="AA76"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v>
      </c>
      <c r="AB76">
        <f t="shared" si="6"/>
        <v>132</v>
      </c>
      <c r="AC76" t="str">
        <f t="shared" si="0"/>
        <v>Traybreaker_Inbound connector</v>
      </c>
      <c r="AD76" s="22" t="s">
        <v>70</v>
      </c>
      <c r="AE76" s="22" t="s">
        <v>141</v>
      </c>
      <c r="AF76" s="22" t="s">
        <v>52</v>
      </c>
      <c r="AG76" s="22" t="s">
        <v>232</v>
      </c>
      <c r="AH76" s="22" t="s">
        <v>337</v>
      </c>
      <c r="AI76" s="22" t="s">
        <v>466</v>
      </c>
      <c r="AJ76" s="22" t="s">
        <v>437</v>
      </c>
      <c r="AK76" s="22" t="s">
        <v>249</v>
      </c>
      <c r="AL76" s="22" t="s">
        <v>332</v>
      </c>
      <c r="AM76" s="22">
        <f t="shared" si="7"/>
        <v>33</v>
      </c>
      <c r="AN76" s="22" t="s">
        <v>606</v>
      </c>
      <c r="AP76" s="12">
        <f>AP71+AP69+AP70</f>
        <v>1.4924470054211434</v>
      </c>
      <c r="AQ76" s="12" t="str">
        <f t="shared" si="13"/>
        <v>rgb(239,90,104)</v>
      </c>
      <c r="AR76" s="12" t="str">
        <f t="shared" si="14"/>
        <v>rgb(194,220,188)</v>
      </c>
      <c r="AS76" t="str">
        <f t="shared" si="15"/>
        <v>←1.49_Tray_Single_Empty_Widthwise</v>
      </c>
      <c r="AT76" t="str">
        <f t="shared" si="16"/>
        <v>Traybreaker [1.49] Inbound connector</v>
      </c>
      <c r="AU76" s="22"/>
      <c r="AV76" t="str">
        <f t="shared" si="5"/>
        <v xml:space="preserve">
{ from: "Traybreaker", to: "Inbound connector", long_text: "1.49_Tray_Single", short_text: "1.49", fromSpot: "LeftSide", toSpot: "RightSide", container: "Tray", form: "Single", state: "Empty", content: "Trayframe", size: "Standard", flow_id: "Traybreaker_Inbound connector", sequence_id: "33", orientation: "Widthwise", flow_color: "rgb(239,90,104)", arrowhead_color: "rgb(194,220,188)", comments: "After traybreaking, empty trayframes move from spur3 in the traybreaker cell to the inbound connector", containers_per_stack: "", throughput_per_minute: "1.49244700542114" },</v>
      </c>
      <c r="AW76"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
{ from: "Traybreaker", to: "Inbound connector", long_text: "1.49_Tray_Single", short_text: "1.49", fromSpot: "LeftSide", toSpot: "RightSide", container: "Tray", form: "Single", state: "Empty", content: "Trayframe", size: "Standard", flow_id: "Traybreaker_Inbound connector", sequence_id: "33", orientation: "Widthwise", flow_color: "rgb(239,90,104)", arrowhead_color: "rgb(194,220,188)", comments: "After traybreaking, empty trayframes move from spur3 in the traybreaker cell to the inbound connector", containers_per_stack: "", throughput_per_minute: "1.49244700542114" },</v>
      </c>
    </row>
    <row r="77" spans="1:49">
      <c r="S77" s="243" t="s">
        <v>70</v>
      </c>
      <c r="T77" s="243"/>
      <c r="U77" s="243"/>
      <c r="V77" s="243">
        <v>400</v>
      </c>
      <c r="W77" s="22">
        <v>400</v>
      </c>
      <c r="X77" s="22"/>
      <c r="Y77" s="22" t="s">
        <v>467</v>
      </c>
      <c r="Z77" t="str">
        <f t="shared" si="20"/>
        <v xml:space="preserve">
{ key: "Traybreaker", loc: new go.Point(280, 280), release: "Beta 1a" },</v>
      </c>
      <c r="AA77"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v>
      </c>
      <c r="AB77">
        <f t="shared" si="6"/>
        <v>133</v>
      </c>
      <c r="AC77" t="str">
        <f t="shared" si="0"/>
        <v>Inbound connector_Traymaker</v>
      </c>
      <c r="AD77" s="22" t="s">
        <v>141</v>
      </c>
      <c r="AE77" s="22" t="s">
        <v>71</v>
      </c>
      <c r="AF77" s="22" t="s">
        <v>435</v>
      </c>
      <c r="AG77" s="22" t="s">
        <v>232</v>
      </c>
      <c r="AH77" s="22" t="s">
        <v>336</v>
      </c>
      <c r="AI77" s="22" t="s">
        <v>435</v>
      </c>
      <c r="AJ77" s="22" t="s">
        <v>444</v>
      </c>
      <c r="AK77" s="22" t="s">
        <v>249</v>
      </c>
      <c r="AL77" s="22" t="s">
        <v>332</v>
      </c>
      <c r="AM77" s="22">
        <f t="shared" si="7"/>
        <v>34</v>
      </c>
      <c r="AN77" s="22" t="s">
        <v>607</v>
      </c>
      <c r="AP77" s="287">
        <f>AP73+AP74-(AP69)*G92</f>
        <v>3.5876005216845721</v>
      </c>
      <c r="AQ77" s="12" t="str">
        <f t="shared" si="13"/>
        <v>rgb(212,221,218)</v>
      </c>
      <c r="AR77" s="12" t="str">
        <f t="shared" si="14"/>
        <v>rgb(113,190,138)</v>
      </c>
      <c r="AS77" t="str">
        <f t="shared" si="15"/>
        <v>←3.59_Compartment_Single_Full_Widthwise</v>
      </c>
      <c r="AT77" t="str">
        <f t="shared" si="16"/>
        <v>Inbound connector [3.59] Traymaker</v>
      </c>
      <c r="AU77" s="22"/>
      <c r="AV77" t="str">
        <f t="shared" si="5"/>
        <v xml:space="preserve">
{ from: "Inbound connector", to: "Traymaker", long_text: "3.59_Compartment_Single", short_text: "3.59", fromSpot: "LeftSide", toSpot: "RightSide", container: "Compartment", form: "Single", state: "Full", content: "Compartment", size: "Non 1.x (2.m:21%, 2.t:21%, 4.m:36%, 8.s:21%", flow_id: "Inbound connector_Traymaker", sequence_id: "34", orientation: "Widthwise", flow_color: "rgb(212,221,218)", arrowhead_color: "rgb(113,190,138)", comments: "This represents the non empty compartments which need to go back to the traymaking process for reconstitution with other compartments", containers_per_stack: "", throughput_per_minute: "3.58760052168457" },</v>
      </c>
      <c r="AW77"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
{ from: "Traybreaker", to: "Inbound connector", long_text: "1.49_Tray_Single", short_text: "1.49", fromSpot: "LeftSide", toSpot: "RightSide", container: "Tray", form: "Single", state: "Empty", content: "Trayframe", size: "Standard", flow_id: "Traybreaker_Inbound connector", sequence_id: "33", orientation: "Widthwise", flow_color: "rgb(239,90,104)", arrowhead_color: "rgb(194,220,188)", comments: "After traybreaking, empty trayframes move from spur3 in the traybreaker cell to the inbound connector", containers_per_stack: "", throughput_per_minute: "1.49244700542114" },
{ from: "Inbound connector", to: "Traymaker", long_text: "3.59_Compartment_Single", short_text: "3.59", fromSpot: "LeftSide", toSpot: "RightSide", container: "Compartment", form: "Single", state: "Full", content: "Compartment", size: "Non 1.x (2.m:21%, 2.t:21%, 4.m:36%, 8.s:21%", flow_id: "Inbound connector_Traymaker", sequence_id: "34", orientation: "Widthwise", flow_color: "rgb(212,221,218)", arrowhead_color: "rgb(113,190,138)", comments: "This represents the non empty compartments which need to go back to the traymaking process for reconstitution with other compartments", containers_per_stack: "", throughput_per_minute: "3.58760052168457" },</v>
      </c>
    </row>
    <row r="78" spans="1:49">
      <c r="A78" s="50" t="s">
        <v>355</v>
      </c>
      <c r="B78" s="29"/>
      <c r="C78" s="29"/>
      <c r="D78" s="29"/>
      <c r="E78" s="29"/>
      <c r="F78" s="46"/>
      <c r="G78" s="227"/>
      <c r="S78" s="242" t="s">
        <v>141</v>
      </c>
      <c r="T78" s="243"/>
      <c r="U78" s="243"/>
      <c r="V78" s="243">
        <v>100</v>
      </c>
      <c r="W78" s="22">
        <v>300</v>
      </c>
      <c r="X78" s="22"/>
      <c r="Y78" s="22" t="s">
        <v>467</v>
      </c>
      <c r="Z78" t="str">
        <f t="shared" si="20"/>
        <v xml:space="preserve">
{ key: "Inbound connector", loc: new go.Point(70, 210), release: "Beta 1a" },</v>
      </c>
      <c r="AA78"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v>
      </c>
      <c r="AB78">
        <f t="shared" si="6"/>
        <v>134</v>
      </c>
      <c r="AC78" t="str">
        <f t="shared" si="0"/>
        <v>Inbound connector_Traymaker</v>
      </c>
      <c r="AD78" s="22" t="s">
        <v>141</v>
      </c>
      <c r="AE78" s="22" t="s">
        <v>71</v>
      </c>
      <c r="AF78" s="22" t="s">
        <v>52</v>
      </c>
      <c r="AG78" s="22" t="s">
        <v>232</v>
      </c>
      <c r="AH78" s="22" t="s">
        <v>337</v>
      </c>
      <c r="AI78" s="22" t="s">
        <v>466</v>
      </c>
      <c r="AJ78" s="22" t="s">
        <v>437</v>
      </c>
      <c r="AK78" s="22" t="s">
        <v>249</v>
      </c>
      <c r="AL78" s="22" t="s">
        <v>332</v>
      </c>
      <c r="AM78" s="22">
        <f t="shared" si="7"/>
        <v>35</v>
      </c>
      <c r="AN78" s="22" t="s">
        <v>608</v>
      </c>
      <c r="AP78" s="10">
        <f>AP76-AP71</f>
        <v>1.0891136720878101</v>
      </c>
      <c r="AQ78" s="12" t="str">
        <f t="shared" si="13"/>
        <v>rgb(239,90,104)</v>
      </c>
      <c r="AR78" s="12" t="str">
        <f t="shared" si="14"/>
        <v>rgb(194,220,188)</v>
      </c>
      <c r="AS78" t="str">
        <f t="shared" si="15"/>
        <v>←1.09_Tray_Single_Empty_Widthwise</v>
      </c>
      <c r="AT78" t="str">
        <f t="shared" si="16"/>
        <v>Inbound connector [1.09] Traymaker</v>
      </c>
      <c r="AU78" s="22"/>
      <c r="AV78" t="str">
        <f t="shared" si="5"/>
        <v xml:space="preserve">
{ from: "Inbound connector", to: "Traymaker", long_text: "1.09_Tray_Single", short_text: "1.09", fromSpot: "LeftSide", toSpot: "RightSide", container: "Tray", form: "Single", state: "Empty", content: "Trayframe", size: "Standard", flow_id: "Inbound connector_Traymaker", sequence_id: "35", orientation: "Widthwise", flow_color: "rgb(239,90,104)", arrowhead_color: "rgb(194,220,188)", comments: "A certain number of trayframes will now be directed from the inbound connector to the traymaker- this will be used to house the newly formed trays after the traymaking process", containers_per_stack: "", throughput_per_minute: "1.08911367208781" },</v>
      </c>
      <c r="AW78" t="str">
        <f t="shared" si="8"/>
        <v xml:space="preserve">
{ from: "MR", to: "Stack handler", long_text: "0.08_Tray_Stack", short_text: "0.08", fromSpot: "LeftSide", toSpot: "RightSide", container: "Tray", form: "Stack", state: "Empty", content: "Compartment", size: "1.x", flow_id: "MR_Stack handler", sequence_id: "17", orientation: "Widthwise", flow_color: "rgb(239,90,104)", arrowhead_color: "rgb(194,220,188)", comments: "Stacks of empty 1.x trays are brought in to receive appropriate SKUs", containers_per_stack: "4", throughput_per_minute: "0.0823772321428572" },
{ from: "MR", to: "Stack handler", long_text: "0.17_Tray_Stack", short_text: "0.17", fromSpot: "LeftSide", toSpot: "RightSide", container: "Tray", form: "Stack", state: "Partial", content: "Compartment", size: "Non 1.x (2.m:21%, 2.t:21%, 4.m:36%, 8.s:21%", flow_id: "MR_Stack handler", sequence_id: "18", orientation: "Widthwise", flow_color: "rgb(239,90,104)", arrowhead_color: "rgb(162,212,171)", comments: "Stacks of partial trays housing non 1.x compartments, with one or more empty compartments heading for reprocessing using the traymaker.", containers_per_stack: "4", throughput_per_minute: "0.174739583333333" },
{ from: "MR", to: "Stack handler", long_text: "0.1_Tray_Stack", short_text: "0.1", fromSpot: "LeftSide", toSpot: "RightSide", container: "Tray", form: "Stack", state: "Reorg", content: "Compartment", size: "Non 1.x (2.m:21%, 2.t:21%, 4.m:36%, 8.s:21%", flow_id: "MR_Stack handler", sequence_id: "19", orientation: "Widthwise", flow_color: "rgb(239,90,104)", arrowhead_color: "rgb(62,172,171)", comments: "Represents flow of stacks of trays with non 1.x compartments that need SKU reorganization", containers_per_stack: "4", throughput_per_minute: "0.0975388346886192" },
{ from: "Stack handler", to: "Destacking", long_text: "0.1_Tray_Stack", short_text: "0.1", fromSpot: "LeftSide", toSpot: "RightSide", container: "Tray", form: "Stack", state: "Empty", content: "Casepack", size: "Standard", flow_id: "Stack handler_Destacking", sequence_id: "20", orientation: "Widthwise", flow_color: "rgb(239,90,104)", arrowhead_color: "rgb(194,220,188)", comments: "Empty traystacks for casepacks are sent for destacking", containers_per_stack: "4", throughput_per_minute: "0.100833333333333" },
{ from: "Stack handler", to: "Destacking", long_text: "0.08_Tray_Stack", short_text: "0.08", fromSpot: "LeftSide", toSpot: "RightSide", container: "Tray", form: "Stack", state: "Empty", content: "Compartment", size: "1.x", flow_id: "Stack handler_Destacking", sequence_id: "21", orientation: "Widthwise", flow_color: "rgb(239,90,104)", arrowhead_color: "rgb(194,220,188)", comments: "Empty 1.x traystacks are directed towards destacking", containers_per_stack: "4", throughput_per_minute: "0.0823772321428572" },
{ from: "Stack handler", to: "Destacking", long_text: "0.17_Tray_Stack", short_text: "0.17", fromSpot: "LeftSide", toSpot: "RightSide", container: "Tray", form: "Stack", state: "Partial", content: "Compartment", size: "Non 1.x (2.m:21%, 2.t:21%, 4.m:36%, 8.s:21%", flow_id: "Stack handler_Destacking", sequence_id: "22", orientation: "Widthwise", flow_color: "rgb(239,90,104)", arrowhead_color: "rgb(162,212,171)", comments: "Partial non 1.x traystacks are moved towards destacking", containers_per_stack: "4", throughput_per_minute: "0.174739583333333" },
{ from: "Stack handler", to: "Destacking", long_text: "0.1_Tray_Stack", short_text: "0.1", fromSpot: "LeftSide", toSpot: "RightSide", container: "Tray", form: "Stack", state: "Reorg", content: "Compartment", size: "Non 1.x (2.m:21%, 2.t:21%, 4.m:36%, 8.s:21%", flow_id: "Stack handler_Destacking", sequence_id: "23", orientation: "Widthwise", flow_color: "rgb(239,90,104)", arrowhead_color: "rgb(62,172,171)", comments: "Non 1.x traystacks needed reorganization are conveyed for destacking operations", containers_per_stack: "4", throughput_per_minute: "0.0975388346886192" },
{ from: "Destacking", to: "Traybreaker", long_text: "0.4_Tray_Single", short_text: "0.4", fromSpot: "TopSide", toSpot: "BottomSide", container: "Tray", form: "Single", state: "Empty", content: "Casepack", size: "Standard", flow_id: "Destacking_Traybreaker", sequence_id: "24", orientation: "Widthwise", flow_color: "rgb(239,90,104)", arrowhead_color: "rgb(194,220,188)", comments: "Empty singulated trays for housing casepacks head towards traybreaker", containers_per_stack: "", throughput_per_minute: "0.403333333333333" },
{ from: "Destacking", to: "Traybreaker", long_text: "0.33_Tray_Single", short_text: "0.33", fromSpot: "TopSide", toSpot: "BottomSide", container: "Tray", form: "Single", state: "Empty", content: "Compartment", size: "1.x", flow_id: "Destacking_Traybreaker", sequence_id: "25", orientation: "Widthwise", flow_color: "rgb(239,90,104)", arrowhead_color: "rgb(194,220,188)", comments: "Empty 1.x  singulated trays head towards traybreaking", containers_per_stack: "", throughput_per_minute: "0.329508928571429" },
{ from: "Destacking", to: "Traybreaker", long_text: "0.7_Tray_Single", short_text: "0.7", fromSpot: "TopSide", toSpot: "BottomSide", container: "Tray", form: "Single", state: "Partial", content: "Compartment", size: "Non 1.x (2.m:21%, 2.t:21%, 4.m:36%, 8.s:21%", flow_id: "Destacking_Traybreaker", sequence_id: "26", orientation: "Widthwise", flow_color: "rgb(239,90,104)", arrowhead_color: "rgb(162,212,171)", comments: "Partial singulated trays with empty non 1.x compartments head towards traybreaker", containers_per_stack: "", throughput_per_minute: "0.698958333333333" },
{ from: "Destacking", to: "Traybreaker", long_text: "0.39_Tray_Single", short_text: "0.39", fromSpot: "TopSide", toSpot: "BottomSide", container: "Tray", form: "Single", state: "Reorg", content: "Compartment", size: "Non 1.x (2.m:21%, 2.t:21%, 4.m:36%, 8.s:21%", flow_id: "Destacking_Traybreaker", sequence_id: "27", orientation: "Widthwise", flow_color: "rgb(239,90,104)", arrowhead_color: "rgb(62,172,171)", comments: "Singulated trays with non 1.x compartments needing reorganization head towards the traybreaker", containers_per_stack: "", throughput_per_minute: "0.390155338754477" },
{ from: "Traybreaker", to: "Inbound connector", long_text: "0.4_Tray_Single", short_text: "0.4", fromSpot: "LeftSide", toSpot: "RightSide", container: "Tray", form: "Single", state: "Empty", content: "Trayframe", size: "Standard", flow_id: "Traybreaker_Inbound connector", sequence_id: "28", orientation: "Widthwise", flow_color: "rgb(239,90,104)", arrowhead_color: "rgb(194,220,188)", comments: "Assuming that casepacks are housed in trayframes, the trayframes head towards the inbound connector to be matched with the corresponding casepacks", containers_per_stack: "", throughput_per_minute: "0.403333333333333" },
{ from: "Traybreaker", to: "Inbound connector", long_text: "0.33_Tray_Single", short_text: "0.33", fromSpot: "LeftSide", toSpot: "RightSide", container: "Tray", form: "Single", state: "Empty", content: "Compartment", size: "1.x", flow_id: "Traybreaker_Inbound connector", sequence_id: "29", orientation: "Widthwise", flow_color: "rgb(239,90,104)", arrowhead_color: "rgb(194,220,188)", comments: "There is nothing specific that happens to the 1.x trays via the traybreaker cell and so they just pass through to the inbound connector", containers_per_stack: "", throughput_per_minute: "0.329508928571429" },
{ from: "Traybreaker", to: "Inbound connector", long_text: "2.8_Compartment_Single", short_text: "2.8", fromSpot: "LeftSide", toSpot: "RightSide", container: "Compartment", form: "Single", state: "Partial", content: "Compartment", size: "Non 1.x (2.m:21%, 2.t:21%, 4.m:36%, 8.s:21%", flow_id: "Traybreaker_Inbound connector", sequence_id: "30", orientation: "Widthwise", flow_color: "rgb(212,221,218)", arrowhead_color: "rgb(162,212,171)", comments: "The trayframes get separated from the non 1.x compartments, some of which might be empty and both are directed towards the inbound connector", containers_per_stack: "", throughput_per_minute: "2.79583333333333" },
{ from: "Traybreaker", to: "Inbound connector", long_text: "1.56_Compartment_Single", short_text: "1.56", fromSpot: "LeftSide", toSpot: "RightSide", container: "Compartment", form: "Single", state: "Reorg", content: "Compartment", size: "Non 1.x (2.m:21%, 2.t:21%, 4.m:36%, 8.s:21%", flow_id: "Traybreaker_Inbound connector", sequence_id: "31", orientation: "Widthwise", flow_color: "rgb(212,221,218)", arrowhead_color: "rgb(62,172,171)", comments: "The trayframes get separated from the non 1.x compartments needing reorganization and both are directed towards the inbound connector", containers_per_stack: "", throughput_per_minute: "1.56062135501791" },
{ from: "Master dispenser", to: "Case receiving backend", long_text: "0.33_Tray_Single", short_text: "0.33", fromSpot: "LeftSide", toSpot: "RightSide", container: "Tray", form: "Single", state: "Empty", content: "Trayframe", size: "Standard", flow_id: "Master dispenser_Case receiving backend", sequence_id: "32", orientation: "Widthwise", flow_color: "rgb(239,90,104)", arrowhead_color: "rgb(194,220,188)", comments: "The empty trayframes required to contain the casepacks head from the master dispenser to the case receiving backend", containers_per_stack: "", throughput_per_minute: "0.329508928571429" },
{ from: "Traybreaker", to: "Inbound connector", long_text: "1.49_Tray_Single", short_text: "1.49", fromSpot: "LeftSide", toSpot: "RightSide", container: "Tray", form: "Single", state: "Empty", content: "Trayframe", size: "Standard", flow_id: "Traybreaker_Inbound connector", sequence_id: "33", orientation: "Widthwise", flow_color: "rgb(239,90,104)", arrowhead_color: "rgb(194,220,188)", comments: "After traybreaking, empty trayframes move from spur3 in the traybreaker cell to the inbound connector", containers_per_stack: "", throughput_per_minute: "1.49244700542114" },
{ from: "Inbound connector", to: "Traymaker", long_text: "3.59_Compartment_Single", short_text: "3.59", fromSpot: "LeftSide", toSpot: "RightSide", container: "Compartment", form: "Single", state: "Full", content: "Compartment", size: "Non 1.x (2.m:21%, 2.t:21%, 4.m:36%, 8.s:21%", flow_id: "Inbound connector_Traymaker", sequence_id: "34", orientation: "Widthwise", flow_color: "rgb(212,221,218)", arrowhead_color: "rgb(113,190,138)", comments: "This represents the non empty compartments which need to go back to the traymaking process for reconstitution with other compartments", containers_per_stack: "", throughput_per_minute: "3.58760052168457" },
{ from: "Inbound connector", to: "Traymaker", long_text: "1.09_Tray_Single", short_text: "1.09", fromSpot: "LeftSide", toSpot: "RightSide", container: "Tray", form: "Single", state: "Empty", content: "Trayframe", size: "Standard", flow_id: "Inbound connector_Traymaker", sequence_id: "35", orientation: "Widthwise", flow_color: "rgb(239,90,104)", arrowhead_color: "rgb(194,220,188)", comments: "A certain number of trayframes will now be directed from the inbound connector to the traymaker- this will be used to house the newly formed trays after the traymaking process", containers_per_stack: "", throughput_per_minute: "1.08911367208781" },</v>
      </c>
    </row>
    <row r="79" spans="1:49">
      <c r="A79" s="144"/>
      <c r="B79"/>
      <c r="C79"/>
      <c r="D79"/>
      <c r="E79"/>
      <c r="F79" s="7" t="s">
        <v>464</v>
      </c>
      <c r="G79" s="228">
        <v>4</v>
      </c>
      <c r="S79" s="242" t="s">
        <v>71</v>
      </c>
      <c r="T79" s="243"/>
      <c r="U79" s="243"/>
      <c r="V79" s="243">
        <v>-180</v>
      </c>
      <c r="W79" s="22">
        <v>300</v>
      </c>
      <c r="X79" s="22"/>
      <c r="Y79" s="22" t="s">
        <v>467</v>
      </c>
      <c r="Z79" t="str">
        <f t="shared" si="20"/>
        <v xml:space="preserve">
{ key: "Traymaker", loc: new go.Point(-126, 210), release: "Beta 1a" },</v>
      </c>
      <c r="AA79"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v>
      </c>
      <c r="AB79">
        <f t="shared" si="6"/>
        <v>135</v>
      </c>
      <c r="AC79" t="str">
        <f t="shared" si="0"/>
        <v>Traymaker_Outbound connector</v>
      </c>
      <c r="AD79" s="22" t="s">
        <v>71</v>
      </c>
      <c r="AE79" s="22" t="s">
        <v>72</v>
      </c>
      <c r="AF79" s="22" t="s">
        <v>52</v>
      </c>
      <c r="AG79" s="22" t="s">
        <v>232</v>
      </c>
      <c r="AH79" s="22" t="s">
        <v>336</v>
      </c>
      <c r="AI79" s="22" t="s">
        <v>435</v>
      </c>
      <c r="AJ79" s="22" t="s">
        <v>444</v>
      </c>
      <c r="AK79" s="22" t="s">
        <v>249</v>
      </c>
      <c r="AL79" s="22" t="s">
        <v>334</v>
      </c>
      <c r="AM79" s="22">
        <f t="shared" si="7"/>
        <v>36</v>
      </c>
      <c r="AN79" s="22" t="s">
        <v>609</v>
      </c>
      <c r="AP79" s="12">
        <f>(AP77+AP58)/G72</f>
        <v>1.0891136720878101</v>
      </c>
      <c r="AQ79" s="12" t="str">
        <f t="shared" si="13"/>
        <v>rgb(239,90,104)</v>
      </c>
      <c r="AR79" s="12" t="str">
        <f t="shared" si="14"/>
        <v>rgb(113,190,138)</v>
      </c>
      <c r="AS79" t="str">
        <f t="shared" si="15"/>
        <v>→1.09_Tray_Single_Full_Widthwise</v>
      </c>
      <c r="AT79" t="str">
        <f t="shared" si="16"/>
        <v>Traymaker [1.09] Outbound connector</v>
      </c>
      <c r="AU79" s="22" t="s">
        <v>512</v>
      </c>
      <c r="AV79" t="str">
        <f t="shared" si="5"/>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v>
      </c>
      <c r="AW79"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v>
      </c>
    </row>
    <row r="80" spans="1:49">
      <c r="A80" s="144"/>
      <c r="B80"/>
      <c r="C80"/>
      <c r="D80"/>
      <c r="E80"/>
      <c r="F80" s="7" t="s">
        <v>424</v>
      </c>
      <c r="G80" s="226">
        <f>G47/G51+G48/G52</f>
        <v>2.4420572916666668E-2</v>
      </c>
      <c r="S80" s="242" t="s">
        <v>72</v>
      </c>
      <c r="T80" s="243"/>
      <c r="U80" s="243"/>
      <c r="V80" s="243">
        <v>100</v>
      </c>
      <c r="W80" s="22">
        <v>500</v>
      </c>
      <c r="X80" s="22"/>
      <c r="Y80" s="22" t="s">
        <v>467</v>
      </c>
      <c r="Z80" t="str">
        <f t="shared" si="20"/>
        <v xml:space="preserve">
{ key: "Outbound connector", loc: new go.Point(70, 350), release: "Beta 1a" },</v>
      </c>
      <c r="AA80"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
{ key: "Outbound connector", loc: new go.Point(70, 350), release: "Beta 1a" },</v>
      </c>
      <c r="AB80">
        <f t="shared" si="6"/>
        <v>136</v>
      </c>
      <c r="AC80" t="str">
        <f t="shared" si="0"/>
        <v>Inbound connector_Outbound connector</v>
      </c>
      <c r="AD80" s="22" t="s">
        <v>141</v>
      </c>
      <c r="AE80" s="22" t="s">
        <v>72</v>
      </c>
      <c r="AF80" s="22" t="s">
        <v>52</v>
      </c>
      <c r="AG80" s="22" t="s">
        <v>232</v>
      </c>
      <c r="AH80" s="22" t="s">
        <v>336</v>
      </c>
      <c r="AI80" s="22" t="s">
        <v>435</v>
      </c>
      <c r="AJ80" s="22" t="s">
        <v>237</v>
      </c>
      <c r="AK80" s="22" t="s">
        <v>249</v>
      </c>
      <c r="AL80" s="22" t="s">
        <v>331</v>
      </c>
      <c r="AM80" s="22">
        <f t="shared" si="7"/>
        <v>37</v>
      </c>
      <c r="AN80" s="22" t="s">
        <v>610</v>
      </c>
      <c r="AO80" s="10"/>
      <c r="AP80" s="12">
        <f>AP56</f>
        <v>0.32950892857142861</v>
      </c>
      <c r="AQ80" s="12" t="str">
        <f t="shared" si="13"/>
        <v>rgb(239,90,104)</v>
      </c>
      <c r="AR80" s="12" t="str">
        <f t="shared" si="14"/>
        <v>rgb(113,190,138)</v>
      </c>
      <c r="AS80" t="str">
        <f t="shared" si="15"/>
        <v>↓0.33_Tray_Single_Full_Widthwise</v>
      </c>
      <c r="AT80" t="str">
        <f t="shared" si="16"/>
        <v>Inbound connector [0.33] Outbound connector</v>
      </c>
      <c r="AU80" s="22"/>
      <c r="AV80" t="str">
        <f t="shared" si="5"/>
        <v xml:space="preserve">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v>
      </c>
      <c r="AW80"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v>
      </c>
    </row>
    <row r="81" spans="1:49">
      <c r="A81" s="144"/>
      <c r="B81"/>
      <c r="C81"/>
      <c r="D81"/>
      <c r="E81"/>
      <c r="F81" s="7" t="s">
        <v>425</v>
      </c>
      <c r="G81" s="257">
        <v>0.9</v>
      </c>
      <c r="S81" s="243" t="s">
        <v>142</v>
      </c>
      <c r="T81" s="243"/>
      <c r="U81" s="243"/>
      <c r="V81" s="243">
        <v>350</v>
      </c>
      <c r="W81" s="22">
        <v>200</v>
      </c>
      <c r="X81" s="243"/>
      <c r="Y81" s="243" t="s">
        <v>468</v>
      </c>
      <c r="Z81" t="str">
        <f t="shared" si="20"/>
        <v xml:space="preserve">
{ key: "Tray wash", loc: new go.Point(245, 140), release: "HDS # 1" },</v>
      </c>
      <c r="AA81"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
{ key: "Outbound connector", loc: new go.Point(70, 350), release: "Beta 1a" },
{ key: "Tray wash", loc: new go.Point(245, 140), release: "HDS # 1" },</v>
      </c>
      <c r="AB81">
        <f t="shared" si="6"/>
        <v>137</v>
      </c>
      <c r="AC81" t="str">
        <f t="shared" si="0"/>
        <v>Inbound connector_Outbound connector</v>
      </c>
      <c r="AD81" s="22" t="s">
        <v>141</v>
      </c>
      <c r="AE81" s="22" t="s">
        <v>72</v>
      </c>
      <c r="AF81" s="22" t="s">
        <v>52</v>
      </c>
      <c r="AG81" s="22" t="s">
        <v>232</v>
      </c>
      <c r="AH81" s="22" t="s">
        <v>336</v>
      </c>
      <c r="AI81" s="22" t="s">
        <v>279</v>
      </c>
      <c r="AJ81" s="22" t="s">
        <v>437</v>
      </c>
      <c r="AK81" s="22" t="s">
        <v>249</v>
      </c>
      <c r="AL81" s="22" t="s">
        <v>331</v>
      </c>
      <c r="AM81" s="22">
        <f t="shared" si="7"/>
        <v>38</v>
      </c>
      <c r="AN81" s="22" t="s">
        <v>611</v>
      </c>
      <c r="AO81" s="10"/>
      <c r="AP81" s="12">
        <f>AP57</f>
        <v>0.40333333333333338</v>
      </c>
      <c r="AQ81" s="12" t="str">
        <f t="shared" si="13"/>
        <v>rgb(239,90,104)</v>
      </c>
      <c r="AR81" s="12" t="str">
        <f t="shared" si="14"/>
        <v>rgb(113,190,138)</v>
      </c>
      <c r="AS81" t="str">
        <f t="shared" si="15"/>
        <v>↓0.4_Tray_Single_Full_Widthwise</v>
      </c>
      <c r="AT81" t="str">
        <f t="shared" si="16"/>
        <v>Inbound connector [0.4] Outbound connector</v>
      </c>
      <c r="AU81" s="22"/>
      <c r="AV81" t="str">
        <f t="shared" si="5"/>
        <v xml:space="preserve">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v>
      </c>
      <c r="AW81"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v>
      </c>
    </row>
    <row r="82" spans="1:49">
      <c r="A82" s="144"/>
      <c r="B82"/>
      <c r="C82"/>
      <c r="D82"/>
      <c r="E82"/>
      <c r="F82" s="7" t="s">
        <v>428</v>
      </c>
      <c r="G82" s="256">
        <f>SUM(G56:G58)</f>
        <v>0.30000000000000004</v>
      </c>
      <c r="S82" s="243" t="s">
        <v>76</v>
      </c>
      <c r="T82" s="243" t="s">
        <v>397</v>
      </c>
      <c r="U82" s="243"/>
      <c r="V82" s="243"/>
      <c r="W82" s="22"/>
      <c r="X82" s="22"/>
      <c r="Y82" s="22" t="s">
        <v>467</v>
      </c>
      <c r="Z82" t="str">
        <f t="shared" si="20"/>
        <v xml:space="preserve">
{ key: "Inbound", isGroup: true},</v>
      </c>
      <c r="AA82"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
{ key: "Outbound connector", loc: new go.Point(70, 350), release: "Beta 1a" },
{ key: "Tray wash", loc: new go.Point(245, 140), release: "HDS # 1" },
{ key: "Inbound", isGroup: true},</v>
      </c>
      <c r="AB82">
        <f t="shared" si="6"/>
        <v>138</v>
      </c>
      <c r="AC82" t="str">
        <f t="shared" si="0"/>
        <v>Outbound connector_Shuffler</v>
      </c>
      <c r="AD82" s="22" t="s">
        <v>72</v>
      </c>
      <c r="AE82" s="22" t="s">
        <v>73</v>
      </c>
      <c r="AF82" s="22" t="s">
        <v>52</v>
      </c>
      <c r="AG82" s="22" t="s">
        <v>232</v>
      </c>
      <c r="AH82" s="22" t="s">
        <v>336</v>
      </c>
      <c r="AI82" s="22" t="s">
        <v>573</v>
      </c>
      <c r="AJ82" s="22" t="s">
        <v>241</v>
      </c>
      <c r="AK82" s="22" t="s">
        <v>249</v>
      </c>
      <c r="AL82" s="22" t="s">
        <v>331</v>
      </c>
      <c r="AM82" s="22">
        <f t="shared" si="7"/>
        <v>39</v>
      </c>
      <c r="AN82" s="22" t="s">
        <v>612</v>
      </c>
      <c r="AP82" s="12">
        <f>SUM(AP79:AP81)*G103</f>
        <v>0.54658678019777152</v>
      </c>
      <c r="AQ82" s="12" t="str">
        <f t="shared" si="13"/>
        <v>rgb(239,90,104)</v>
      </c>
      <c r="AR82" s="12" t="str">
        <f t="shared" si="14"/>
        <v>rgb(113,190,138)</v>
      </c>
      <c r="AS82" t="str">
        <f t="shared" si="15"/>
        <v>↓0.55_Tray_Single_Full_Widthwise</v>
      </c>
      <c r="AT82" t="str">
        <f t="shared" si="16"/>
        <v>Outbound connector [0.55] Shuffler</v>
      </c>
      <c r="AU82" s="22"/>
      <c r="AV82" t="str">
        <f t="shared" si="5"/>
        <v xml:space="preserve">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v>
      </c>
      <c r="AW82"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v>
      </c>
    </row>
    <row r="83" spans="1:49">
      <c r="A83" s="144"/>
      <c r="C83"/>
      <c r="D83"/>
      <c r="E83"/>
      <c r="F83" s="7" t="s">
        <v>429</v>
      </c>
      <c r="G83" s="256">
        <f>1-G82</f>
        <v>0.7</v>
      </c>
      <c r="S83" s="243" t="s">
        <v>442</v>
      </c>
      <c r="T83" s="243" t="s">
        <v>397</v>
      </c>
      <c r="U83" s="243"/>
      <c r="V83" s="243"/>
      <c r="W83" s="22"/>
      <c r="X83" s="22"/>
      <c r="Y83" s="22" t="s">
        <v>467</v>
      </c>
      <c r="Z83" t="str">
        <f t="shared" si="20"/>
        <v xml:space="preserve">
{ key: "Case receiving", isGroup: true},</v>
      </c>
      <c r="AA83"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
{ key: "Outbound connector", loc: new go.Point(70, 350), release: "Beta 1a" },
{ key: "Tray wash", loc: new go.Point(245, 140), release: "HDS # 1" },
{ key: "Inbound", isGroup: true},
{ key: "Case receiving", isGroup: true},</v>
      </c>
      <c r="AB83">
        <f t="shared" si="6"/>
        <v>139</v>
      </c>
      <c r="AC83" t="str">
        <f t="shared" si="0"/>
        <v>Shuffler_Outbound connector</v>
      </c>
      <c r="AD83" s="22" t="s">
        <v>73</v>
      </c>
      <c r="AE83" s="22" t="s">
        <v>72</v>
      </c>
      <c r="AF83" s="22" t="s">
        <v>52</v>
      </c>
      <c r="AG83" s="22" t="s">
        <v>232</v>
      </c>
      <c r="AH83" s="22" t="s">
        <v>336</v>
      </c>
      <c r="AI83" s="22" t="s">
        <v>573</v>
      </c>
      <c r="AJ83" s="22" t="s">
        <v>241</v>
      </c>
      <c r="AK83" s="22" t="s">
        <v>249</v>
      </c>
      <c r="AL83" s="22" t="s">
        <v>333</v>
      </c>
      <c r="AM83" s="22">
        <f t="shared" si="7"/>
        <v>40</v>
      </c>
      <c r="AN83" s="22" t="s">
        <v>613</v>
      </c>
      <c r="AP83" s="12">
        <f>AP82</f>
        <v>0.54658678019777152</v>
      </c>
      <c r="AQ83" s="12" t="str">
        <f t="shared" si="13"/>
        <v>rgb(239,90,104)</v>
      </c>
      <c r="AR83" s="12" t="str">
        <f t="shared" si="14"/>
        <v>rgb(113,190,138)</v>
      </c>
      <c r="AS83" t="str">
        <f t="shared" si="15"/>
        <v>↑0.55_Tray_Single_Full_Widthwise</v>
      </c>
      <c r="AT83" t="str">
        <f t="shared" si="16"/>
        <v>Shuffler [0.55] Outbound connector</v>
      </c>
      <c r="AU83" s="22"/>
      <c r="AV83" t="str">
        <f t="shared" si="5"/>
        <v xml:space="preserve">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v>
      </c>
      <c r="AW83"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v>
      </c>
    </row>
    <row r="84" spans="1:49">
      <c r="A84" s="144"/>
      <c r="C84"/>
      <c r="D84"/>
      <c r="E84"/>
      <c r="F84" s="7" t="s">
        <v>433</v>
      </c>
      <c r="G84" s="258">
        <f>G47/G71</f>
        <v>1.0983630952380952</v>
      </c>
      <c r="S84" s="243" t="s">
        <v>443</v>
      </c>
      <c r="T84" s="243" t="s">
        <v>397</v>
      </c>
      <c r="U84" s="243"/>
      <c r="V84" s="243"/>
      <c r="W84" s="22"/>
      <c r="X84" s="22" t="s">
        <v>403</v>
      </c>
      <c r="Y84" s="22" t="s">
        <v>467</v>
      </c>
      <c r="Z84" t="str">
        <f t="shared" si="20"/>
        <v xml:space="preserve">
{ key: "Manual receiving", isGroup: true}],</v>
      </c>
      <c r="AA84" t="str">
        <f t="shared" si="21"/>
        <v xml:space="preserve">
{ key: "MR", loc: new go.Point(630, 385), release: "Beta 1a" },
{ key: "PMR", group: "Inbound", loc: new go.Point(980, 70), release: "Beta 1a" },
{ key: "Stacker", isGroup: true},
{ key: "Stacking", group: "Stacker", loc: new go.Point(280, 437.5), release: "Beta 1a" },
{ key: "Destacking", group: "Stacker", loc: new go.Point(280, 385), release: "Beta 1a" },
{ key: "Shuffler", loc: new go.Point(70, 437.5), release: "HDS # 1" },
{ key: "Stack handler", loc: new go.Point(490, 385), release: "Beta 1a" },
{ key: "Pallet handler", group: "Inbound", loc: new go.Point(840, 70), release: "HDS # 1" },
{ key: "Trashbaler", loc: new go.Point(980, 210), release: "HDS # 1" },
{ key: "Depalletizer", group: "Inbound", loc: new go.Point(840, 140), release: "HDS # 1" },
{ key: "Case receiving frontend", group: "Case receiving", loc: new go.Point(630, 140), release: "HDS # 1" },
{ key: "Case receiving backend", group: "Case receiving", loc: new go.Point(630, 210), release: "HDS # 1" },
{ key: "Master dispenser", loc: new go.Point(840, 245), release: "Beta 1a" },
{ key: "Manual receiving frontend", group: "Manual receiving", loc: new go.Point(420, 140), release: "Beta 1a" },
{ key: "Manual receiving backend", group: "Manual receiving", loc: new go.Point(420, 210), release: "Beta 1a" },
{ key: "Prep", loc: new go.Point(245, 210), release: "Beta 1a" },
{ key: "Traybreaker", loc: new go.Point(280, 280), release: "Beta 1a" },
{ key: "Inbound connector", loc: new go.Point(70, 210), release: "Beta 1a" },
{ key: "Traymaker", loc: new go.Point(-126, 210), release: "Beta 1a" },
{ key: "Outbound connector", loc: new go.Point(70, 350), release: "Beta 1a" },
{ key: "Tray wash", loc: new go.Point(245, 140), release: "HDS # 1" },
{ key: "Inbound", isGroup: true},
{ key: "Case receiving", isGroup: true},
{ key: "Manual receiving", isGroup: true}],</v>
      </c>
      <c r="AB84">
        <f t="shared" si="6"/>
        <v>140</v>
      </c>
      <c r="AC84" t="str">
        <f t="shared" si="0"/>
        <v>Outbound connector_Stacking</v>
      </c>
      <c r="AD84" s="22" t="s">
        <v>72</v>
      </c>
      <c r="AE84" s="22" t="s">
        <v>120</v>
      </c>
      <c r="AF84" s="22" t="s">
        <v>52</v>
      </c>
      <c r="AG84" s="22" t="s">
        <v>232</v>
      </c>
      <c r="AH84" s="22" t="s">
        <v>336</v>
      </c>
      <c r="AI84" s="22" t="s">
        <v>573</v>
      </c>
      <c r="AJ84" s="22" t="s">
        <v>241</v>
      </c>
      <c r="AK84" s="22" t="s">
        <v>249</v>
      </c>
      <c r="AL84" s="22" t="s">
        <v>334</v>
      </c>
      <c r="AM84" s="22">
        <f t="shared" si="7"/>
        <v>41</v>
      </c>
      <c r="AN84" s="22" t="s">
        <v>614</v>
      </c>
      <c r="AP84" s="12">
        <f>SUM(AP79:AP81)</f>
        <v>1.8219559339925719</v>
      </c>
      <c r="AQ84" s="12" t="str">
        <f t="shared" si="13"/>
        <v>rgb(239,90,104)</v>
      </c>
      <c r="AR84" s="12" t="str">
        <f t="shared" si="14"/>
        <v>rgb(113,190,138)</v>
      </c>
      <c r="AS84" t="str">
        <f t="shared" si="15"/>
        <v>→1.82_Tray_Single_Full_Widthwise</v>
      </c>
      <c r="AT84" t="str">
        <f t="shared" si="16"/>
        <v>Outbound connector [1.82] Stacking</v>
      </c>
      <c r="AU84" s="22"/>
      <c r="AV84" t="str">
        <f t="shared" si="5"/>
        <v xml:space="preserve">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v>
      </c>
      <c r="AW84"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v>
      </c>
    </row>
    <row r="85" spans="1:49">
      <c r="A85" s="144"/>
      <c r="B85"/>
      <c r="C85"/>
      <c r="D85"/>
      <c r="E85"/>
      <c r="F85" s="7" t="s">
        <v>446</v>
      </c>
      <c r="G85" s="258">
        <f>G84*G82</f>
        <v>0.32950892857142861</v>
      </c>
      <c r="AB85">
        <f t="shared" si="6"/>
        <v>141</v>
      </c>
      <c r="AC85" t="str">
        <f t="shared" si="0"/>
        <v>Stacking_Stack handler</v>
      </c>
      <c r="AD85" s="22" t="s">
        <v>120</v>
      </c>
      <c r="AE85" s="22" t="s">
        <v>122</v>
      </c>
      <c r="AF85" s="22" t="s">
        <v>52</v>
      </c>
      <c r="AG85" s="22" t="s">
        <v>262</v>
      </c>
      <c r="AH85" s="22" t="s">
        <v>336</v>
      </c>
      <c r="AI85" s="22" t="s">
        <v>573</v>
      </c>
      <c r="AJ85" s="22" t="s">
        <v>241</v>
      </c>
      <c r="AK85" s="22" t="s">
        <v>249</v>
      </c>
      <c r="AL85" s="22" t="s">
        <v>334</v>
      </c>
      <c r="AM85" s="22">
        <f t="shared" si="7"/>
        <v>42</v>
      </c>
      <c r="AN85" s="22" t="s">
        <v>615</v>
      </c>
      <c r="AO85" s="10">
        <f>$G$79</f>
        <v>4</v>
      </c>
      <c r="AP85" s="12">
        <f>AP84/G79</f>
        <v>0.45548898349814299</v>
      </c>
      <c r="AQ85" s="12" t="str">
        <f t="shared" si="13"/>
        <v>rgb(239,90,104)</v>
      </c>
      <c r="AR85" s="12" t="str">
        <f t="shared" si="14"/>
        <v>rgb(113,190,138)</v>
      </c>
      <c r="AS85" t="str">
        <f t="shared" si="15"/>
        <v>→0.46_Tray_Stack_Full_Widthwise</v>
      </c>
      <c r="AT85" t="str">
        <f t="shared" si="16"/>
        <v>Stacking [0.46] Stack handler</v>
      </c>
      <c r="AU85" s="22"/>
      <c r="AV85" t="str">
        <f t="shared" si="5"/>
        <v xml:space="preserve">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v>
      </c>
      <c r="AW85"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v>
      </c>
    </row>
    <row r="86" spans="1:49">
      <c r="A86" s="144"/>
      <c r="B86"/>
      <c r="C86"/>
      <c r="D86"/>
      <c r="E86"/>
      <c r="F86" s="7" t="s">
        <v>434</v>
      </c>
      <c r="G86" s="258">
        <f>G84-G85</f>
        <v>0.76885416666666662</v>
      </c>
      <c r="AB86">
        <f t="shared" si="6"/>
        <v>142</v>
      </c>
      <c r="AC86" t="str">
        <f t="shared" si="0"/>
        <v>Stack handler_MR</v>
      </c>
      <c r="AD86" s="22" t="s">
        <v>122</v>
      </c>
      <c r="AE86" s="22" t="s">
        <v>160</v>
      </c>
      <c r="AF86" s="22" t="s">
        <v>52</v>
      </c>
      <c r="AG86" s="22" t="s">
        <v>262</v>
      </c>
      <c r="AH86" s="22" t="s">
        <v>336</v>
      </c>
      <c r="AI86" s="22" t="s">
        <v>573</v>
      </c>
      <c r="AJ86" s="22" t="s">
        <v>241</v>
      </c>
      <c r="AK86" s="22" t="s">
        <v>249</v>
      </c>
      <c r="AL86" s="22" t="s">
        <v>334</v>
      </c>
      <c r="AM86" s="22">
        <f t="shared" si="7"/>
        <v>43</v>
      </c>
      <c r="AN86" s="22" t="s">
        <v>616</v>
      </c>
      <c r="AO86" s="10">
        <f>$G$79</f>
        <v>4</v>
      </c>
      <c r="AP86" s="12">
        <f>AP85</f>
        <v>0.45548898349814299</v>
      </c>
      <c r="AQ86" s="12" t="str">
        <f t="shared" si="13"/>
        <v>rgb(239,90,104)</v>
      </c>
      <c r="AR86" s="12" t="str">
        <f t="shared" si="14"/>
        <v>rgb(113,190,138)</v>
      </c>
      <c r="AS86" t="str">
        <f t="shared" si="15"/>
        <v>→0.46_Tray_Stack_Full_Widthwise</v>
      </c>
      <c r="AT86" t="str">
        <f t="shared" si="16"/>
        <v>Stack handler [0.46] MR</v>
      </c>
      <c r="AU86" s="22"/>
      <c r="AV86" t="str">
        <f t="shared" si="5"/>
        <v xml:space="preserve">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v>
      </c>
      <c r="AW86"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v>
      </c>
    </row>
    <row r="87" spans="1:49">
      <c r="A87" s="144"/>
      <c r="B87"/>
      <c r="C87"/>
      <c r="D87"/>
      <c r="E87" s="7" t="s">
        <v>441</v>
      </c>
      <c r="F87" s="7" t="s">
        <v>274</v>
      </c>
      <c r="G87" s="255">
        <f>G59/SUM(G$59:G$62)</f>
        <v>0.2142857142857143</v>
      </c>
      <c r="AB87">
        <f t="shared" si="6"/>
        <v>143</v>
      </c>
      <c r="AC87" t="str">
        <f t="shared" si="0"/>
        <v>Inbound connector_Manual receiving backend</v>
      </c>
      <c r="AD87" s="22" t="s">
        <v>141</v>
      </c>
      <c r="AE87" s="22" t="s">
        <v>140</v>
      </c>
      <c r="AF87" s="22" t="s">
        <v>435</v>
      </c>
      <c r="AG87" s="22" t="s">
        <v>232</v>
      </c>
      <c r="AH87" s="22" t="s">
        <v>337</v>
      </c>
      <c r="AI87" s="22" t="s">
        <v>435</v>
      </c>
      <c r="AJ87" s="22" t="s">
        <v>237</v>
      </c>
      <c r="AK87" s="22" t="s">
        <v>249</v>
      </c>
      <c r="AL87" s="22" t="s">
        <v>334</v>
      </c>
      <c r="AM87" s="22">
        <f t="shared" si="7"/>
        <v>44</v>
      </c>
      <c r="AN87" s="22" t="s">
        <v>617</v>
      </c>
      <c r="AP87" s="12">
        <f>AP72</f>
        <v>0.32950892857142861</v>
      </c>
      <c r="AQ87" s="12" t="str">
        <f t="shared" si="13"/>
        <v>rgb(212,221,218)</v>
      </c>
      <c r="AR87" s="12" t="str">
        <f t="shared" si="14"/>
        <v>rgb(194,220,188)</v>
      </c>
      <c r="AS87" t="str">
        <f t="shared" si="15"/>
        <v>→0.33_Compartment_Single_Empty_Widthwise</v>
      </c>
      <c r="AT87" t="str">
        <f t="shared" si="16"/>
        <v>Inbound connector [0.33] Manual receiving backend</v>
      </c>
      <c r="AU87" s="22"/>
      <c r="AV87" t="str">
        <f t="shared" si="5"/>
        <v xml:space="preserve">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v>
      </c>
      <c r="AW87"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v>
      </c>
    </row>
    <row r="88" spans="1:49">
      <c r="A88" s="144"/>
      <c r="B88"/>
      <c r="C88"/>
      <c r="D88"/>
      <c r="E88"/>
      <c r="F88" s="7" t="s">
        <v>275</v>
      </c>
      <c r="G88" s="255">
        <f t="shared" ref="G88:G90" si="25">G60/SUM(G$59:G$62)</f>
        <v>0.2142857142857143</v>
      </c>
      <c r="AB88">
        <f t="shared" si="6"/>
        <v>144</v>
      </c>
      <c r="AC88" t="str">
        <f t="shared" si="0"/>
        <v>Inbound connector_Manual receiving backend</v>
      </c>
      <c r="AD88" s="22" t="s">
        <v>141</v>
      </c>
      <c r="AE88" s="22" t="s">
        <v>140</v>
      </c>
      <c r="AF88" s="22" t="s">
        <v>435</v>
      </c>
      <c r="AG88" s="22" t="s">
        <v>232</v>
      </c>
      <c r="AH88" s="22" t="s">
        <v>337</v>
      </c>
      <c r="AI88" s="22" t="s">
        <v>435</v>
      </c>
      <c r="AJ88" s="22" t="s">
        <v>444</v>
      </c>
      <c r="AK88" s="22" t="s">
        <v>249</v>
      </c>
      <c r="AL88" s="22" t="s">
        <v>334</v>
      </c>
      <c r="AM88" s="22">
        <f t="shared" si="7"/>
        <v>45</v>
      </c>
      <c r="AN88" s="22" t="s">
        <v>619</v>
      </c>
      <c r="AP88" s="12">
        <f>SUM(AP73:AP74)-AP77</f>
        <v>0.76885416666666639</v>
      </c>
      <c r="AQ88" s="12" t="str">
        <f t="shared" si="13"/>
        <v>rgb(212,221,218)</v>
      </c>
      <c r="AR88" s="12" t="str">
        <f t="shared" si="14"/>
        <v>rgb(194,220,188)</v>
      </c>
      <c r="AS88" t="str">
        <f t="shared" si="15"/>
        <v>→0.77_Compartment_Single_Empty_Widthwise</v>
      </c>
      <c r="AT88" t="str">
        <f t="shared" si="16"/>
        <v>Inbound connector [0.77] Manual receiving backend</v>
      </c>
      <c r="AU88" s="22"/>
      <c r="AV88" t="str">
        <f t="shared" si="5"/>
        <v xml:space="preserve">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v>
      </c>
      <c r="AW88"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v>
      </c>
    </row>
    <row r="89" spans="1:49">
      <c r="A89" s="144"/>
      <c r="B89"/>
      <c r="C89"/>
      <c r="D89"/>
      <c r="E89"/>
      <c r="F89" s="7" t="s">
        <v>276</v>
      </c>
      <c r="G89" s="255">
        <f t="shared" si="25"/>
        <v>0.35714285714285715</v>
      </c>
      <c r="AB89">
        <f t="shared" si="6"/>
        <v>145</v>
      </c>
      <c r="AC89" t="str">
        <f t="shared" si="0"/>
        <v>Manual receiving backend_Case receiving backend</v>
      </c>
      <c r="AD89" s="22" t="s">
        <v>140</v>
      </c>
      <c r="AE89" s="22" t="s">
        <v>136</v>
      </c>
      <c r="AF89" s="22" t="s">
        <v>435</v>
      </c>
      <c r="AG89" s="22" t="s">
        <v>232</v>
      </c>
      <c r="AH89" s="22" t="s">
        <v>337</v>
      </c>
      <c r="AI89" s="22" t="s">
        <v>435</v>
      </c>
      <c r="AJ89" s="22" t="s">
        <v>237</v>
      </c>
      <c r="AK89" s="22" t="s">
        <v>249</v>
      </c>
      <c r="AL89" s="22" t="s">
        <v>334</v>
      </c>
      <c r="AM89" s="22">
        <f t="shared" si="7"/>
        <v>46</v>
      </c>
      <c r="AN89" s="22" t="s">
        <v>618</v>
      </c>
      <c r="AP89" s="12">
        <f>AP87</f>
        <v>0.32950892857142861</v>
      </c>
      <c r="AQ89" s="12" t="str">
        <f t="shared" si="13"/>
        <v>rgb(212,221,218)</v>
      </c>
      <c r="AR89" s="12" t="str">
        <f t="shared" si="14"/>
        <v>rgb(194,220,188)</v>
      </c>
      <c r="AS89" t="str">
        <f t="shared" si="15"/>
        <v>→0.33_Compartment_Single_Empty_Widthwise</v>
      </c>
      <c r="AT89" t="str">
        <f t="shared" si="16"/>
        <v>Manual receiving backend [0.33] Case receiving backend</v>
      </c>
      <c r="AU89" s="22"/>
      <c r="AV89" t="str">
        <f t="shared" si="5"/>
        <v xml:space="preserve">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v>
      </c>
      <c r="AW89"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v>
      </c>
    </row>
    <row r="90" spans="1:49">
      <c r="A90" s="144"/>
      <c r="B90"/>
      <c r="C90"/>
      <c r="D90"/>
      <c r="E90"/>
      <c r="F90" s="7" t="s">
        <v>277</v>
      </c>
      <c r="G90" s="255">
        <f t="shared" si="25"/>
        <v>0.21428571428571416</v>
      </c>
      <c r="AB90">
        <f t="shared" si="6"/>
        <v>146</v>
      </c>
      <c r="AC90" t="str">
        <f t="shared" si="0"/>
        <v>Manual receiving backend_Case receiving backend</v>
      </c>
      <c r="AD90" s="22" t="s">
        <v>140</v>
      </c>
      <c r="AE90" s="22" t="s">
        <v>136</v>
      </c>
      <c r="AF90" s="22" t="s">
        <v>435</v>
      </c>
      <c r="AG90" s="22" t="s">
        <v>232</v>
      </c>
      <c r="AH90" s="22" t="s">
        <v>337</v>
      </c>
      <c r="AI90" s="22" t="s">
        <v>435</v>
      </c>
      <c r="AJ90" s="22" t="s">
        <v>444</v>
      </c>
      <c r="AK90" s="22" t="s">
        <v>249</v>
      </c>
      <c r="AL90" s="22" t="s">
        <v>334</v>
      </c>
      <c r="AM90" s="22">
        <f t="shared" si="7"/>
        <v>47</v>
      </c>
      <c r="AN90" s="22" t="s">
        <v>620</v>
      </c>
      <c r="AO90" s="10"/>
      <c r="AP90" s="12">
        <f>AP88</f>
        <v>0.76885416666666639</v>
      </c>
      <c r="AQ90" s="12" t="str">
        <f t="shared" si="13"/>
        <v>rgb(212,221,218)</v>
      </c>
      <c r="AR90" s="12" t="str">
        <f t="shared" si="14"/>
        <v>rgb(194,220,188)</v>
      </c>
      <c r="AS90" t="str">
        <f t="shared" si="15"/>
        <v>→0.77_Compartment_Single_Empty_Widthwise</v>
      </c>
      <c r="AT90" t="str">
        <f t="shared" si="16"/>
        <v>Manual receiving backend [0.77] Case receiving backend</v>
      </c>
      <c r="AU90" s="22"/>
      <c r="AV90" t="str">
        <f t="shared" si="5"/>
        <v xml:space="preserve">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v>
      </c>
      <c r="AW90"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v>
      </c>
    </row>
    <row r="91" spans="1:49">
      <c r="A91" s="144"/>
      <c r="B91"/>
      <c r="C91" s="7" t="s">
        <v>447</v>
      </c>
      <c r="D91" t="s">
        <v>453</v>
      </c>
      <c r="F91" s="7" t="s">
        <v>448</v>
      </c>
      <c r="G91" s="259">
        <f>G86</f>
        <v>0.76885416666666662</v>
      </c>
      <c r="AB91">
        <f t="shared" si="6"/>
        <v>147</v>
      </c>
      <c r="AC91" t="str">
        <f t="shared" si="0"/>
        <v>Case receiving backend_Master dispenser</v>
      </c>
      <c r="AD91" s="22" t="s">
        <v>136</v>
      </c>
      <c r="AE91" s="22" t="s">
        <v>138</v>
      </c>
      <c r="AF91" s="22" t="s">
        <v>435</v>
      </c>
      <c r="AG91" s="22" t="s">
        <v>232</v>
      </c>
      <c r="AH91" s="22" t="s">
        <v>337</v>
      </c>
      <c r="AI91" s="22" t="s">
        <v>435</v>
      </c>
      <c r="AJ91" s="22" t="s">
        <v>237</v>
      </c>
      <c r="AK91" s="22" t="s">
        <v>249</v>
      </c>
      <c r="AL91" s="22" t="s">
        <v>334</v>
      </c>
      <c r="AM91" s="22">
        <f t="shared" si="7"/>
        <v>48</v>
      </c>
      <c r="AN91" s="22" t="s">
        <v>621</v>
      </c>
      <c r="AO91" s="10"/>
      <c r="AP91" s="12">
        <f>AP89</f>
        <v>0.32950892857142861</v>
      </c>
      <c r="AQ91" s="12" t="str">
        <f t="shared" si="13"/>
        <v>rgb(212,221,218)</v>
      </c>
      <c r="AR91" s="12" t="str">
        <f t="shared" si="14"/>
        <v>rgb(194,220,188)</v>
      </c>
      <c r="AS91" t="str">
        <f t="shared" si="15"/>
        <v>→0.33_Compartment_Single_Empty_Widthwise</v>
      </c>
      <c r="AT91" t="str">
        <f t="shared" si="16"/>
        <v>Case receiving backend [0.33] Master dispenser</v>
      </c>
      <c r="AU91" s="22"/>
      <c r="AV91" t="str">
        <f t="shared" si="5"/>
        <v xml:space="preserve">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v>
      </c>
      <c r="AW91"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v>
      </c>
    </row>
    <row r="92" spans="1:49">
      <c r="A92" s="144"/>
      <c r="B92"/>
      <c r="C92"/>
      <c r="D92"/>
      <c r="E92"/>
      <c r="F92" s="7" t="s">
        <v>571</v>
      </c>
      <c r="G92" s="260">
        <v>1.1000000000000001</v>
      </c>
      <c r="AB92">
        <f t="shared" si="6"/>
        <v>148</v>
      </c>
      <c r="AC92" t="str">
        <f t="shared" si="0"/>
        <v>Case receiving backend_Master dispenser</v>
      </c>
      <c r="AD92" s="22" t="s">
        <v>136</v>
      </c>
      <c r="AE92" s="22" t="s">
        <v>138</v>
      </c>
      <c r="AF92" s="22" t="s">
        <v>435</v>
      </c>
      <c r="AG92" s="22" t="s">
        <v>232</v>
      </c>
      <c r="AH92" s="22" t="s">
        <v>337</v>
      </c>
      <c r="AI92" s="22" t="s">
        <v>435</v>
      </c>
      <c r="AJ92" s="22" t="s">
        <v>444</v>
      </c>
      <c r="AK92" s="22" t="s">
        <v>249</v>
      </c>
      <c r="AL92" s="22" t="s">
        <v>334</v>
      </c>
      <c r="AM92" s="22">
        <f t="shared" si="7"/>
        <v>49</v>
      </c>
      <c r="AN92" s="22" t="s">
        <v>622</v>
      </c>
      <c r="AO92" s="10"/>
      <c r="AP92" s="12">
        <f>AP90</f>
        <v>0.76885416666666639</v>
      </c>
      <c r="AQ92" s="12" t="str">
        <f t="shared" si="13"/>
        <v>rgb(212,221,218)</v>
      </c>
      <c r="AR92" s="12" t="str">
        <f t="shared" si="14"/>
        <v>rgb(194,220,188)</v>
      </c>
      <c r="AS92" t="str">
        <f t="shared" si="15"/>
        <v>→0.77_Compartment_Single_Empty_Widthwise</v>
      </c>
      <c r="AT92" t="str">
        <f t="shared" si="16"/>
        <v>Case receiving backend [0.77] Master dispenser</v>
      </c>
      <c r="AU92" s="22"/>
      <c r="AV92" t="str">
        <f t="shared" si="5"/>
        <v xml:space="preserve">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v>
      </c>
      <c r="AW92"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v>
      </c>
    </row>
    <row r="93" spans="1:49">
      <c r="A93" s="144"/>
      <c r="B93"/>
      <c r="C93"/>
      <c r="D93"/>
      <c r="E93"/>
      <c r="F93" s="7" t="s">
        <v>449</v>
      </c>
      <c r="G93" s="258">
        <f>G91/G92</f>
        <v>0.69895833333333324</v>
      </c>
      <c r="AB93">
        <f t="shared" si="6"/>
        <v>149</v>
      </c>
      <c r="AC93" t="str">
        <f t="shared" si="0"/>
        <v>Case receiving backend_Manual receiving backend</v>
      </c>
      <c r="AD93" s="242" t="s">
        <v>136</v>
      </c>
      <c r="AE93" s="242" t="s">
        <v>140</v>
      </c>
      <c r="AF93" s="22" t="s">
        <v>52</v>
      </c>
      <c r="AG93" s="22" t="s">
        <v>232</v>
      </c>
      <c r="AH93" s="22" t="s">
        <v>337</v>
      </c>
      <c r="AI93" s="22" t="s">
        <v>466</v>
      </c>
      <c r="AJ93" s="22" t="s">
        <v>437</v>
      </c>
      <c r="AK93" s="22" t="s">
        <v>249</v>
      </c>
      <c r="AL93" s="22" t="s">
        <v>332</v>
      </c>
      <c r="AM93" s="22">
        <f t="shared" si="7"/>
        <v>50</v>
      </c>
      <c r="AN93" s="22" t="s">
        <v>623</v>
      </c>
      <c r="AP93" s="12">
        <f>AP53-AP47</f>
        <v>-3.3491071428571439E-2</v>
      </c>
      <c r="AQ93" s="12" t="str">
        <f t="shared" si="13"/>
        <v>rgb(239,90,104)</v>
      </c>
      <c r="AR93" s="12" t="str">
        <f t="shared" si="14"/>
        <v>rgb(194,220,188)</v>
      </c>
      <c r="AS93" t="str">
        <f t="shared" si="15"/>
        <v>←-0.03_Tray_Single_Empty_Widthwise</v>
      </c>
      <c r="AT93" t="str">
        <f t="shared" si="16"/>
        <v>Case receiving backend [-0.03] Manual receiving backend</v>
      </c>
      <c r="AU93" s="22"/>
      <c r="AV93" t="str">
        <f t="shared" si="5"/>
        <v xml:space="preserve">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v>
      </c>
      <c r="AW93"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v>
      </c>
    </row>
    <row r="94" spans="1:49">
      <c r="A94" s="144"/>
      <c r="B94"/>
      <c r="C94"/>
      <c r="D94" t="s">
        <v>237</v>
      </c>
      <c r="E94"/>
      <c r="F94" s="7" t="s">
        <v>450</v>
      </c>
      <c r="G94" s="259">
        <f>G85</f>
        <v>0.32950892857142861</v>
      </c>
      <c r="AB94">
        <f t="shared" si="6"/>
        <v>150</v>
      </c>
      <c r="AC94" t="str">
        <f t="shared" si="0"/>
        <v>Master dispenser_Case receiving backend</v>
      </c>
      <c r="AD94" s="22" t="s">
        <v>138</v>
      </c>
      <c r="AE94" s="242" t="s">
        <v>136</v>
      </c>
      <c r="AF94" s="22" t="s">
        <v>435</v>
      </c>
      <c r="AG94" s="22" t="s">
        <v>232</v>
      </c>
      <c r="AH94" s="22" t="s">
        <v>337</v>
      </c>
      <c r="AI94" s="22" t="s">
        <v>435</v>
      </c>
      <c r="AJ94" s="22" t="s">
        <v>444</v>
      </c>
      <c r="AK94" s="22" t="s">
        <v>249</v>
      </c>
      <c r="AL94" s="22" t="s">
        <v>332</v>
      </c>
      <c r="AM94" s="22">
        <f t="shared" si="7"/>
        <v>51</v>
      </c>
      <c r="AN94" s="22" t="s">
        <v>624</v>
      </c>
      <c r="AP94" s="12">
        <f>AP92</f>
        <v>0.76885416666666639</v>
      </c>
      <c r="AQ94" s="12" t="str">
        <f t="shared" si="13"/>
        <v>rgb(212,221,218)</v>
      </c>
      <c r="AR94" s="12" t="str">
        <f t="shared" si="14"/>
        <v>rgb(194,220,188)</v>
      </c>
      <c r="AS94" t="str">
        <f t="shared" si="15"/>
        <v>←0.77_Compartment_Single_Empty_Widthwise</v>
      </c>
      <c r="AT94" t="str">
        <f t="shared" si="16"/>
        <v>Master dispenser [0.77] Case receiving backend</v>
      </c>
      <c r="AU94" s="22"/>
      <c r="AV94" t="str">
        <f t="shared" si="5"/>
        <v xml:space="preserve">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v>
      </c>
      <c r="AW94"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v>
      </c>
    </row>
    <row r="95" spans="1:49">
      <c r="A95" s="144"/>
      <c r="B95"/>
      <c r="C95"/>
      <c r="D95"/>
      <c r="E95"/>
      <c r="F95" s="7" t="s">
        <v>451</v>
      </c>
      <c r="G95" s="173">
        <f>G48</f>
        <v>0.40333333333333338</v>
      </c>
      <c r="AB95">
        <f t="shared" si="6"/>
        <v>151</v>
      </c>
      <c r="AC95" t="str">
        <f t="shared" si="0"/>
        <v>Case receiving backend_Manual receiving backend</v>
      </c>
      <c r="AD95" s="242" t="s">
        <v>136</v>
      </c>
      <c r="AE95" s="22" t="s">
        <v>140</v>
      </c>
      <c r="AF95" s="22" t="s">
        <v>435</v>
      </c>
      <c r="AG95" s="22" t="s">
        <v>232</v>
      </c>
      <c r="AH95" s="22" t="s">
        <v>337</v>
      </c>
      <c r="AI95" s="22" t="s">
        <v>435</v>
      </c>
      <c r="AJ95" s="22" t="s">
        <v>444</v>
      </c>
      <c r="AK95" s="22" t="s">
        <v>249</v>
      </c>
      <c r="AL95" s="22" t="s">
        <v>332</v>
      </c>
      <c r="AM95" s="22">
        <f t="shared" si="7"/>
        <v>52</v>
      </c>
      <c r="AN95" s="22" t="s">
        <v>625</v>
      </c>
      <c r="AO95" s="10"/>
      <c r="AP95" s="12">
        <f>AP94</f>
        <v>0.76885416666666639</v>
      </c>
      <c r="AQ95" s="12" t="str">
        <f t="shared" si="13"/>
        <v>rgb(212,221,218)</v>
      </c>
      <c r="AR95" s="12" t="str">
        <f t="shared" si="14"/>
        <v>rgb(194,220,188)</v>
      </c>
      <c r="AS95" t="str">
        <f t="shared" si="15"/>
        <v>←0.77_Compartment_Single_Empty_Widthwise</v>
      </c>
      <c r="AT95" t="str">
        <f t="shared" si="16"/>
        <v>Case receiving backend [0.77] Manual receiving backend</v>
      </c>
      <c r="AU95" s="22"/>
      <c r="AV95" t="str">
        <f t="shared" si="5"/>
        <v xml:space="preserve">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v>
      </c>
      <c r="AW95"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v>
      </c>
    </row>
    <row r="96" spans="1:49">
      <c r="A96" s="225"/>
      <c r="F96" s="7" t="s">
        <v>452</v>
      </c>
      <c r="G96" s="226">
        <f>G95+G94</f>
        <v>0.73284226190476198</v>
      </c>
      <c r="AB96">
        <f t="shared" si="6"/>
        <v>152</v>
      </c>
      <c r="AC96" t="str">
        <f t="shared" si="0"/>
        <v>Inbound connector_Prep</v>
      </c>
      <c r="AD96" s="22" t="s">
        <v>141</v>
      </c>
      <c r="AE96" s="22" t="s">
        <v>67</v>
      </c>
      <c r="AF96" s="22" t="s">
        <v>52</v>
      </c>
      <c r="AG96" s="22" t="s">
        <v>232</v>
      </c>
      <c r="AH96" s="22" t="s">
        <v>337</v>
      </c>
      <c r="AI96" s="22" t="s">
        <v>466</v>
      </c>
      <c r="AJ96" s="22" t="s">
        <v>437</v>
      </c>
      <c r="AK96" s="22" t="s">
        <v>249</v>
      </c>
      <c r="AL96" s="22" t="s">
        <v>334</v>
      </c>
      <c r="AM96" s="22">
        <f t="shared" si="7"/>
        <v>53</v>
      </c>
      <c r="AN96" s="22" t="s">
        <v>632</v>
      </c>
      <c r="AP96" s="12">
        <f>$AP$76/$G$106</f>
        <v>0.29848940108422867</v>
      </c>
      <c r="AQ96" s="12" t="str">
        <f t="shared" si="13"/>
        <v>rgb(239,90,104)</v>
      </c>
      <c r="AR96" s="12" t="str">
        <f t="shared" si="14"/>
        <v>rgb(194,220,188)</v>
      </c>
      <c r="AS96" t="str">
        <f t="shared" si="15"/>
        <v>→0.3_Tray_Single_Empty_Widthwise</v>
      </c>
      <c r="AT96" t="str">
        <f t="shared" si="16"/>
        <v>Inbound connector [0.3] Prep</v>
      </c>
      <c r="AU96" s="22"/>
      <c r="AV96" t="str">
        <f t="shared" si="5"/>
        <v xml:space="preserve">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v>
      </c>
      <c r="AW96"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v>
      </c>
    </row>
    <row r="97" spans="1:49">
      <c r="A97" s="144" t="s">
        <v>460</v>
      </c>
      <c r="B97"/>
      <c r="C97"/>
      <c r="D97" t="s">
        <v>459</v>
      </c>
      <c r="E97"/>
      <c r="F97" t="s">
        <v>456</v>
      </c>
      <c r="G97" s="236">
        <v>7.0733863837312116E-2</v>
      </c>
      <c r="AB97">
        <f t="shared" si="6"/>
        <v>153</v>
      </c>
      <c r="AC97" t="str">
        <f t="shared" si="0"/>
        <v>Inbound connector_Prep</v>
      </c>
      <c r="AD97" s="22" t="s">
        <v>141</v>
      </c>
      <c r="AE97" s="22" t="s">
        <v>67</v>
      </c>
      <c r="AF97" s="22" t="s">
        <v>52</v>
      </c>
      <c r="AG97" s="22" t="s">
        <v>232</v>
      </c>
      <c r="AH97" s="22" t="s">
        <v>337</v>
      </c>
      <c r="AI97" s="22" t="s">
        <v>435</v>
      </c>
      <c r="AJ97" s="22" t="s">
        <v>237</v>
      </c>
      <c r="AK97" s="22" t="s">
        <v>249</v>
      </c>
      <c r="AL97" s="22" t="s">
        <v>334</v>
      </c>
      <c r="AM97" s="22">
        <f t="shared" si="7"/>
        <v>54</v>
      </c>
      <c r="AN97" s="22" t="s">
        <v>633</v>
      </c>
      <c r="AP97" s="10">
        <f>$AP$87/$G$106</f>
        <v>6.5901785714285718E-2</v>
      </c>
      <c r="AQ97" s="12" t="str">
        <f t="shared" si="13"/>
        <v>rgb(239,90,104)</v>
      </c>
      <c r="AR97" s="12" t="str">
        <f t="shared" si="14"/>
        <v>rgb(194,220,188)</v>
      </c>
      <c r="AS97" t="str">
        <f t="shared" si="15"/>
        <v>→0.07_Tray_Single_Empty_Widthwise</v>
      </c>
      <c r="AT97" t="str">
        <f t="shared" si="16"/>
        <v>Inbound connector [0.07] Prep</v>
      </c>
      <c r="AU97" s="22"/>
      <c r="AV97" t="str">
        <f t="shared" si="5"/>
        <v xml:space="preserve">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v>
      </c>
      <c r="AW97"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v>
      </c>
    </row>
    <row r="98" spans="1:49">
      <c r="A98" s="144"/>
      <c r="B98"/>
      <c r="C98"/>
      <c r="D98"/>
      <c r="E98"/>
      <c r="F98" t="s">
        <v>457</v>
      </c>
      <c r="G98" s="264">
        <f>G97*G75</f>
        <v>449.16003536693194</v>
      </c>
      <c r="AB98">
        <f t="shared" si="6"/>
        <v>154</v>
      </c>
      <c r="AC98" t="str">
        <f t="shared" si="0"/>
        <v>Inbound connector_Prep</v>
      </c>
      <c r="AD98" s="22" t="s">
        <v>141</v>
      </c>
      <c r="AE98" s="22" t="s">
        <v>67</v>
      </c>
      <c r="AF98" s="22" t="s">
        <v>435</v>
      </c>
      <c r="AG98" s="22" t="s">
        <v>232</v>
      </c>
      <c r="AH98" s="22" t="s">
        <v>337</v>
      </c>
      <c r="AI98" s="22" t="s">
        <v>435</v>
      </c>
      <c r="AJ98" s="22" t="s">
        <v>444</v>
      </c>
      <c r="AK98" s="22" t="s">
        <v>249</v>
      </c>
      <c r="AL98" s="22" t="s">
        <v>334</v>
      </c>
      <c r="AM98" s="22">
        <f t="shared" si="7"/>
        <v>55</v>
      </c>
      <c r="AN98" s="22" t="s">
        <v>634</v>
      </c>
      <c r="AP98" s="12">
        <f>$AP$88/$G$106</f>
        <v>0.15377083333333327</v>
      </c>
      <c r="AQ98" s="12" t="str">
        <f t="shared" si="13"/>
        <v>rgb(212,221,218)</v>
      </c>
      <c r="AR98" s="12" t="str">
        <f t="shared" si="14"/>
        <v>rgb(194,220,188)</v>
      </c>
      <c r="AS98" t="str">
        <f t="shared" si="15"/>
        <v>→0.15_Compartment_Single_Empty_Widthwise</v>
      </c>
      <c r="AT98" t="str">
        <f t="shared" si="16"/>
        <v>Inbound connector [0.15] Prep</v>
      </c>
      <c r="AU98" s="22"/>
      <c r="AV98" t="str">
        <f t="shared" si="5"/>
        <v xml:space="preserve">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v>
      </c>
      <c r="AW98"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v>
      </c>
    </row>
    <row r="99" spans="1:49">
      <c r="A99" s="144"/>
      <c r="B99"/>
      <c r="C99"/>
      <c r="D99"/>
      <c r="E99"/>
      <c r="F99" s="7" t="s">
        <v>455</v>
      </c>
      <c r="G99" s="9">
        <f>G93*G76*60</f>
        <v>629.06249999999989</v>
      </c>
      <c r="AB99">
        <f t="shared" si="6"/>
        <v>155</v>
      </c>
      <c r="AC99" t="str">
        <f t="shared" si="0"/>
        <v>Prep_Tray wash</v>
      </c>
      <c r="AD99" s="22" t="s">
        <v>67</v>
      </c>
      <c r="AE99" s="22" t="s">
        <v>142</v>
      </c>
      <c r="AF99" s="22" t="s">
        <v>52</v>
      </c>
      <c r="AG99" s="22" t="s">
        <v>232</v>
      </c>
      <c r="AH99" s="22" t="s">
        <v>337</v>
      </c>
      <c r="AI99" s="22" t="s">
        <v>466</v>
      </c>
      <c r="AJ99" s="22" t="s">
        <v>437</v>
      </c>
      <c r="AK99" s="22" t="s">
        <v>249</v>
      </c>
      <c r="AL99" s="22" t="s">
        <v>333</v>
      </c>
      <c r="AM99" s="22">
        <f t="shared" si="7"/>
        <v>56</v>
      </c>
      <c r="AN99" s="22" t="s">
        <v>635</v>
      </c>
      <c r="AP99" s="10">
        <f t="shared" ref="AP99:AP107" si="26">AP96</f>
        <v>0.29848940108422867</v>
      </c>
      <c r="AQ99" s="12" t="str">
        <f t="shared" si="13"/>
        <v>rgb(239,90,104)</v>
      </c>
      <c r="AR99" s="12" t="str">
        <f t="shared" si="14"/>
        <v>rgb(194,220,188)</v>
      </c>
      <c r="AS99" t="str">
        <f t="shared" si="15"/>
        <v>↑0.3_Tray_Single_Empty_Widthwise</v>
      </c>
      <c r="AT99" t="str">
        <f t="shared" si="16"/>
        <v>Prep [0.3] Tray wash</v>
      </c>
      <c r="AU99" s="22"/>
      <c r="AV99" t="str">
        <f t="shared" si="5"/>
        <v xml:space="preserve">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v>
      </c>
      <c r="AW99"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v>
      </c>
    </row>
    <row r="100" spans="1:49">
      <c r="A100" s="144"/>
      <c r="B100"/>
      <c r="C100"/>
      <c r="D100"/>
      <c r="E100"/>
      <c r="F100" s="7" t="s">
        <v>461</v>
      </c>
      <c r="G100" s="238">
        <v>0.1</v>
      </c>
      <c r="AB100">
        <f t="shared" si="6"/>
        <v>156</v>
      </c>
      <c r="AC100" t="str">
        <f t="shared" si="0"/>
        <v>Prep_Tray wash</v>
      </c>
      <c r="AD100" s="22" t="s">
        <v>67</v>
      </c>
      <c r="AE100" s="22" t="s">
        <v>142</v>
      </c>
      <c r="AF100" s="22" t="s">
        <v>52</v>
      </c>
      <c r="AG100" s="22" t="s">
        <v>232</v>
      </c>
      <c r="AH100" s="22" t="s">
        <v>337</v>
      </c>
      <c r="AI100" s="22" t="s">
        <v>435</v>
      </c>
      <c r="AJ100" s="22" t="s">
        <v>237</v>
      </c>
      <c r="AK100" s="22" t="s">
        <v>249</v>
      </c>
      <c r="AL100" s="22" t="s">
        <v>333</v>
      </c>
      <c r="AM100" s="22">
        <f t="shared" si="7"/>
        <v>57</v>
      </c>
      <c r="AN100" s="22" t="s">
        <v>636</v>
      </c>
      <c r="AP100" s="10">
        <f t="shared" si="26"/>
        <v>6.5901785714285718E-2</v>
      </c>
      <c r="AQ100" s="12" t="str">
        <f t="shared" si="13"/>
        <v>rgb(239,90,104)</v>
      </c>
      <c r="AR100" s="12" t="str">
        <f t="shared" si="14"/>
        <v>rgb(194,220,188)</v>
      </c>
      <c r="AS100" t="str">
        <f t="shared" si="15"/>
        <v>↑0.07_Tray_Single_Empty_Widthwise</v>
      </c>
      <c r="AT100" t="str">
        <f t="shared" si="16"/>
        <v>Prep [0.07] Tray wash</v>
      </c>
      <c r="AU100" s="22"/>
      <c r="AV100" t="str">
        <f t="shared" si="5"/>
        <v xml:space="preserve">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v>
      </c>
      <c r="AW100"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v>
      </c>
    </row>
    <row r="101" spans="1:49">
      <c r="A101" s="144"/>
      <c r="B101"/>
      <c r="C101"/>
      <c r="D101"/>
      <c r="E101"/>
      <c r="F101" t="s">
        <v>462</v>
      </c>
      <c r="G101" s="268">
        <v>1.1000000000000001</v>
      </c>
      <c r="AB101">
        <f t="shared" si="6"/>
        <v>157</v>
      </c>
      <c r="AC101" t="str">
        <f t="shared" si="0"/>
        <v>Prep_Tray wash</v>
      </c>
      <c r="AD101" s="22" t="s">
        <v>67</v>
      </c>
      <c r="AE101" s="22" t="s">
        <v>142</v>
      </c>
      <c r="AF101" s="22" t="s">
        <v>435</v>
      </c>
      <c r="AG101" s="22" t="s">
        <v>232</v>
      </c>
      <c r="AH101" s="22" t="s">
        <v>337</v>
      </c>
      <c r="AI101" s="22" t="s">
        <v>435</v>
      </c>
      <c r="AJ101" s="22" t="s">
        <v>444</v>
      </c>
      <c r="AK101" s="22" t="s">
        <v>249</v>
      </c>
      <c r="AL101" s="22" t="s">
        <v>333</v>
      </c>
      <c r="AM101" s="22">
        <f t="shared" si="7"/>
        <v>58</v>
      </c>
      <c r="AN101" s="22" t="s">
        <v>637</v>
      </c>
      <c r="AP101" s="10">
        <f t="shared" si="26"/>
        <v>0.15377083333333327</v>
      </c>
      <c r="AQ101" s="12" t="str">
        <f t="shared" si="13"/>
        <v>rgb(212,221,218)</v>
      </c>
      <c r="AR101" s="12" t="str">
        <f t="shared" si="14"/>
        <v>rgb(194,220,188)</v>
      </c>
      <c r="AS101" t="str">
        <f t="shared" si="15"/>
        <v>↑0.15_Compartment_Single_Empty_Widthwise</v>
      </c>
      <c r="AT101" t="str">
        <f t="shared" si="16"/>
        <v>Prep [0.15] Tray wash</v>
      </c>
      <c r="AU101" s="22"/>
      <c r="AV101" t="str">
        <f t="shared" si="5"/>
        <v xml:space="preserve">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v>
      </c>
      <c r="AW101" t="str">
        <f t="shared" si="8"/>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v>
      </c>
    </row>
    <row r="102" spans="1:49">
      <c r="A102"/>
      <c r="B102"/>
      <c r="C102"/>
      <c r="D102"/>
      <c r="E102"/>
      <c r="F102" t="s">
        <v>463</v>
      </c>
      <c r="G102" s="226">
        <f>(G98-G99*G100)/G76/60/G101</f>
        <v>0.39015533875447672</v>
      </c>
      <c r="AB102">
        <f t="shared" si="6"/>
        <v>158</v>
      </c>
      <c r="AC102" t="str">
        <f t="shared" ref="AC102:AC106" si="27">AD102&amp;"_"&amp;AE102</f>
        <v>Tray wash_Prep</v>
      </c>
      <c r="AD102" s="22" t="s">
        <v>142</v>
      </c>
      <c r="AE102" s="22" t="s">
        <v>67</v>
      </c>
      <c r="AF102" s="22" t="s">
        <v>52</v>
      </c>
      <c r="AG102" s="22" t="s">
        <v>232</v>
      </c>
      <c r="AH102" s="22" t="s">
        <v>337</v>
      </c>
      <c r="AI102" s="22" t="s">
        <v>466</v>
      </c>
      <c r="AJ102" s="22" t="s">
        <v>437</v>
      </c>
      <c r="AK102" s="22" t="s">
        <v>249</v>
      </c>
      <c r="AL102" s="22" t="s">
        <v>331</v>
      </c>
      <c r="AM102" s="22">
        <f t="shared" si="7"/>
        <v>59</v>
      </c>
      <c r="AN102" s="22" t="s">
        <v>638</v>
      </c>
      <c r="AP102" s="10">
        <f t="shared" si="26"/>
        <v>0.29848940108422867</v>
      </c>
      <c r="AQ102" s="12" t="str">
        <f t="shared" ref="AQ102:AQ114" si="28">VLOOKUP(AF102,$S$43:$T$53,2,FALSE)</f>
        <v>rgb(239,90,104)</v>
      </c>
      <c r="AR102" s="12" t="str">
        <f t="shared" ref="AR102:AR114" si="29">VLOOKUP(AH102,$W$43:$X$53,2,FALSE)</f>
        <v>rgb(194,220,188)</v>
      </c>
      <c r="AS102" t="str">
        <f t="shared" ref="AS102:AS114" si="30">VLOOKUP(AL102,$U$43:$V$53,2,FALSE)&amp;ROUND(AP102,2)&amp;"_"&amp;AF102&amp;"_"&amp;AG102&amp;"_"&amp;AH102&amp;"_"&amp;AK102</f>
        <v>↓0.3_Tray_Single_Empty_Widthwise</v>
      </c>
      <c r="AT102" t="str">
        <f t="shared" ref="AT102:AT114" si="31">AD102&amp;" ["&amp;ROUND(AP102,2)&amp;"] "&amp;AE102</f>
        <v>Tray wash [0.3] Prep</v>
      </c>
      <c r="AU102" s="22"/>
      <c r="AV102" t="str">
        <f t="shared" ref="AV102:AV114" si="32">IF(AU102="first","","")&amp;CHAR(10)&amp;"{ from: """&amp;AD102&amp;""", to: """&amp;AE102&amp;""", long_text: """&amp;ROUND(AP102,2)&amp;"_"&amp;AF102&amp;"_"&amp;AG102&amp;""", short_text: """&amp;ROUND(AP102,2)&amp;""", fromSpot: """&amp;IF(AL102="Down","BottomSide",IF(AL102="Up","TopSide",IF(AL102="Left","LeftSide","RightSide")))&amp;""", toSpot: """&amp;IF(AL102="Down","TopSide",IF(AL102="Up","BottomSide",IF(AL102="Left","RightSide","LeftSide")))&amp;""", container: """&amp;AF102&amp;""", form: """&amp;AG102&amp;""", state: """&amp;AH102&amp;""", content: """&amp;AI102&amp;""", size: """&amp;AJ102&amp;""", flow_id: """&amp;AC102&amp;""", sequence_id: """&amp;AM102&amp;""", orientation: """&amp;AK102&amp;""", flow_color: """&amp;AQ102&amp;""", arrowhead_color: """&amp;AR102&amp;""", comments: """&amp;AN102&amp;""", containers_per_stack: """&amp;AO102&amp;""", throughput_per_minute: """&amp;AP102&amp;""" }"&amp;IF(AU102="last",CHAR(10)&amp;"]);",",")</f>
        <v xml:space="preserve">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v>
      </c>
      <c r="AW102" t="str">
        <f t="shared" ref="AW102:AW114" si="33">IF(AND(AU102&lt;&gt;"",AU102&lt;&gt;"last"),AV102,AW101&amp;AV102)</f>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v>
      </c>
    </row>
    <row r="103" spans="1:49">
      <c r="A103"/>
      <c r="B103"/>
      <c r="C103"/>
      <c r="D103"/>
      <c r="E103"/>
      <c r="F103" s="7" t="s">
        <v>572</v>
      </c>
      <c r="G103" s="238">
        <v>0.3</v>
      </c>
      <c r="AB103">
        <f t="shared" si="6"/>
        <v>159</v>
      </c>
      <c r="AC103" t="str">
        <f t="shared" si="27"/>
        <v>Tray wash_Prep</v>
      </c>
      <c r="AD103" s="22" t="s">
        <v>142</v>
      </c>
      <c r="AE103" s="22" t="s">
        <v>67</v>
      </c>
      <c r="AF103" s="22" t="s">
        <v>52</v>
      </c>
      <c r="AG103" s="22" t="s">
        <v>232</v>
      </c>
      <c r="AH103" s="22" t="s">
        <v>337</v>
      </c>
      <c r="AI103" s="22" t="s">
        <v>435</v>
      </c>
      <c r="AJ103" s="22" t="s">
        <v>237</v>
      </c>
      <c r="AK103" s="22" t="s">
        <v>249</v>
      </c>
      <c r="AL103" s="22" t="s">
        <v>331</v>
      </c>
      <c r="AM103" s="22">
        <f t="shared" si="7"/>
        <v>60</v>
      </c>
      <c r="AN103" s="22" t="s">
        <v>639</v>
      </c>
      <c r="AP103" s="10">
        <f t="shared" si="26"/>
        <v>6.5901785714285718E-2</v>
      </c>
      <c r="AQ103" s="12" t="str">
        <f t="shared" si="28"/>
        <v>rgb(239,90,104)</v>
      </c>
      <c r="AR103" s="12" t="str">
        <f t="shared" si="29"/>
        <v>rgb(194,220,188)</v>
      </c>
      <c r="AS103" t="str">
        <f t="shared" si="30"/>
        <v>↓0.07_Tray_Single_Empty_Widthwise</v>
      </c>
      <c r="AT103" t="str">
        <f t="shared" si="31"/>
        <v>Tray wash [0.07] Prep</v>
      </c>
      <c r="AU103" s="22"/>
      <c r="AV103" t="str">
        <f t="shared" si="32"/>
        <v xml:space="preserve">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v>
      </c>
      <c r="AW103" t="str">
        <f t="shared" si="3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v>
      </c>
    </row>
    <row r="104" spans="1:49">
      <c r="A104"/>
      <c r="B104"/>
      <c r="C104"/>
      <c r="D104"/>
      <c r="E104"/>
      <c r="F104" s="7" t="s">
        <v>626</v>
      </c>
      <c r="G104" s="286">
        <v>126786.3000669662</v>
      </c>
      <c r="AB104">
        <f t="shared" si="6"/>
        <v>160</v>
      </c>
      <c r="AC104" t="str">
        <f t="shared" si="27"/>
        <v>Tray wash_Prep</v>
      </c>
      <c r="AD104" s="22" t="s">
        <v>142</v>
      </c>
      <c r="AE104" s="22" t="s">
        <v>67</v>
      </c>
      <c r="AF104" s="22" t="s">
        <v>435</v>
      </c>
      <c r="AG104" s="22" t="s">
        <v>232</v>
      </c>
      <c r="AH104" s="22" t="s">
        <v>337</v>
      </c>
      <c r="AI104" s="22" t="s">
        <v>435</v>
      </c>
      <c r="AJ104" s="22" t="s">
        <v>444</v>
      </c>
      <c r="AK104" s="22" t="s">
        <v>249</v>
      </c>
      <c r="AL104" s="22" t="s">
        <v>331</v>
      </c>
      <c r="AM104" s="22">
        <f t="shared" si="7"/>
        <v>61</v>
      </c>
      <c r="AN104" s="22" t="s">
        <v>640</v>
      </c>
      <c r="AP104" s="10">
        <f t="shared" si="26"/>
        <v>0.15377083333333327</v>
      </c>
      <c r="AQ104" s="12" t="str">
        <f t="shared" si="28"/>
        <v>rgb(212,221,218)</v>
      </c>
      <c r="AR104" s="12" t="str">
        <f t="shared" si="29"/>
        <v>rgb(194,220,188)</v>
      </c>
      <c r="AS104" t="str">
        <f t="shared" si="30"/>
        <v>↓0.15_Compartment_Single_Empty_Widthwise</v>
      </c>
      <c r="AT104" t="str">
        <f t="shared" si="31"/>
        <v>Tray wash [0.15] Prep</v>
      </c>
      <c r="AU104" s="22"/>
      <c r="AV104" t="str">
        <f t="shared" si="32"/>
        <v xml:space="preserve">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v>
      </c>
      <c r="AW104" t="str">
        <f t="shared" si="3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v>
      </c>
    </row>
    <row r="105" spans="1:49">
      <c r="A105"/>
      <c r="B105"/>
      <c r="C105"/>
      <c r="D105"/>
      <c r="E105"/>
      <c r="F105" s="7" t="s">
        <v>627</v>
      </c>
      <c r="G105" s="286">
        <v>302400</v>
      </c>
      <c r="AB105">
        <f t="shared" si="6"/>
        <v>161</v>
      </c>
      <c r="AC105" t="str">
        <f t="shared" si="27"/>
        <v>Prep_Inbound connector</v>
      </c>
      <c r="AD105" s="22" t="s">
        <v>67</v>
      </c>
      <c r="AE105" s="22" t="s">
        <v>141</v>
      </c>
      <c r="AF105" s="22" t="s">
        <v>52</v>
      </c>
      <c r="AG105" s="22" t="s">
        <v>232</v>
      </c>
      <c r="AH105" s="22" t="s">
        <v>337</v>
      </c>
      <c r="AI105" s="22" t="s">
        <v>466</v>
      </c>
      <c r="AJ105" s="22" t="s">
        <v>437</v>
      </c>
      <c r="AK105" s="22" t="s">
        <v>249</v>
      </c>
      <c r="AL105" s="22" t="s">
        <v>332</v>
      </c>
      <c r="AM105" s="22">
        <f t="shared" si="7"/>
        <v>62</v>
      </c>
      <c r="AN105" s="22" t="s">
        <v>641</v>
      </c>
      <c r="AP105" s="10">
        <f t="shared" si="26"/>
        <v>0.29848940108422867</v>
      </c>
      <c r="AQ105" s="12" t="str">
        <f t="shared" si="28"/>
        <v>rgb(239,90,104)</v>
      </c>
      <c r="AR105" s="12" t="str">
        <f t="shared" si="29"/>
        <v>rgb(194,220,188)</v>
      </c>
      <c r="AS105" t="str">
        <f t="shared" si="30"/>
        <v>←0.3_Tray_Single_Empty_Widthwise</v>
      </c>
      <c r="AT105" t="str">
        <f t="shared" si="31"/>
        <v>Prep [0.3] Inbound connector</v>
      </c>
      <c r="AU105" s="22"/>
      <c r="AV105" t="str">
        <f t="shared" si="32"/>
        <v xml:space="preserve">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v>
      </c>
      <c r="AW105" t="str">
        <f t="shared" si="3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v>
      </c>
    </row>
    <row r="106" spans="1:49">
      <c r="A106"/>
      <c r="B106"/>
      <c r="C106"/>
      <c r="D106"/>
      <c r="E106"/>
      <c r="F106" s="7" t="s">
        <v>631</v>
      </c>
      <c r="G106" s="268">
        <v>5</v>
      </c>
      <c r="AB106">
        <f t="shared" si="6"/>
        <v>162</v>
      </c>
      <c r="AC106" t="str">
        <f t="shared" si="27"/>
        <v>Prep_Inbound connector</v>
      </c>
      <c r="AD106" s="22" t="s">
        <v>67</v>
      </c>
      <c r="AE106" s="22" t="s">
        <v>141</v>
      </c>
      <c r="AF106" s="22" t="s">
        <v>52</v>
      </c>
      <c r="AG106" s="22" t="s">
        <v>232</v>
      </c>
      <c r="AH106" s="22" t="s">
        <v>337</v>
      </c>
      <c r="AI106" s="22" t="s">
        <v>435</v>
      </c>
      <c r="AJ106" s="22" t="s">
        <v>237</v>
      </c>
      <c r="AK106" s="22" t="s">
        <v>249</v>
      </c>
      <c r="AL106" s="22" t="s">
        <v>332</v>
      </c>
      <c r="AM106" s="22">
        <f t="shared" si="7"/>
        <v>63</v>
      </c>
      <c r="AN106" s="22" t="s">
        <v>642</v>
      </c>
      <c r="AP106" s="10">
        <f t="shared" si="26"/>
        <v>6.5901785714285718E-2</v>
      </c>
      <c r="AQ106" s="12" t="str">
        <f t="shared" si="28"/>
        <v>rgb(239,90,104)</v>
      </c>
      <c r="AR106" s="12" t="str">
        <f t="shared" si="29"/>
        <v>rgb(194,220,188)</v>
      </c>
      <c r="AS106" t="str">
        <f t="shared" si="30"/>
        <v>←0.07_Tray_Single_Empty_Widthwise</v>
      </c>
      <c r="AT106" t="str">
        <f t="shared" si="31"/>
        <v>Prep [0.07] Inbound connector</v>
      </c>
      <c r="AU106" s="22"/>
      <c r="AV106" t="str">
        <f t="shared" si="32"/>
        <v xml:space="preserve">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v>
      </c>
      <c r="AW106" t="str">
        <f t="shared" si="3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v>
      </c>
    </row>
    <row r="107" spans="1:49">
      <c r="A107"/>
      <c r="B107"/>
      <c r="C107"/>
      <c r="D107"/>
      <c r="E107"/>
      <c r="F107" s="7" t="s">
        <v>629</v>
      </c>
      <c r="G107" s="173">
        <f>G104/G106/G76/60</f>
        <v>28.174733348214712</v>
      </c>
      <c r="AB107">
        <f t="shared" si="6"/>
        <v>163</v>
      </c>
      <c r="AC107" t="str">
        <f t="shared" ref="AC107:AC109" si="34">AD107&amp;"_"&amp;AE107</f>
        <v>Prep_Inbound connector</v>
      </c>
      <c r="AD107" s="22" t="s">
        <v>67</v>
      </c>
      <c r="AE107" s="22" t="s">
        <v>141</v>
      </c>
      <c r="AF107" s="22" t="s">
        <v>435</v>
      </c>
      <c r="AG107" s="22" t="s">
        <v>232</v>
      </c>
      <c r="AH107" s="22" t="s">
        <v>337</v>
      </c>
      <c r="AI107" s="22" t="s">
        <v>435</v>
      </c>
      <c r="AJ107" s="22" t="s">
        <v>444</v>
      </c>
      <c r="AK107" s="22" t="s">
        <v>249</v>
      </c>
      <c r="AL107" s="22" t="s">
        <v>332</v>
      </c>
      <c r="AM107" s="22">
        <f t="shared" si="7"/>
        <v>64</v>
      </c>
      <c r="AN107" s="22" t="s">
        <v>643</v>
      </c>
      <c r="AP107" s="10">
        <f t="shared" si="26"/>
        <v>0.15377083333333327</v>
      </c>
      <c r="AQ107" s="12" t="str">
        <f t="shared" si="28"/>
        <v>rgb(212,221,218)</v>
      </c>
      <c r="AR107" s="12" t="str">
        <f t="shared" si="29"/>
        <v>rgb(194,220,188)</v>
      </c>
      <c r="AS107" t="str">
        <f t="shared" si="30"/>
        <v>←0.15_Compartment_Single_Empty_Widthwise</v>
      </c>
      <c r="AT107" t="str">
        <f t="shared" si="31"/>
        <v>Prep [0.15] Inbound connector</v>
      </c>
      <c r="AU107" s="22"/>
      <c r="AV107" t="str">
        <f t="shared" si="32"/>
        <v xml:space="preserve">
{ from: "Prep", to: "Inbound connector", long_text: "0.15_Compartment_Single", short_text: "0.15", fromSpot: "LeftSide", toSpot: "RightSide", container: "Compartment", form: "Single", state: "Empty", content: "Compartment", size: "Non 1.x (2.m:21%, 2.t:21%, 4.m:36%, 8.s:21%", flow_id: "Prep_Inbound connector", sequence_id: "64", orientation: "Widthwise", flow_color: "rgb(212,221,218)", arrowhead_color: "rgb(194,220,188)", comments: "The cleaned up non 1.x compartment is sent back to the inbound connector", containers_per_stack: "", throughput_per_minute: "0.153770833333333" },</v>
      </c>
      <c r="AW107" t="str">
        <f t="shared" si="3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
{ from: "Prep", to: "Inbound connector", long_text: "0.15_Compartment_Single", short_text: "0.15", fromSpot: "LeftSide", toSpot: "RightSide", container: "Compartment", form: "Single", state: "Empty", content: "Compartment", size: "Non 1.x (2.m:21%, 2.t:21%, 4.m:36%, 8.s:21%", flow_id: "Prep_Inbound connector", sequence_id: "64", orientation: "Widthwise", flow_color: "rgb(212,221,218)", arrowhead_color: "rgb(194,220,188)", comments: "The cleaned up non 1.x compartment is sent back to the inbound connector", containers_per_stack: "", throughput_per_minute: "0.153770833333333" },</v>
      </c>
    </row>
    <row r="108" spans="1:49">
      <c r="A108"/>
      <c r="B108"/>
      <c r="C108"/>
      <c r="D108"/>
      <c r="E108"/>
      <c r="F108" s="7" t="s">
        <v>630</v>
      </c>
      <c r="G108" s="264">
        <f>G105/G106/G76/60</f>
        <v>67.2</v>
      </c>
      <c r="AB108">
        <f t="shared" si="6"/>
        <v>164</v>
      </c>
      <c r="AC108" t="str">
        <f t="shared" si="34"/>
        <v>Prep_Prep</v>
      </c>
      <c r="AD108" s="22" t="s">
        <v>67</v>
      </c>
      <c r="AE108" s="22" t="s">
        <v>67</v>
      </c>
      <c r="AF108" s="22" t="s">
        <v>236</v>
      </c>
      <c r="AG108" s="22" t="s">
        <v>232</v>
      </c>
      <c r="AH108" s="22" t="s">
        <v>336</v>
      </c>
      <c r="AI108" s="22" t="s">
        <v>241</v>
      </c>
      <c r="AJ108" s="22" t="s">
        <v>241</v>
      </c>
      <c r="AK108" s="22" t="s">
        <v>249</v>
      </c>
      <c r="AL108" s="22" t="s">
        <v>331</v>
      </c>
      <c r="AM108" s="22">
        <f t="shared" si="7"/>
        <v>65</v>
      </c>
      <c r="AN108" s="22" t="s">
        <v>644</v>
      </c>
      <c r="AP108" s="10">
        <f>SUM(AP55:AP57)*G109</f>
        <v>3.0033928571428569E-2</v>
      </c>
      <c r="AQ108" s="12" t="str">
        <f t="shared" si="28"/>
        <v xml:space="preserve">rgb(144,166,248) </v>
      </c>
      <c r="AR108" s="12" t="str">
        <f t="shared" si="29"/>
        <v>rgb(113,190,138)</v>
      </c>
      <c r="AS108" t="str">
        <f t="shared" si="30"/>
        <v>↓0.03_All_Single_Full_Widthwise</v>
      </c>
      <c r="AT108" t="str">
        <f t="shared" si="31"/>
        <v>Prep [0.03] Prep</v>
      </c>
      <c r="AU108" s="22" t="s">
        <v>403</v>
      </c>
      <c r="AV108" t="str">
        <f t="shared" si="32"/>
        <v xml:space="preserve">
{ from: "Prep", to: "Prep", long_text: "0.03_All_Single", short_text: "0.03", fromSpot: "BottomSide", toSpot: "TopSide", container: "All", form: "Single", state: "Full", content: "Mixed", size: "Mixed", flow_id: "Prep_Prep", sequence_id: "65", orientation: "Widthwise", flow_color: "rgb(144,166,248) ", arrowhead_color: "rgb(113,190,138)", comments: "A certain portion of all flows (trays with cases, trays of 1.x compartments and trays containing non 1.x compartments) will fail the weight check and will need an manual intervention by the prep operator. It could be a system override needed because item induction wasn't done properly or the # of items recorded in the previous manual step was incorrect. Once corrected, the prep cell will send the tray back to the inbound connector for planned processing", containers_per_stack: "", throughput_per_minute: "0.0300339285714286" }
]);</v>
      </c>
      <c r="AW108" t="str">
        <f t="shared" si="33"/>
        <v xml:space="preserve">
{ from: "Traymaker", to: "Outbound connector", long_text: "1.09_Tray_Single", short_text: "1.09", fromSpot: "RightSide", toSpot: "LeftSide", container: "Tray", form: "Single", state: "Full", content: "Compartment", size: "Non 1.x (2.m:21%, 2.t:21%, 4.m:36%, 8.s:21%", flow_id: "Traymaker_Outbound connector", sequence_id: "36", orientation: "Widthwise", flow_color: "rgb(239,90,104)", arrowhead_color: "rgb(113,190,138)", comments: "As new trays are made at the traymaker, they move to the outbound connector", containers_per_stack: "", throughput_per_minute: "1.08911367208781" },
{ from: "Inbound connector", to: "Outbound connector", long_text: "0.33_Tray_Single", short_text: "0.33", fromSpot: "BottomSide", toSpot: "TopSide", container: "Tray", form: "Single", state: "Full", content: "Compartment", size: "1.x", flow_id: "Inbound connector_Outbound connector", sequence_id: "37", orientation: "Widthwise", flow_color: "rgb(239,90,104)", arrowhead_color: "rgb(113,190,138)", comments: "1.x compartments don't need to go through the process of traymaking and hence these flow directly from the inbound to the outbound connector", containers_per_stack: "", throughput_per_minute: "0.329508928571429" },
{ from: "Inbound connector", to: "Outbound connector", long_text: "0.4_Tray_Single", short_text: "0.4", fromSpot: "BottomSide", toSpot: "TopSide", container: "Tray", form: "Single", state: "Full", content: "Casepack", size: "Standard", flow_id: "Inbound connector_Outbound connector", sequence_id: "38", orientation: "Widthwise", flow_color: "rgb(239,90,104)", arrowhead_color: "rgb(113,190,138)", comments: "Casepacks in trays also need not go through the traymaking process. They directly flow from the inbound to the outbound connector", containers_per_stack: "", throughput_per_minute: "0.403333333333333" },
{ from: "Outbound connector", to: "Shuffler", long_text: "0.55_Tray_Single", short_text: "0.55", fromSpot: "BottomSide", toSpot: "TopSide", container: "Tray", form: "Single", state: "Full", content: "Compartment, Casepack", size: "Mixed", flow_id: "Outbound connector_Shuffler", sequence_id: "39", orientation: "Widthwise", flow_color: "rgb(239,90,104)", arrowhead_color: "rgb(113,190,138)", comments: "Everything flowing in the outbound connector will have the option to go through the shuffler (currently assumed at 30% of the times) for the purposes of creating appropriate stacks for eventual transportation via MR", containers_per_stack: "", throughput_per_minute: "0.546586780197772" },
{ from: "Shuffler", to: "Outbound connector", long_text: "0.55_Tray_Single", short_text: "0.55", fromSpot: "TopSide", toSpot: "BottomSide", container: "Tray", form: "Single", state: "Full", content: "Compartment, Casepack", size: "Mixed", flow_id: "Shuffler_Outbound connector", sequence_id: "40", orientation: "Widthwise", flow_color: "rgb(239,90,104)", arrowhead_color: "rgb(113,190,138)", comments: "Represents the flow which goes to the shuffler for sequencing purposes and its eventual return back to the outbound connector", containers_per_stack: "", throughput_per_minute: "0.546586780197772" },
{ from: "Outbound connector", to: "Stacking", long_text: "1.82_Tray_Single", short_text: "1.82", fromSpot: "RightSide", toSpot: "LeftSide", container: "Tray", form: "Single", state: "Full", content: "Compartment, Casepack", size: "Mixed", flow_id: "Outbound connector_Stacking", sequence_id: "41", orientation: "Widthwise", flow_color: "rgb(239,90,104)", arrowhead_color: "rgb(113,190,138)", comments: "All the trays going through the outbound connector finally go through stacking operations for the creation of stacks", containers_per_stack: "", throughput_per_minute: "1.82195593399257" },
{ from: "Stacking", to: "Stack handler", long_text: "0.46_Tray_Stack", short_text: "0.46", fromSpot: "RightSide", toSpot: "LeftSide", container: "Tray", form: "Stack", state: "Full", content: "Compartment, Casepack", size: "Mixed", flow_id: "Stacking_Stack handler", sequence_id: "42", orientation: "Widthwise", flow_color: "rgb(239,90,104)", arrowhead_color: "rgb(113,190,138)", comments: "Outbound stacks of trays now move from the stacker to the stack handler for transportation to an appropriate destination", containers_per_stack: "4", throughput_per_minute: "0.455488983498143" },
{ from: "Stack handler", to: "MR", long_text: "0.46_Tray_Stack", short_text: "0.46", fromSpot: "RightSide", toSpot: "LeftSide", container: "Tray", form: "Stack", state: "Full", content: "Compartment, Casepack", size: "Mixed", flow_id: "Stack handler_MR", sequence_id: "43", orientation: "Widthwise", flow_color: "rgb(239,90,104)", arrowhead_color: "rgb(113,190,138)", comments: "Assignment of stacks to an MR happens at this step", containers_per_stack: "4", throughput_per_minute: "0.455488983498143" },
{ from: "Inbound connector", to: "Manual receiving backend", long_text: "0.33_Compartment_Single", short_text: "0.33", fromSpot: "RightSide", toSpot: "LeftSide", container: "Compartment", form: "Single", state: "Empty", content: "Compartment", size: "1.x", flow_id: "Inbound connector_Manual receiving backend", sequence_id: "44", orientation: "Widthwise", flow_color: "rgb(212,221,218)", arrowhead_color: "rgb(194,220,188)", comments: "Empty 1.x compartments get directed from the inbound connector to the lower buffer lanes in the manual receiving backend for eventual fulfilment purposes", containers_per_stack: "", throughput_per_minute: "0.329508928571429" },
{ from: "Inbound connector", to: "Manual receiving backend", long_text: "0.77_Compartment_Single", short_text: "0.77", fromSpot: "RightSide", toSpot: "LeftSide", container: "Compartment", form: "Single", state: "Empty", content: "Compartment", size: "Non 1.x (2.m:21%, 2.t:21%, 4.m:36%, 8.s:21%", flow_id: "Inbound connector_Manual receiving backend", sequence_id: "45", orientation: "Widthwise", flow_color: "rgb(212,221,218)", arrowhead_color: "rgb(194,220,188)", comments: "Empty non 1.x compartments get directed from the inbound connector to the upper buffer lanes in the manual receiving backend for eventual fulfilment purposes", containers_per_stack: "", throughput_per_minute: "0.768854166666666" },
{ from: "Manual receiving backend", to: "Case receiving backend", long_text: "0.33_Compartment_Single", short_text: "0.33", fromSpot: "RightSide", toSpot: "LeftSide", container: "Compartment", form: "Single", state: "Empty", content: "Compartment", size: "1.x", flow_id: "Manual receiving backend_Case receiving backend", sequence_id: "46", orientation: "Widthwise", flow_color: "rgb(212,221,218)", arrowhead_color: "rgb(194,220,188)", comments: "The empty 1.x compartments flow from the manual receiving backend lower buffer lanes to the ones in the case receiving backend cell", containers_per_stack: "", throughput_per_minute: "0.329508928571429" },
{ from: "Manual receiving backend", to: "Case receiving backend", long_text: "0.77_Compartment_Single", short_text: "0.77", fromSpot: "RightSide", toSpot: "LeftSide", container: "Compartment", form: "Single", state: "Empty", content: "Compartment", size: "Non 1.x (2.m:21%, 2.t:21%, 4.m:36%, 8.s:21%", flow_id: "Manual receiving backend_Case receiving backend", sequence_id: "47", orientation: "Widthwise", flow_color: "rgb(212,221,218)", arrowhead_color: "rgb(194,220,188)", comments: "Empty non 1.x compartments then flow from upper buffer lanes in the manual receiving backend to the case receiving backend cell", containers_per_stack: "", throughput_per_minute: "0.768854166666666" },
{ from: "Case receiving backend", to: "Master dispenser", long_text: "0.33_Compartment_Single", short_text: "0.33", fromSpot: "RightSide", toSpot: "LeftSide", container: "Compartment", form: "Single", state: "Empty", content: "Compartment", size: "1.x", flow_id: "Case receiving backend_Master dispenser", sequence_id: "48", orientation: "Widthwise", flow_color: "rgb(212,221,218)", arrowhead_color: "rgb(194,220,188)", comments: "Empty 1.x compartments then flow on to the master dispenser cell", containers_per_stack: "", throughput_per_minute: "0.329508928571429" },
{ from: "Case receiving backend", to: "Master dispenser", long_text: "0.77_Compartment_Single", short_text: "0.77", fromSpot: "RightSide", toSpot: "LeftSide", container: "Compartment", form: "Single", state: "Empty", content: "Compartment", size: "Non 1.x (2.m:21%, 2.t:21%, 4.m:36%, 8.s:21%", flow_id: "Case receiving backend_Master dispenser", sequence_id: "49", orientation: "Widthwise", flow_color: "rgb(212,221,218)", arrowhead_color: "rgb(194,220,188)", comments: "Empty non 1.x compartments then flow on to the master dispenser cell", containers_per_stack: "", throughput_per_minute: "0.768854166666666" },
{ from: "Case receiving backend", to: "Manual receiving backend", long_text: "-0.03_Tray_Single", short_text: "-0.03", fromSpot: "LeftSide", toSpot: "RightSide", container: "Tray", form: "Single", state: "Empty", content: "Trayframe", size: "Standard", flow_id: "Case receiving backend_Manual receiving backend", sequence_id: "50", orientation: "Widthwise", flow_color: "rgb(239,90,104)", arrowhead_color: "rgb(194,220,188)", comments: "A low percentage of empty trayframes that do not get consumed at the case receiving backend flow into the manual receiving backend cell for manual processing ", containers_per_stack: "", throughput_per_minute: "-0.0334910714285714" },
{ from: "Master dispenser", to: "Case receiving backend", long_text: "0.77_Compartment_Single", short_text: "0.77", fromSpot: "LeftSide", toSpot: "RightSide", container: "Compartment", form: "Single", state: "Empty", content: "Compartment", size: "Non 1.x (2.m:21%, 2.t:21%, 4.m:36%, 8.s:21%", flow_id: "Master dispenser_Case receiving backend", sequence_id: "51", orientation: "Widthwise", flow_color: "rgb(212,221,218)", arrowhead_color: "rgb(194,220,188)", comments: "Non 1.x compartments from upper infeed to the upper outfeed via the upper transfer lane in the master dispenser towards the case receiving backend cell", containers_per_stack: "", throughput_per_minute: "0.768854166666666" },
{ from: "Case receiving backend", to: "Manual receiving backend", long_text: "0.77_Compartment_Single", short_text: "0.77", fromSpot: "LeftSide", toSpot: "RightSide", container: "Compartment", form: "Single", state: "Empty", content: "Compartment", size: "Non 1.x (2.m:21%, 2.t:21%, 4.m:36%, 8.s:21%", flow_id: "Case receiving backend_Manual receiving backend", sequence_id: "52", orientation: "Widthwise", flow_color: "rgb(212,221,218)", arrowhead_color: "rgb(194,220,188)", comments: "The empty non 1.x compartments go on to the appropriate manual receiving backend cell for providing them as an input to the manual decanting process involving the storing of product within the assigned compartment", containers_per_stack: "", throughput_per_minute: "0.768854166666666" },
{ from: "Inbound connector", to: "Prep", long_text: "0.3_Tray_Single", short_text: "0.3", fromSpot: "RightSide", toSpot: "LeftSide", container: "Tray", form: "Single", state: "Empty", content: "Trayframe", size: "Standard", flow_id: "Inbound connector_Prep", sequence_id: "53", orientation: "Widthwise", flow_color: "rgb(239,90,104)", arrowhead_color: "rgb(194,220,188)", comments: "Trays will need to be washed once every x refills, so they get diverted to the Prep cell for the same", containers_per_stack: "", throughput_per_minute: "0.298489401084229" },
{ from: "Inbound connector", to: "Prep", long_text: "0.07_Tray_Single", short_text: "0.07", fromSpot: "RightSide", toSpot: "LeftSide", container: "Tray", form: "Single", state: "Empty", content: "Compartment", size: "1.x", flow_id: "Inbound connector_Prep", sequence_id: "54", orientation: "Widthwise", flow_color: "rgb(239,90,104)", arrowhead_color: "rgb(194,220,188)", comments: "1.x compartments will need to be washed once every x refills, so they get diverted to the Prep cell for the same", containers_per_stack: "", throughput_per_minute: "0.0659017857142857" },
{ from: "Inbound connector", to: "Prep", long_text: "0.15_Compartment_Single", short_text: "0.15", fromSpot: "RightSide", toSpot: "LeftSide", container: "Compartment", form: "Single", state: "Empty", content: "Compartment", size: "Non 1.x (2.m:21%, 2.t:21%, 4.m:36%, 8.s:21%", flow_id: "Inbound connector_Prep", sequence_id: "55", orientation: "Widthwise", flow_color: "rgb(212,221,218)", arrowhead_color: "rgb(194,220,188)", comments: "Non 1.x compartments will need to be washed once every x refills, so they get diverted to the Prep cell for the same", containers_per_stack: "", throughput_per_minute: "0.153770833333333" },
{ from: "Prep", to: "Tray wash", long_text: "0.3_Tray_Single", short_text: "0.3", fromSpot: "TopSide", toSpot: "BottomSide", container: "Tray", form: "Single", state: "Empty", content: "Trayframe", size: "Standard", flow_id: "Prep_Tray wash", sequence_id: "56", orientation: "Widthwise", flow_color: "rgb(239,90,104)", arrowhead_color: "rgb(194,220,188)", comments: "The prep operator is responsible to take the trayframe from the traybreaker infeed lane to the infeed of the prep cell", containers_per_stack: "", throughput_per_minute: "0.298489401084229" },
{ from: "Prep", to: "Tray wash", long_text: "0.07_Tray_Single", short_text: "0.07", fromSpot: "TopSide", toSpot: "BottomSide", container: "Tray", form: "Single", state: "Empty", content: "Compartment", size: "1.x", flow_id: "Prep_Tray wash", sequence_id: "57", orientation: "Widthwise", flow_color: "rgb(239,90,104)", arrowhead_color: "rgb(194,220,188)", comments: "The prep operator is responsible to take the 1.x compartment from the traybreaker infeed lane to the infeed of the prep cell", containers_per_stack: "", throughput_per_minute: "0.0659017857142857" },
{ from: "Prep", to: "Tray wash", long_text: "0.15_Compartment_Single", short_text: "0.15", fromSpot: "TopSide", toSpot: "BottomSide", container: "Compartment", form: "Single", state: "Empty", content: "Compartment", size: "Non 1.x (2.m:21%, 2.t:21%, 4.m:36%, 8.s:21%", flow_id: "Prep_Tray wash", sequence_id: "58", orientation: "Widthwise", flow_color: "rgb(212,221,218)", arrowhead_color: "rgb(194,220,188)", comments: "The prep operator is responsible to take the non 1.x compartment from the traybreaker infeed lane to the infeed of the prep cell", containers_per_stack: "", throughput_per_minute: "0.153770833333333" },
{ from: "Tray wash", to: "Prep", long_text: "0.3_Tray_Single", short_text: "0.3", fromSpot: "BottomSide", toSpot: "TopSide", container: "Tray", form: "Single", state: "Empty", content: "Trayframe", size: "Standard", flow_id: "Tray wash_Prep", sequence_id: "59", orientation: "Widthwise", flow_color: "rgb(239,90,104)", arrowhead_color: "rgb(194,220,188)", comments: "The prep operator is responsible to take the cleaned up trayframe from the tray wash outfeed lane back to the prep cell for induction into receiving", containers_per_stack: "", throughput_per_minute: "0.298489401084229" },
{ from: "Tray wash", to: "Prep", long_text: "0.07_Tray_Single", short_text: "0.07", fromSpot: "BottomSide", toSpot: "TopSide", container: "Tray", form: "Single", state: "Empty", content: "Compartment", size: "1.x", flow_id: "Tray wash_Prep", sequence_id: "60", orientation: "Widthwise", flow_color: "rgb(239,90,104)", arrowhead_color: "rgb(194,220,188)", comments: "The prep operator is responsible to take the cleaned up 1.x compartment from the tray wash outfeed lane back to the prep cell for induction into receiving", containers_per_stack: "", throughput_per_minute: "0.0659017857142857" },
{ from: "Tray wash", to: "Prep", long_text: "0.15_Compartment_Single", short_text: "0.15", fromSpot: "BottomSide", toSpot: "TopSide", container: "Compartment", form: "Single", state: "Empty", content: "Compartment", size: "Non 1.x (2.m:21%, 2.t:21%, 4.m:36%, 8.s:21%", flow_id: "Tray wash_Prep", sequence_id: "61", orientation: "Widthwise", flow_color: "rgb(212,221,218)", arrowhead_color: "rgb(194,220,188)", comments: "The prep operator is responsible to take the cleaned up non 1.x compartment from the tray wash outfeed lane back to the prep cell for induction into receiving", containers_per_stack: "", throughput_per_minute: "0.153770833333333" },
{ from: "Prep", to: "Inbound connector", long_text: "0.3_Tray_Single", short_text: "0.3", fromSpot: "LeftSide", toSpot: "RightSide", container: "Tray", form: "Single", state: "Empty", content: "Trayframe", size: "Standard", flow_id: "Prep_Inbound connector", sequence_id: "62", orientation: "Widthwise", flow_color: "rgb(239,90,104)", arrowhead_color: "rgb(194,220,188)", comments: "The cleaned up trayframe is sent back to the inbound connector", containers_per_stack: "", throughput_per_minute: "0.298489401084229" },
{ from: "Prep", to: "Inbound connector", long_text: "0.07_Tray_Single", short_text: "0.07", fromSpot: "LeftSide", toSpot: "RightSide", container: "Tray", form: "Single", state: "Empty", content: "Compartment", size: "1.x", flow_id: "Prep_Inbound connector", sequence_id: "63", orientation: "Widthwise", flow_color: "rgb(239,90,104)", arrowhead_color: "rgb(194,220,188)", comments: "The cleaned up 1.x compartment is sent back to the inbound connector", containers_per_stack: "", throughput_per_minute: "0.0659017857142857" },
{ from: "Prep", to: "Inbound connector", long_text: "0.15_Compartment_Single", short_text: "0.15", fromSpot: "LeftSide", toSpot: "RightSide", container: "Compartment", form: "Single", state: "Empty", content: "Compartment", size: "Non 1.x (2.m:21%, 2.t:21%, 4.m:36%, 8.s:21%", flow_id: "Prep_Inbound connector", sequence_id: "64", orientation: "Widthwise", flow_color: "rgb(212,221,218)", arrowhead_color: "rgb(194,220,188)", comments: "The cleaned up non 1.x compartment is sent back to the inbound connector", containers_per_stack: "", throughput_per_minute: "0.153770833333333" },
{ from: "Prep", to: "Prep", long_text: "0.03_All_Single", short_text: "0.03", fromSpot: "BottomSide", toSpot: "TopSide", container: "All", form: "Single", state: "Full", content: "Mixed", size: "Mixed", flow_id: "Prep_Prep", sequence_id: "65", orientation: "Widthwise", flow_color: "rgb(144,166,248) ", arrowhead_color: "rgb(113,190,138)", comments: "A certain portion of all flows (trays with cases, trays of 1.x compartments and trays containing non 1.x compartments) will fail the weight check and will need an manual intervention by the prep operator. It could be a system override needed because item induction wasn't done properly or the # of items recorded in the previous manual step was incorrect. Once corrected, the prep cell will send the tray back to the inbound connector for planned processing", containers_per_stack: "", throughput_per_minute: "0.0300339285714286" }
]);</v>
      </c>
    </row>
    <row r="109" spans="1:49">
      <c r="A109"/>
      <c r="B109"/>
      <c r="C109"/>
      <c r="D109"/>
      <c r="E109"/>
      <c r="F109" s="7" t="s">
        <v>645</v>
      </c>
      <c r="G109" s="238">
        <v>0.02</v>
      </c>
      <c r="AB109">
        <f t="shared" si="6"/>
        <v>165</v>
      </c>
      <c r="AC109" t="str">
        <f t="shared" si="34"/>
        <v>_</v>
      </c>
      <c r="AM109" s="22">
        <f t="shared" si="7"/>
        <v>66</v>
      </c>
      <c r="AN109" s="22"/>
      <c r="AQ109" s="12" t="e">
        <f t="shared" si="28"/>
        <v>#N/A</v>
      </c>
      <c r="AR109" s="12" t="e">
        <f t="shared" si="29"/>
        <v>#N/A</v>
      </c>
      <c r="AS109" t="e">
        <f t="shared" si="30"/>
        <v>#N/A</v>
      </c>
      <c r="AT109" t="str">
        <f t="shared" si="31"/>
        <v xml:space="preserve"> [0] </v>
      </c>
      <c r="AU109" s="22"/>
      <c r="AV109" t="e">
        <f t="shared" si="32"/>
        <v>#N/A</v>
      </c>
      <c r="AW109" t="e">
        <f t="shared" si="33"/>
        <v>#N/A</v>
      </c>
    </row>
    <row r="110" spans="1:49">
      <c r="A110"/>
      <c r="B110"/>
      <c r="C110"/>
      <c r="D110"/>
      <c r="E110"/>
      <c r="F110"/>
      <c r="G110"/>
      <c r="AB110">
        <f t="shared" si="6"/>
        <v>166</v>
      </c>
      <c r="AC110" t="str">
        <f t="shared" ref="AC110:AC115" si="35">AD110&amp;"_"&amp;AE110</f>
        <v>_</v>
      </c>
      <c r="AM110" s="22">
        <f t="shared" ref="AM110:AM115" si="36">AM109+1</f>
        <v>67</v>
      </c>
      <c r="AN110" s="22"/>
      <c r="AQ110" s="12" t="e">
        <f t="shared" si="28"/>
        <v>#N/A</v>
      </c>
      <c r="AR110" s="12" t="e">
        <f t="shared" si="29"/>
        <v>#N/A</v>
      </c>
      <c r="AS110" t="e">
        <f t="shared" si="30"/>
        <v>#N/A</v>
      </c>
      <c r="AT110" t="str">
        <f t="shared" si="31"/>
        <v xml:space="preserve"> [0] </v>
      </c>
      <c r="AU110" s="22"/>
      <c r="AV110" t="e">
        <f t="shared" si="32"/>
        <v>#N/A</v>
      </c>
      <c r="AW110" t="e">
        <f t="shared" si="33"/>
        <v>#N/A</v>
      </c>
    </row>
    <row r="111" spans="1:49">
      <c r="A111"/>
      <c r="B111"/>
      <c r="C111"/>
      <c r="D111"/>
      <c r="E111"/>
      <c r="F111"/>
      <c r="G111"/>
      <c r="AB111">
        <f t="shared" ref="AB111:AB115" si="37">AB110+1</f>
        <v>167</v>
      </c>
      <c r="AC111" t="str">
        <f t="shared" si="35"/>
        <v>_</v>
      </c>
      <c r="AM111" s="22">
        <f t="shared" si="36"/>
        <v>68</v>
      </c>
      <c r="AN111" s="22"/>
      <c r="AQ111" s="12" t="e">
        <f t="shared" si="28"/>
        <v>#N/A</v>
      </c>
      <c r="AR111" s="12" t="e">
        <f t="shared" si="29"/>
        <v>#N/A</v>
      </c>
      <c r="AS111" t="e">
        <f t="shared" si="30"/>
        <v>#N/A</v>
      </c>
      <c r="AT111" t="str">
        <f t="shared" si="31"/>
        <v xml:space="preserve"> [0] </v>
      </c>
      <c r="AU111" s="22"/>
      <c r="AV111" t="e">
        <f t="shared" si="32"/>
        <v>#N/A</v>
      </c>
      <c r="AW111" t="e">
        <f t="shared" si="33"/>
        <v>#N/A</v>
      </c>
    </row>
    <row r="112" spans="1:49">
      <c r="A112"/>
      <c r="B112"/>
      <c r="C112"/>
      <c r="D112"/>
      <c r="E112"/>
      <c r="F112"/>
      <c r="G112"/>
      <c r="AB112">
        <f t="shared" si="37"/>
        <v>168</v>
      </c>
      <c r="AC112" t="str">
        <f t="shared" si="35"/>
        <v>_</v>
      </c>
      <c r="AM112" s="22">
        <f t="shared" si="36"/>
        <v>69</v>
      </c>
      <c r="AN112" s="22"/>
      <c r="AQ112" s="12" t="e">
        <f t="shared" si="28"/>
        <v>#N/A</v>
      </c>
      <c r="AR112" s="12" t="e">
        <f t="shared" si="29"/>
        <v>#N/A</v>
      </c>
      <c r="AS112" t="e">
        <f t="shared" si="30"/>
        <v>#N/A</v>
      </c>
      <c r="AT112" t="str">
        <f t="shared" si="31"/>
        <v xml:space="preserve"> [0] </v>
      </c>
      <c r="AU112" s="22"/>
      <c r="AV112" t="e">
        <f t="shared" si="32"/>
        <v>#N/A</v>
      </c>
      <c r="AW112" t="e">
        <f t="shared" si="33"/>
        <v>#N/A</v>
      </c>
    </row>
    <row r="113" spans="1:49">
      <c r="A113"/>
      <c r="B113"/>
      <c r="C113"/>
      <c r="D113"/>
      <c r="E113"/>
      <c r="F113"/>
      <c r="G113"/>
      <c r="AB113">
        <f t="shared" si="37"/>
        <v>169</v>
      </c>
      <c r="AC113" t="str">
        <f t="shared" si="35"/>
        <v>_</v>
      </c>
      <c r="AM113" s="22">
        <f t="shared" si="36"/>
        <v>70</v>
      </c>
      <c r="AN113" s="22"/>
      <c r="AQ113" s="12" t="e">
        <f t="shared" si="28"/>
        <v>#N/A</v>
      </c>
      <c r="AR113" s="12" t="e">
        <f t="shared" si="29"/>
        <v>#N/A</v>
      </c>
      <c r="AS113" t="e">
        <f t="shared" si="30"/>
        <v>#N/A</v>
      </c>
      <c r="AT113" t="str">
        <f t="shared" si="31"/>
        <v xml:space="preserve"> [0] </v>
      </c>
      <c r="AU113" s="22"/>
      <c r="AV113" t="e">
        <f t="shared" si="32"/>
        <v>#N/A</v>
      </c>
      <c r="AW113" t="e">
        <f t="shared" si="33"/>
        <v>#N/A</v>
      </c>
    </row>
    <row r="114" spans="1:49">
      <c r="A114"/>
      <c r="B114"/>
      <c r="C114"/>
      <c r="D114"/>
      <c r="E114"/>
      <c r="F114"/>
      <c r="G114"/>
      <c r="AB114">
        <f t="shared" si="37"/>
        <v>170</v>
      </c>
      <c r="AC114" t="str">
        <f t="shared" si="35"/>
        <v>_</v>
      </c>
      <c r="AM114" s="22">
        <f t="shared" si="36"/>
        <v>71</v>
      </c>
      <c r="AN114" s="22"/>
      <c r="AQ114" s="12" t="e">
        <f t="shared" si="28"/>
        <v>#N/A</v>
      </c>
      <c r="AR114" s="12" t="e">
        <f t="shared" si="29"/>
        <v>#N/A</v>
      </c>
      <c r="AS114" t="e">
        <f t="shared" si="30"/>
        <v>#N/A</v>
      </c>
      <c r="AT114" t="str">
        <f t="shared" si="31"/>
        <v xml:space="preserve"> [0] </v>
      </c>
      <c r="AU114" s="22"/>
      <c r="AV114" t="e">
        <f t="shared" si="32"/>
        <v>#N/A</v>
      </c>
      <c r="AW114" t="e">
        <f t="shared" si="33"/>
        <v>#N/A</v>
      </c>
    </row>
    <row r="115" spans="1:49">
      <c r="A115"/>
      <c r="B115"/>
      <c r="C115"/>
      <c r="D115"/>
      <c r="E115"/>
      <c r="F115"/>
      <c r="G115"/>
      <c r="AB115">
        <f t="shared" si="37"/>
        <v>171</v>
      </c>
      <c r="AC115" t="str">
        <f t="shared" si="35"/>
        <v>_</v>
      </c>
      <c r="AM115" s="22">
        <f t="shared" si="36"/>
        <v>72</v>
      </c>
      <c r="AN115" s="22"/>
    </row>
    <row r="116" spans="1:49">
      <c r="A116"/>
      <c r="B116"/>
      <c r="C116"/>
      <c r="D116"/>
      <c r="E116"/>
      <c r="F116"/>
      <c r="G116"/>
    </row>
    <row r="117" spans="1:49">
      <c r="A117"/>
      <c r="B117"/>
      <c r="C117"/>
      <c r="D117"/>
      <c r="E117"/>
      <c r="F117"/>
      <c r="G117"/>
    </row>
    <row r="118" spans="1:49">
      <c r="A118"/>
      <c r="B118"/>
      <c r="C118"/>
      <c r="D118"/>
      <c r="E118"/>
      <c r="F118"/>
      <c r="G118"/>
    </row>
    <row r="119" spans="1:49">
      <c r="A119"/>
      <c r="B119"/>
      <c r="C119"/>
      <c r="D119"/>
      <c r="E119"/>
      <c r="F119"/>
      <c r="G119"/>
    </row>
    <row r="120" spans="1:49">
      <c r="A120"/>
      <c r="B120"/>
      <c r="C120"/>
      <c r="D120"/>
      <c r="E120"/>
      <c r="F120"/>
      <c r="G120"/>
    </row>
    <row r="121" spans="1:49">
      <c r="A121"/>
      <c r="B121"/>
      <c r="C121"/>
      <c r="D121"/>
      <c r="E121"/>
      <c r="F121"/>
      <c r="G121"/>
    </row>
  </sheetData>
  <mergeCells count="13">
    <mergeCell ref="T31:T34"/>
    <mergeCell ref="V31:V32"/>
    <mergeCell ref="B33:C33"/>
    <mergeCell ref="B35:G36"/>
    <mergeCell ref="I35:L36"/>
    <mergeCell ref="N35:P37"/>
    <mergeCell ref="R36:R37"/>
    <mergeCell ref="T36:V37"/>
    <mergeCell ref="B38:C38"/>
    <mergeCell ref="I38:K38"/>
    <mergeCell ref="B42:C42"/>
    <mergeCell ref="B31:C31"/>
    <mergeCell ref="R31:R32"/>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5C62D-F8C6-438D-A6C0-C4D8FA4A6ADA}">
  <sheetPr codeName="Sheet6"/>
  <dimension ref="A4:AW113"/>
  <sheetViews>
    <sheetView topLeftCell="A40" zoomScale="55" zoomScaleNormal="55" zoomScalePageLayoutView="40" workbookViewId="0">
      <selection activeCell="V56" sqref="V56"/>
    </sheetView>
  </sheetViews>
  <sheetFormatPr defaultRowHeight="15.5"/>
  <cols>
    <col min="1" max="1" width="4.5" style="65" customWidth="1"/>
    <col min="2" max="5" width="5.25" style="65" customWidth="1"/>
    <col min="6" max="6" width="36" style="65" customWidth="1"/>
    <col min="7" max="7" width="10.25" style="65" customWidth="1"/>
    <col min="8" max="15" width="5.25" style="65" customWidth="1"/>
    <col min="16" max="18" width="8.6640625" style="65"/>
    <col min="19" max="19" width="30.1640625" style="65" bestFit="1" customWidth="1"/>
    <col min="20" max="20" width="17.75" style="65" customWidth="1"/>
    <col min="21" max="21" width="30.6640625" style="65" bestFit="1" customWidth="1"/>
    <col min="22" max="22" width="8.6640625" style="65" customWidth="1"/>
    <col min="24" max="24" width="16.83203125" customWidth="1"/>
    <col min="26" max="26" width="88.4140625" bestFit="1" customWidth="1"/>
    <col min="27" max="27" width="70.83203125" customWidth="1"/>
    <col min="29" max="29" width="28.58203125" bestFit="1" customWidth="1"/>
    <col min="30" max="30" width="16.6640625" bestFit="1" customWidth="1"/>
    <col min="31" max="31" width="16.1640625" bestFit="1" customWidth="1"/>
    <col min="32" max="32" width="12.33203125" bestFit="1" customWidth="1"/>
    <col min="33" max="33" width="8.1640625" bestFit="1" customWidth="1"/>
    <col min="34" max="34" width="10.9140625" bestFit="1" customWidth="1"/>
    <col min="35" max="36" width="10.9140625" customWidth="1"/>
    <col min="37" max="37" width="13.33203125" bestFit="1" customWidth="1"/>
    <col min="38" max="38" width="19.5" bestFit="1" customWidth="1"/>
    <col min="39" max="39" width="11.58203125" bestFit="1" customWidth="1"/>
    <col min="40" max="40" width="11.58203125" customWidth="1"/>
    <col min="41" max="41" width="19.5" customWidth="1"/>
    <col min="42" max="42" width="21.6640625" bestFit="1" customWidth="1"/>
    <col min="43" max="44" width="21.6640625" customWidth="1"/>
    <col min="45" max="45" width="45.4140625" customWidth="1"/>
    <col min="46" max="46" width="36.58203125" bestFit="1" customWidth="1"/>
    <col min="48" max="48" width="54.4140625" bestFit="1" customWidth="1"/>
  </cols>
  <sheetData>
    <row r="4" spans="30:30">
      <c r="AD4" t="s">
        <v>152</v>
      </c>
    </row>
    <row r="5" spans="30:30">
      <c r="AD5" t="s">
        <v>153</v>
      </c>
    </row>
    <row r="6" spans="30:30">
      <c r="AD6" t="s">
        <v>154</v>
      </c>
    </row>
    <row r="7" spans="30:30">
      <c r="AD7" t="s">
        <v>155</v>
      </c>
    </row>
    <row r="8" spans="30:30">
      <c r="AD8" t="s">
        <v>156</v>
      </c>
    </row>
    <row r="9" spans="30:30">
      <c r="AD9" t="s">
        <v>144</v>
      </c>
    </row>
    <row r="10" spans="30:30">
      <c r="AD10" t="s">
        <v>158</v>
      </c>
    </row>
    <row r="11" spans="30:30">
      <c r="AD11" t="s">
        <v>159</v>
      </c>
    </row>
    <row r="12" spans="30:30">
      <c r="AD12" t="s">
        <v>134</v>
      </c>
    </row>
    <row r="13" spans="30:30">
      <c r="AD13" t="s">
        <v>139</v>
      </c>
    </row>
    <row r="14" spans="30:30">
      <c r="AD14" t="s">
        <v>162</v>
      </c>
    </row>
    <row r="15" spans="30:30">
      <c r="AD15" s="29" t="s">
        <v>160</v>
      </c>
    </row>
    <row r="16" spans="30:30">
      <c r="AD16" t="s">
        <v>69</v>
      </c>
    </row>
    <row r="17" spans="2:45">
      <c r="AD17" t="s">
        <v>122</v>
      </c>
    </row>
    <row r="18" spans="2:45">
      <c r="AD18" t="s">
        <v>128</v>
      </c>
    </row>
    <row r="19" spans="2:45">
      <c r="AD19" t="s">
        <v>130</v>
      </c>
      <c r="AS19" s="27" t="s">
        <v>251</v>
      </c>
    </row>
    <row r="20" spans="2:45">
      <c r="AD20" t="s">
        <v>73</v>
      </c>
      <c r="AS20" t="s">
        <v>252</v>
      </c>
    </row>
    <row r="21" spans="2:45">
      <c r="AD21" t="s">
        <v>124</v>
      </c>
      <c r="AS21" t="s">
        <v>375</v>
      </c>
    </row>
    <row r="22" spans="2:45">
      <c r="AS22" t="s">
        <v>389</v>
      </c>
    </row>
    <row r="23" spans="2:45">
      <c r="AS23" t="s">
        <v>390</v>
      </c>
    </row>
    <row r="24" spans="2:45">
      <c r="AS24" t="s">
        <v>391</v>
      </c>
    </row>
    <row r="25" spans="2:45">
      <c r="AS25" t="s">
        <v>392</v>
      </c>
    </row>
    <row r="26" spans="2:45">
      <c r="AF26" s="27" t="s">
        <v>230</v>
      </c>
      <c r="AG26" s="27" t="s">
        <v>196</v>
      </c>
      <c r="AH26" s="27" t="s">
        <v>234</v>
      </c>
      <c r="AI26" s="27" t="s">
        <v>438</v>
      </c>
      <c r="AJ26" s="27" t="s">
        <v>436</v>
      </c>
      <c r="AK26" s="27" t="s">
        <v>247</v>
      </c>
      <c r="AS26" t="s">
        <v>393</v>
      </c>
    </row>
    <row r="27" spans="2:45">
      <c r="AF27" t="s">
        <v>52</v>
      </c>
      <c r="AG27" t="s">
        <v>232</v>
      </c>
      <c r="AH27" t="s">
        <v>235</v>
      </c>
      <c r="AI27" t="s">
        <v>435</v>
      </c>
      <c r="AJ27" t="s">
        <v>437</v>
      </c>
      <c r="AK27" t="s">
        <v>248</v>
      </c>
    </row>
    <row r="28" spans="2:45">
      <c r="AF28" t="s">
        <v>231</v>
      </c>
      <c r="AG28" t="s">
        <v>262</v>
      </c>
      <c r="AH28" t="s">
        <v>336</v>
      </c>
      <c r="AI28" t="s">
        <v>279</v>
      </c>
      <c r="AJ28" t="s">
        <v>237</v>
      </c>
      <c r="AK28" t="s">
        <v>249</v>
      </c>
    </row>
    <row r="29" spans="2:45">
      <c r="AF29" t="s">
        <v>53</v>
      </c>
      <c r="AH29" t="s">
        <v>335</v>
      </c>
      <c r="AI29" t="s">
        <v>439</v>
      </c>
      <c r="AJ29" s="11" t="str">
        <f>'Receive MFD'!AJ34</f>
        <v>Non 1.x (2.m:21%, 2.t:21%, 4.m:36%, 8.s:21%)</v>
      </c>
    </row>
    <row r="30" spans="2:45" ht="16" thickBot="1">
      <c r="AF30" t="s">
        <v>3</v>
      </c>
      <c r="AH30" t="s">
        <v>337</v>
      </c>
      <c r="AI30" t="s">
        <v>466</v>
      </c>
      <c r="AJ30" t="s">
        <v>271</v>
      </c>
      <c r="AS30" s="27" t="s">
        <v>383</v>
      </c>
    </row>
    <row r="31" spans="2:45" ht="31.5" thickBot="1">
      <c r="B31" s="308" t="s">
        <v>144</v>
      </c>
      <c r="C31" s="309"/>
      <c r="P31" s="81" t="s">
        <v>153</v>
      </c>
      <c r="Q31" s="19" t="str">
        <f>LookUpConcat(_xlfn.CONCAT(R31,"_",P31),$AC$41:$AC$200,$AS$41:$AS$200,", ")</f>
        <v>←0.02_Tray_Stack_KD_Lengthwise</v>
      </c>
      <c r="R31" s="307" t="s">
        <v>130</v>
      </c>
      <c r="S31" s="19" t="str">
        <f>LookUpConcat(_xlfn.CONCAT(T31,"_",R31),$AC$41:$AC$200,$AS$41:$AS$200,", ")</f>
        <v>↑0.3_Tote_Stack_KD_Lengthwise, ↑0.02_Tray_Stack_KD_Lengthwise</v>
      </c>
      <c r="T31" s="304" t="s">
        <v>152</v>
      </c>
      <c r="U31" t="str">
        <f>LookUpConcat(_xlfn.CONCAT(V31,"_",T31),$AC$41:$AC$200,$AS$41:$AS$200,", ")</f>
        <v>↓0.3_Tote_Stack_KD_Lengthwise, ↓0.02_Tray_Stack_KD_Lengthwise</v>
      </c>
      <c r="V31" s="307" t="s">
        <v>124</v>
      </c>
      <c r="AD31" s="233" t="s">
        <v>372</v>
      </c>
      <c r="AE31" s="25"/>
      <c r="AF31" t="s">
        <v>435</v>
      </c>
      <c r="AH31" t="s">
        <v>465</v>
      </c>
      <c r="AI31" t="s">
        <v>231</v>
      </c>
      <c r="AJ31" t="s">
        <v>272</v>
      </c>
      <c r="AS31" t="s">
        <v>384</v>
      </c>
    </row>
    <row r="32" spans="2:45" ht="16" customHeight="1" thickBot="1">
      <c r="B32" s="19" t="str">
        <f>LookUpConcat(_xlfn.CONCAT(B31,"_",B33),$AC$41:$AC$200,$AS$41:$AS$200,", ")</f>
        <v/>
      </c>
      <c r="C32" s="19" t="str">
        <f>LookUpConcat(_xlfn.CONCAT(B33,"_",B31),$AC$41:$AC$200,$AS$41:$AS$200,", ")</f>
        <v/>
      </c>
      <c r="R32" s="306"/>
      <c r="T32" s="305"/>
      <c r="U32" t="str">
        <f>LookUpConcat(_xlfn.CONCAT(T31,"_",V31),$AC$41:$AC$200,$AS$41:$AS$200,", ")</f>
        <v>↑0.3_Tote_Stack_KD_Lengthwise, ↑0.02_Tray_Stack_Empty_Lengthwise</v>
      </c>
      <c r="V32" s="306"/>
      <c r="AD32" s="18" t="s">
        <v>359</v>
      </c>
      <c r="AE32" s="19" t="str">
        <f>LookUpConcat(_xlfn.CONCAT(AE31,"_",AE33),$AC$41:$AC$200,$AS$41:$AS$200,", ")</f>
        <v/>
      </c>
      <c r="AF32" t="s">
        <v>466</v>
      </c>
      <c r="AI32" t="s">
        <v>514</v>
      </c>
      <c r="AJ32" t="s">
        <v>273</v>
      </c>
      <c r="AS32" t="s">
        <v>385</v>
      </c>
    </row>
    <row r="33" spans="1:49" ht="47" thickBot="1">
      <c r="B33" s="308" t="s">
        <v>158</v>
      </c>
      <c r="C33" s="309"/>
      <c r="J33" s="81" t="s">
        <v>139</v>
      </c>
      <c r="K33" s="19" t="str">
        <f>LookUpConcat(_xlfn.CONCAT(L33,"_",J33),$AC$41:$AC$200,$AS$41:$AS$200,", ")</f>
        <v>←0.05_Tote_Single_Partial_Lengthwise, ←0.1_Tray_Single_Partial_Lengthwise</v>
      </c>
      <c r="L33" s="81" t="s">
        <v>134</v>
      </c>
      <c r="O33" s="81" t="s">
        <v>155</v>
      </c>
      <c r="R33" s="19" t="str">
        <f>LookUpConcat(_xlfn.CONCAT(R31,"_",R34),$AC$41:$AC$200,$AS$41:$AS$200,", ")</f>
        <v>↓1.82_Tote_Single_Empty_Lengthwise</v>
      </c>
      <c r="T33" s="305"/>
      <c r="AD33" s="18"/>
      <c r="AE33" s="19"/>
      <c r="AF33" t="s">
        <v>561</v>
      </c>
      <c r="AI33" t="s">
        <v>337</v>
      </c>
      <c r="AJ33" t="s">
        <v>274</v>
      </c>
    </row>
    <row r="34" spans="1:49" ht="47" customHeight="1" thickBot="1">
      <c r="B34" s="19" t="str">
        <f>LookUpConcat(_xlfn.CONCAT(B33,"_",B35),$AC$41:$AC$200,$AS$41:$AS$200,", ")</f>
        <v>↓3.21_Tray_Single_Partial_Widthwise, ↓1.65_Tote_Single_Full_Widthwise, ↓0.09_Tray_Single_Partial_Widthwise</v>
      </c>
      <c r="C34" s="19" t="str">
        <f>LookUpConcat(_xlfn.CONCAT(B35,"_",B33),$AC$41:$AC$200,$AS$41:$AS$200,", ")</f>
        <v>↑3.21_Tray_Single_Full_Widthwise, ↑1.65_Tote_Single_Empty_Widthwise, ↑0.09_Tray_Single_Empty_Widthwise</v>
      </c>
      <c r="J34" s="19" t="str">
        <f>LookUpConcat(_xlfn.CONCAT(J33,"_",I35),$AC$41:$AC$200,$AS$41:$AS$200,", ")</f>
        <v>↓0.05_Tote_Single_Full_Widthwise, ↓0.1_Tray_Single_Partial_Widthwise</v>
      </c>
      <c r="L34" s="19" t="str">
        <f>LookUpConcat(_xlfn.CONCAT(I35,"_",L33),$AC$41:$AC$200,$AS$41:$AS$200,", ")</f>
        <v>↑0.17_Tote_Single_Partial_Widthwise, ↑0.34_Tray_Single_Partial_Widthwise, ↑0.09_Tray_Single_Partial_Lengthwise</v>
      </c>
      <c r="R34" s="234" t="s">
        <v>152</v>
      </c>
      <c r="S34" s="235"/>
      <c r="T34" s="306"/>
      <c r="V34" s="81" t="s">
        <v>160</v>
      </c>
      <c r="AD34" s="18" t="s">
        <v>370</v>
      </c>
      <c r="AE34" s="19" t="str">
        <f>LookUpConcat(_xlfn.CONCAT(AE35,"_",AE33),$AC$41:$AC$200,$AS$41:$AS$200,", ")</f>
        <v/>
      </c>
      <c r="AF34" t="s">
        <v>484</v>
      </c>
      <c r="AI34" t="s">
        <v>563</v>
      </c>
      <c r="AJ34" t="s">
        <v>275</v>
      </c>
      <c r="AM34" t="s">
        <v>519</v>
      </c>
    </row>
    <row r="35" spans="1:49" ht="16" thickBot="1">
      <c r="B35" s="310" t="s">
        <v>159</v>
      </c>
      <c r="C35" s="317"/>
      <c r="D35" s="317"/>
      <c r="E35" s="317"/>
      <c r="F35" s="317"/>
      <c r="G35" s="318"/>
      <c r="H35" s="19" t="str">
        <f>LookUpConcat(_xlfn.CONCAT(I35,"_",B35),$AC$41:$AC$200,$AS$41:$AS$200,", ")</f>
        <v>←3.21_Tray_Single_Full_Lengthwise, ←1.65_Tote_Single_Empty_Lengthwise, ←0.09_Tray_Single_Empty_Lengthwise</v>
      </c>
      <c r="I35" s="310" t="s">
        <v>156</v>
      </c>
      <c r="J35" s="317"/>
      <c r="K35" s="317"/>
      <c r="L35" s="318"/>
      <c r="M35" t="str">
        <f>LookUpConcat(_xlfn.CONCAT(N35,"_",I35),$AC$41:$AC$200,$AS$41:$AS$200,", ")</f>
        <v>←3.38_Tray_Single_Full_Lengthwise, ←1.73_Tote_Single_Empty_Lengthwise, ←0.09_Tray_Single_Empty_Lengthwise</v>
      </c>
      <c r="N35" s="310" t="s">
        <v>154</v>
      </c>
      <c r="O35" s="317"/>
      <c r="P35" s="318"/>
      <c r="T35" t="str">
        <f>LookUpConcat(_xlfn.CONCAT(T36,"_",T31),$AC$41:$AC$200,$AS$41:$AS$200,", ")</f>
        <v>↑0.3_Tote_Stack_KD_Lengthwise</v>
      </c>
      <c r="V35" t="str">
        <f>LookUpConcat(_xlfn.CONCAT(V34,"_",T36),AC41:AC200,AS41:AS200,", ")</f>
        <v>←0.85_Tray_Stack_Full_Widthwise, ←0.3_Tote_Stack_KD_Lengthwise</v>
      </c>
      <c r="AD35" s="18" t="s">
        <v>371</v>
      </c>
      <c r="AE35" s="19" t="str">
        <f>LookUpConcat(_xlfn.CONCAT(AF30,"_",AD35),$AC$41:$AC$200,$AS$41:$AS$200,", ")</f>
        <v/>
      </c>
      <c r="AJ35" t="s">
        <v>276</v>
      </c>
      <c r="AL35" s="27" t="s">
        <v>230</v>
      </c>
      <c r="AM35" s="27" t="s">
        <v>521</v>
      </c>
      <c r="AN35" s="27">
        <v>1</v>
      </c>
      <c r="AO35" s="27"/>
      <c r="AP35" s="27" t="s">
        <v>196</v>
      </c>
      <c r="AQ35" s="27"/>
      <c r="AR35" s="27"/>
      <c r="AS35" s="27" t="s">
        <v>234</v>
      </c>
      <c r="AT35" s="27" t="s">
        <v>247</v>
      </c>
      <c r="AU35" s="27" t="s">
        <v>2</v>
      </c>
      <c r="AV35" s="27" t="s">
        <v>208</v>
      </c>
      <c r="AW35" s="27" t="s">
        <v>209</v>
      </c>
    </row>
    <row r="36" spans="1:49" ht="16" customHeight="1" thickBot="1">
      <c r="B36" s="319"/>
      <c r="C36" s="320"/>
      <c r="D36" s="320"/>
      <c r="E36" s="320"/>
      <c r="F36" s="320"/>
      <c r="G36" s="321"/>
      <c r="H36" s="26" t="str">
        <f>LookUpConcat(_xlfn.CONCAT(B35,"_",I35),$AC$41:$AC$200,$AS$41:$AS$200,", ")</f>
        <v>→3.21_Tray_Single_Partial_Lengthwise, →1.65_Tote_Single_Full_Lengthwise, →0.09_Tray_Single_Partial_Lengthwise</v>
      </c>
      <c r="I36" s="319"/>
      <c r="J36" s="320"/>
      <c r="K36" s="320"/>
      <c r="L36" s="321"/>
      <c r="M36" s="13" t="str">
        <f>LookUpConcat(_xlfn.CONCAT(I35,"_",N35),$AC$41:$AC$200,$AS$41:$AS$200,", ")</f>
        <v>→3.38_Tray_Single_Partial_Lengthwise, →1.73_Tote_Single_Full_Lengthwise, →0.09_Tray_Single_Partial_Lengthwise</v>
      </c>
      <c r="N36" s="322"/>
      <c r="O36" s="302"/>
      <c r="P36" s="323"/>
      <c r="Q36" t="str">
        <f>LookUpConcat(_xlfn.CONCAT(R36,"_",N35),$AC$41:$AC$200,$AS$41:$AS$200,", ")</f>
        <v/>
      </c>
      <c r="R36" s="307" t="s">
        <v>69</v>
      </c>
      <c r="S36" t="str">
        <f>LookUpConcat(_xlfn.CONCAT(T36,"_",R36),$AC$41:$AC$200,$AS$41:$AS$200,", ")</f>
        <v/>
      </c>
      <c r="T36" s="310" t="s">
        <v>122</v>
      </c>
      <c r="U36" s="311"/>
      <c r="V36" s="312"/>
      <c r="AD36" s="52" t="s">
        <v>360</v>
      </c>
      <c r="AE36" s="26" t="str">
        <f>LookUpConcat(_xlfn.CONCAT(AD36,"_",AF31),$AC$41:$AC$200,$AS$41:$AS$200,", ")</f>
        <v/>
      </c>
      <c r="AJ36" t="s">
        <v>277</v>
      </c>
      <c r="AL36" t="s">
        <v>52</v>
      </c>
      <c r="AM36" t="s">
        <v>520</v>
      </c>
      <c r="AN36">
        <v>100</v>
      </c>
      <c r="AP36" t="s">
        <v>232</v>
      </c>
      <c r="AS36" t="s">
        <v>235</v>
      </c>
      <c r="AT36" t="s">
        <v>248</v>
      </c>
      <c r="AU36" t="s">
        <v>237</v>
      </c>
      <c r="AV36" t="s">
        <v>242</v>
      </c>
      <c r="AW36" t="s">
        <v>54</v>
      </c>
    </row>
    <row r="37" spans="1:49" ht="16" thickBot="1">
      <c r="B37"/>
      <c r="C37"/>
      <c r="I37" s="19" t="str">
        <f>LookUpConcat(_xlfn.CONCAT(I35,"_",I38),$AC$41:$AC$200,$AS$41:$AS$200,", ")</f>
        <v>↓0.32_Tray_Single_Partial_Lengthwise, ↓0.55_Tote_Single_Full_Lengthwise</v>
      </c>
      <c r="K37" s="19" t="str">
        <f>LookUpConcat(_xlfn.CONCAT(I38,"_",I35),$AC$41:$AC$200,$AS$41:$AS$200,", ")</f>
        <v>↑0.32_Tray_Single_Partial_Lengthwise, ↑0.55_Tote_Single_Full_Lengthwise</v>
      </c>
      <c r="N37" s="319"/>
      <c r="O37" s="320"/>
      <c r="P37" s="321"/>
      <c r="Q37" t="str">
        <f>LookUpConcat(_xlfn.CONCAT(N35,"_",R36),$AC$41:$AC$200,$AS$41:$AS$200,", ")</f>
        <v/>
      </c>
      <c r="R37" s="306"/>
      <c r="S37" t="str">
        <f>LookUpConcat(_xlfn.CONCAT(R36,"_",T36),$AC$41:$AC$200,$AS$41:$AS$200,", ")</f>
        <v/>
      </c>
      <c r="T37" s="313"/>
      <c r="U37" s="314"/>
      <c r="V37" s="315"/>
      <c r="AJ37" s="11" t="str">
        <f>"All ("&amp;$F$51&amp;":"&amp;TEXT($G$51,"0%")&amp;", "&amp;$F$52&amp;":"&amp;TEXT($G$52,"0%")&amp;", "&amp;$F$53&amp;":"&amp;TEXT($G$53,"0%")&amp;", "&amp;$F$54&amp;":"&amp;TEXT($G$54,"0%")&amp;", "&amp;$F$55&amp;":"&amp;TEXT($G$55,"0%")&amp;", "&amp;$F$56&amp;":"&amp;TEXT($G$56,"0%")&amp;", "&amp;$F$57&amp;":"&amp;TEXT($G$57,"0%")&amp;")"</f>
        <v>All (1.s:10%, 1.m:10%, 1.t:10%, 2.m:15%, 2.t:15%, 4.m:25%, 8.s:15%)</v>
      </c>
      <c r="AL37" t="s">
        <v>231</v>
      </c>
      <c r="AM37" t="s">
        <v>231</v>
      </c>
      <c r="AN37">
        <v>200</v>
      </c>
      <c r="AP37" t="s">
        <v>233</v>
      </c>
      <c r="AS37" t="s">
        <v>4</v>
      </c>
      <c r="AT37" t="s">
        <v>249</v>
      </c>
      <c r="AU37" t="s">
        <v>241</v>
      </c>
      <c r="AV37" t="s">
        <v>243</v>
      </c>
      <c r="AW37" t="s">
        <v>55</v>
      </c>
    </row>
    <row r="38" spans="1:49" ht="16" thickBot="1">
      <c r="B38" s="301"/>
      <c r="C38" s="302"/>
      <c r="I38" s="308" t="s">
        <v>73</v>
      </c>
      <c r="J38" s="316"/>
      <c r="K38" s="309"/>
      <c r="N38" s="19" t="str">
        <f>LookUpConcat(_xlfn.CONCAT(N35,"_",N39),$AC$41:$AC$200,$AS$41:$AS$200,", ")</f>
        <v>↓0.09_Tray_Single_Empty_Lengthwise</v>
      </c>
      <c r="P38" s="19" t="str">
        <f>LookUpConcat(_xlfn.CONCAT(N35,"_",P39),$AC$41:$AC$200,$AS$41:$AS$200,", ")</f>
        <v>↓1.82_Tote_Single_Full_Lengthwise</v>
      </c>
      <c r="V38" t="str">
        <f>LookUpConcat(_xlfn.CONCAT(T36,"_",V39),$AC$41:$AC$200,$AS$41:$AS$200,", ")</f>
        <v>→0.85_Tray_Stack_Partial_Widthwise, →0.61_Tote_Stack_Full_Widthwise</v>
      </c>
      <c r="AJ38" t="str">
        <f>"All ("&amp;$F$83&amp;":"&amp;TEXT($G$83,"0%")&amp;", "&amp;$F$84&amp;":"&amp;TEXT($G$84,"0%")&amp;")"</f>
        <v>All (with 1.x compartments:30%, with non 1.x compartments:70%)</v>
      </c>
      <c r="AL38" t="s">
        <v>236</v>
      </c>
      <c r="AM38" t="s">
        <v>522</v>
      </c>
      <c r="AN38">
        <v>300</v>
      </c>
      <c r="AP38" t="s">
        <v>236</v>
      </c>
      <c r="AS38" t="s">
        <v>236</v>
      </c>
      <c r="AV38" t="s">
        <v>244</v>
      </c>
      <c r="AW38" t="s">
        <v>56</v>
      </c>
    </row>
    <row r="39" spans="1:49" ht="31.5" thickBot="1">
      <c r="B39"/>
      <c r="C39"/>
      <c r="N39" s="81" t="s">
        <v>162</v>
      </c>
      <c r="P39" s="81" t="s">
        <v>128</v>
      </c>
      <c r="V39" s="81" t="s">
        <v>160</v>
      </c>
      <c r="AJ39" t="s">
        <v>515</v>
      </c>
      <c r="AM39" t="s">
        <v>564</v>
      </c>
      <c r="AN39">
        <v>600</v>
      </c>
      <c r="AU39" t="s">
        <v>236</v>
      </c>
    </row>
    <row r="40" spans="1:49">
      <c r="B40" s="301"/>
      <c r="C40" s="302"/>
      <c r="AJ40" t="s">
        <v>516</v>
      </c>
    </row>
    <row r="41" spans="1:49">
      <c r="S41" s="271" t="s">
        <v>240</v>
      </c>
      <c r="T41" s="274" t="s">
        <v>470</v>
      </c>
      <c r="U41" s="277" t="s">
        <v>330</v>
      </c>
      <c r="V41" s="273" t="s">
        <v>358</v>
      </c>
      <c r="W41" s="271" t="s">
        <v>234</v>
      </c>
      <c r="X41" s="274" t="s">
        <v>470</v>
      </c>
      <c r="AB41" s="27" t="s">
        <v>250</v>
      </c>
      <c r="AC41" s="27" t="s">
        <v>357</v>
      </c>
      <c r="AD41" s="27" t="s">
        <v>238</v>
      </c>
      <c r="AE41" s="27" t="s">
        <v>239</v>
      </c>
      <c r="AF41" s="27" t="s">
        <v>240</v>
      </c>
      <c r="AG41" s="27" t="s">
        <v>196</v>
      </c>
      <c r="AH41" s="27" t="s">
        <v>234</v>
      </c>
      <c r="AI41" s="27" t="s">
        <v>438</v>
      </c>
      <c r="AJ41" s="27" t="s">
        <v>436</v>
      </c>
      <c r="AK41" s="27" t="s">
        <v>247</v>
      </c>
      <c r="AL41" s="27" t="s">
        <v>330</v>
      </c>
      <c r="AM41" s="27" t="s">
        <v>445</v>
      </c>
      <c r="AN41" s="27" t="s">
        <v>483</v>
      </c>
      <c r="AO41" s="27" t="s">
        <v>382</v>
      </c>
      <c r="AP41" s="27" t="s">
        <v>347</v>
      </c>
      <c r="AQ41" s="27" t="s">
        <v>471</v>
      </c>
      <c r="AR41" s="27" t="s">
        <v>472</v>
      </c>
      <c r="AS41" s="27" t="s">
        <v>369</v>
      </c>
      <c r="AT41" s="27" t="s">
        <v>394</v>
      </c>
      <c r="AU41" s="27" t="s">
        <v>405</v>
      </c>
      <c r="AV41" s="27" t="s">
        <v>406</v>
      </c>
      <c r="AW41" s="27" t="s">
        <v>407</v>
      </c>
    </row>
    <row r="42" spans="1:49">
      <c r="S42" s="225" t="s">
        <v>52</v>
      </c>
      <c r="T42" s="229" t="s">
        <v>475</v>
      </c>
      <c r="U42" s="243" t="s">
        <v>333</v>
      </c>
      <c r="V42" s="267" t="s">
        <v>245</v>
      </c>
      <c r="W42" s="225" t="s">
        <v>235</v>
      </c>
      <c r="X42" s="229" t="s">
        <v>478</v>
      </c>
      <c r="AB42" s="22">
        <v>1</v>
      </c>
      <c r="AC42" t="str">
        <f>AD42&amp;"_"&amp;AE42</f>
        <v>MR_Stack handler</v>
      </c>
      <c r="AD42" s="22" t="s">
        <v>160</v>
      </c>
      <c r="AE42" s="22" t="s">
        <v>122</v>
      </c>
      <c r="AF42" s="22" t="str">
        <f t="shared" ref="AF42:AF57" si="0">$AF$27</f>
        <v>Tray</v>
      </c>
      <c r="AG42" s="22" t="s">
        <v>262</v>
      </c>
      <c r="AH42" s="22" t="s">
        <v>336</v>
      </c>
      <c r="AI42" s="275" t="str">
        <f t="shared" ref="AI42:AI57" si="1">$AI$27</f>
        <v>Compartment</v>
      </c>
      <c r="AJ42" s="275" t="str">
        <f t="shared" ref="AJ42:AJ57" si="2">$AJ$38</f>
        <v>All (with 1.x compartments:30%, with non 1.x compartments:70%)</v>
      </c>
      <c r="AK42" s="22" t="s">
        <v>249</v>
      </c>
      <c r="AL42" s="22" t="s">
        <v>332</v>
      </c>
      <c r="AM42" s="22">
        <f>AN35</f>
        <v>1</v>
      </c>
      <c r="AN42" s="22" t="s">
        <v>485</v>
      </c>
      <c r="AO42" s="12">
        <f>$G$68</f>
        <v>4</v>
      </c>
      <c r="AP42" s="12">
        <f>G72/G68</f>
        <v>0.84513546798029549</v>
      </c>
      <c r="AQ42" s="12" t="str">
        <f>VLOOKUP(AF42,$S$41:$T$51,2,FALSE)</f>
        <v>rgb(239,90,104)</v>
      </c>
      <c r="AR42" s="12" t="str">
        <f>VLOOKUP(AH42,$W$41:$X$51,2,FALSE)</f>
        <v>rgb(113,190,138)</v>
      </c>
      <c r="AS42" t="str">
        <f>VLOOKUP(AL42,$U$41:$V$51,2,FALSE)&amp;ROUND(AP42,2)&amp;"_"&amp;AF42&amp;"_"&amp;AG42&amp;"_"&amp;AH42&amp;"_"&amp;AK42</f>
        <v>←0.85_Tray_Stack_Full_Widthwise</v>
      </c>
      <c r="AT42" t="str">
        <f>AD42&amp;" ["&amp;ROUND(AP42,2)&amp;"] "&amp;AE42</f>
        <v>MR [0.85] Stack handler</v>
      </c>
      <c r="AU42" s="22" t="s">
        <v>402</v>
      </c>
      <c r="AV42" t="str">
        <f>IF(AU42="first","","")&amp;CHAR(10)&amp;"{ from: """&amp;AD42&amp;""", to: """&amp;AE42&amp;""", long_text: """&amp;ROUND(AP42,2)&amp;"_"&amp;AF42&amp;"_"&amp;AG42&amp;""", short_text: """&amp;ROUND(AP42,2)&amp;""", fromSpot: """&amp;IF(AL42="Down","BottomSide",IF(AL42="Up","TopSide",IF(AL42="Left","LeftSide","RightSide")))&amp;""", toSpot: """&amp;IF(AL42="Down","TopSide",IF(AL42="Up","BottomSide",IF(AL42="Left","RightSide","LeftSide")))&amp;""", container: """&amp;AF42&amp;""", form: """&amp;AG42&amp;""", state: """&amp;AH42&amp;""", content: """&amp;AI42&amp;""", size: """&amp;AJ42&amp;""", flow_id: """&amp;AC42&amp;""", sequence_id: """&amp;AM42&amp;""", orientation: """&amp;AK42&amp;""", flow_color: """&amp;AQ42&amp;""", arrowhead_color: """&amp;AR42&amp;""", comments: """&amp;AN42&amp;""", containers_per_stack: """&amp;AO42&amp;""", throughput_per_minute: """&amp;AP42&amp;""" }"&amp;IF(AU42="last",CHAR(10)&amp;"]);",",")</f>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v>
      </c>
      <c r="AW42" t="str">
        <f>IF(AND(AU42&lt;&gt;"",AU42&lt;&gt;"last"),AV42,AW41&amp;AV42)</f>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v>
      </c>
    </row>
    <row r="43" spans="1:49">
      <c r="S43" s="225" t="s">
        <v>231</v>
      </c>
      <c r="T43" s="229" t="s">
        <v>474</v>
      </c>
      <c r="U43" s="243" t="s">
        <v>331</v>
      </c>
      <c r="V43" s="267" t="s">
        <v>246</v>
      </c>
      <c r="W43" s="225" t="s">
        <v>336</v>
      </c>
      <c r="X43" s="229" t="s">
        <v>481</v>
      </c>
      <c r="AB43">
        <f>AB42+1</f>
        <v>2</v>
      </c>
      <c r="AC43" t="str">
        <f t="shared" ref="AC43" si="3">AD43&amp;"_"&amp;AE43</f>
        <v>Stack handler_Destacking</v>
      </c>
      <c r="AD43" s="22" t="s">
        <v>122</v>
      </c>
      <c r="AE43" s="22" t="s">
        <v>482</v>
      </c>
      <c r="AF43" s="22" t="str">
        <f t="shared" si="0"/>
        <v>Tray</v>
      </c>
      <c r="AG43" s="22" t="s">
        <v>262</v>
      </c>
      <c r="AH43" s="22" t="s">
        <v>336</v>
      </c>
      <c r="AI43" s="275" t="str">
        <f t="shared" si="1"/>
        <v>Compartment</v>
      </c>
      <c r="AJ43" s="275" t="str">
        <f t="shared" si="2"/>
        <v>All (with 1.x compartments:30%, with non 1.x compartments:70%)</v>
      </c>
      <c r="AK43" s="22" t="s">
        <v>248</v>
      </c>
      <c r="AL43" s="22" t="s">
        <v>332</v>
      </c>
      <c r="AM43" s="22">
        <f>AM42+1</f>
        <v>2</v>
      </c>
      <c r="AN43" s="22" t="s">
        <v>486</v>
      </c>
      <c r="AO43" s="12">
        <f>$G$68</f>
        <v>4</v>
      </c>
      <c r="AP43" s="12">
        <f>AP42</f>
        <v>0.84513546798029549</v>
      </c>
      <c r="AQ43" s="12" t="str">
        <f t="shared" ref="AQ43" si="4">VLOOKUP(AF43,$S$41:$T$51,2,FALSE)</f>
        <v>rgb(239,90,104)</v>
      </c>
      <c r="AR43" s="12" t="str">
        <f t="shared" ref="AR43" si="5">VLOOKUP(AH43,$W$41:$X$51,2,FALSE)</f>
        <v>rgb(113,190,138)</v>
      </c>
      <c r="AS43" t="str">
        <f t="shared" ref="AS43" si="6">VLOOKUP(AL43,$U$41:$V$51,2,FALSE)&amp;ROUND(AP43,2)&amp;"_"&amp;AF43&amp;"_"&amp;AG43&amp;"_"&amp;AH43&amp;"_"&amp;AK43</f>
        <v>←0.85_Tray_Stack_Full_Lengthwise</v>
      </c>
      <c r="AT43" t="str">
        <f t="shared" ref="AT43" si="7">AD43&amp;" ["&amp;ROUND(AP43,2)&amp;"] "&amp;AE43</f>
        <v>Stack handler [0.85] Destacking</v>
      </c>
      <c r="AU43" s="22"/>
      <c r="AV43" t="str">
        <f t="shared" ref="AV43" si="8">IF(AU43="first","","")&amp;CHAR(10)&amp;"{ from: """&amp;AD43&amp;""", to: """&amp;AE43&amp;""", long_text: """&amp;ROUND(AP43,2)&amp;"_"&amp;AF43&amp;"_"&amp;AG43&amp;""", short_text: """&amp;ROUND(AP43,2)&amp;""", fromSpot: """&amp;IF(AL43="Down","BottomSide",IF(AL43="Up","TopSide",IF(AL43="Left","LeftSide","RightSide")))&amp;""", toSpot: """&amp;IF(AL43="Down","TopSide",IF(AL43="Up","BottomSide",IF(AL43="Left","RightSide","LeftSide")))&amp;""", container: """&amp;AF43&amp;""", form: """&amp;AG43&amp;""", state: """&amp;AH43&amp;""", content: """&amp;AI43&amp;""", size: """&amp;AJ43&amp;""", flow_id: """&amp;AC43&amp;""", sequence_id: """&amp;AM43&amp;""", orientation: """&amp;AK43&amp;""", flow_color: """&amp;AQ43&amp;""", arrowhead_color: """&amp;AR43&amp;""", comments: """&amp;AN43&amp;""", containers_per_stack: """&amp;AO43&amp;""", throughput_per_minute: """&amp;AP43&amp;""" }"&amp;IF(AU43="last",CHAR(10)&amp;"]);",",")</f>
        <v xml:space="preserve">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v>
      </c>
      <c r="AW43" t="str">
        <f>IF(AND(AU43&lt;&gt;"",AU43&lt;&gt;"last"),AV43,AW42&amp;AV43)</f>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v>
      </c>
    </row>
    <row r="44" spans="1:49">
      <c r="A44" s="50" t="s">
        <v>338</v>
      </c>
      <c r="B44" s="224"/>
      <c r="C44" s="224"/>
      <c r="D44" s="224"/>
      <c r="E44" s="224"/>
      <c r="F44" s="224"/>
      <c r="G44" s="66"/>
      <c r="S44" s="225" t="s">
        <v>53</v>
      </c>
      <c r="T44" s="229" t="s">
        <v>473</v>
      </c>
      <c r="U44" s="243" t="s">
        <v>332</v>
      </c>
      <c r="V44" s="267" t="s">
        <v>254</v>
      </c>
      <c r="W44" s="225" t="s">
        <v>335</v>
      </c>
      <c r="X44" s="229" t="s">
        <v>480</v>
      </c>
      <c r="AB44">
        <f t="shared" ref="AB44:AB88" si="9">AB43+1</f>
        <v>3</v>
      </c>
      <c r="AC44" t="str">
        <f t="shared" ref="AC44:AC88" si="10">AD44&amp;"_"&amp;AE44</f>
        <v>Destacking_IO connector</v>
      </c>
      <c r="AD44" s="22" t="s">
        <v>482</v>
      </c>
      <c r="AE44" s="22" t="s">
        <v>154</v>
      </c>
      <c r="AF44" s="22" t="str">
        <f t="shared" si="0"/>
        <v>Tray</v>
      </c>
      <c r="AG44" s="22" t="s">
        <v>232</v>
      </c>
      <c r="AH44" s="22" t="s">
        <v>336</v>
      </c>
      <c r="AI44" s="275" t="str">
        <f t="shared" si="1"/>
        <v>Compartment</v>
      </c>
      <c r="AJ44" s="275" t="str">
        <f t="shared" si="2"/>
        <v>All (with 1.x compartments:30%, with non 1.x compartments:70%)</v>
      </c>
      <c r="AK44" s="22" t="s">
        <v>248</v>
      </c>
      <c r="AL44" s="22" t="s">
        <v>332</v>
      </c>
      <c r="AM44" s="22">
        <f t="shared" ref="AM44:AM57" si="11">AM43+1</f>
        <v>3</v>
      </c>
      <c r="AN44" s="22" t="s">
        <v>487</v>
      </c>
      <c r="AP44" s="12">
        <f>AP43*AO43</f>
        <v>3.3805418719211819</v>
      </c>
      <c r="AQ44" s="12" t="str">
        <f t="shared" ref="AQ44:AQ88" si="12">VLOOKUP(AF44,$S$41:$T$51,2,FALSE)</f>
        <v>rgb(239,90,104)</v>
      </c>
      <c r="AR44" s="12" t="str">
        <f t="shared" ref="AR44:AR88" si="13">VLOOKUP(AH44,$W$41:$X$51,2,FALSE)</f>
        <v>rgb(113,190,138)</v>
      </c>
      <c r="AS44" t="str">
        <f t="shared" ref="AS44:AS88" si="14">VLOOKUP(AL44,$U$41:$V$51,2,FALSE)&amp;ROUND(AP44,2)&amp;"_"&amp;AF44&amp;"_"&amp;AG44&amp;"_"&amp;AH44&amp;"_"&amp;AK44</f>
        <v>←3.38_Tray_Single_Full_Lengthwise</v>
      </c>
      <c r="AT44" t="str">
        <f t="shared" ref="AT44:AT88" si="15">AD44&amp;" ["&amp;ROUND(AP44,2)&amp;"] "&amp;AE44</f>
        <v>Destacking [3.38] IO connector</v>
      </c>
      <c r="AU44" s="22"/>
      <c r="AV44" t="str">
        <f t="shared" ref="AV44:AV88" si="16">IF(AU44="first","","")&amp;CHAR(10)&amp;"{ from: """&amp;AD44&amp;""", to: """&amp;AE44&amp;""", long_text: """&amp;ROUND(AP44,2)&amp;"_"&amp;AF44&amp;"_"&amp;AG44&amp;""", short_text: """&amp;ROUND(AP44,2)&amp;""", fromSpot: """&amp;IF(AL44="Down","BottomSide",IF(AL44="Up","TopSide",IF(AL44="Left","LeftSide","RightSide")))&amp;""", toSpot: """&amp;IF(AL44="Down","TopSide",IF(AL44="Up","BottomSide",IF(AL44="Left","RightSide","LeftSide")))&amp;""", container: """&amp;AF44&amp;""", form: """&amp;AG44&amp;""", state: """&amp;AH44&amp;""", content: """&amp;AI44&amp;""", size: """&amp;AJ44&amp;""", flow_id: """&amp;AC44&amp;""", sequence_id: """&amp;AM44&amp;""", orientation: """&amp;AK44&amp;""", flow_color: """&amp;AQ44&amp;""", arrowhead_color: """&amp;AR44&amp;""", comments: """&amp;AN44&amp;""", containers_per_stack: """&amp;AO44&amp;""", throughput_per_minute: """&amp;AP44&amp;""" }"&amp;IF(AU44="last",CHAR(10)&amp;"]);",",")</f>
        <v xml:space="preserve">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v>
      </c>
      <c r="AW44" t="str">
        <f t="shared" ref="AW44:AW88" si="17">IF(AND(AU44&lt;&gt;"",AU44&lt;&gt;"last"),AV44,AW43&amp;AV44)</f>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v>
      </c>
    </row>
    <row r="45" spans="1:49">
      <c r="A45" s="225"/>
      <c r="B45"/>
      <c r="C45"/>
      <c r="D45"/>
      <c r="E45"/>
      <c r="F45" s="7" t="s">
        <v>339</v>
      </c>
      <c r="G45" s="226">
        <f>Metrics!H158</f>
        <v>1.8239999999999994</v>
      </c>
      <c r="H45"/>
      <c r="I45"/>
      <c r="J45"/>
      <c r="K45"/>
      <c r="L45"/>
      <c r="M45"/>
      <c r="N45"/>
      <c r="O45"/>
      <c r="P45"/>
      <c r="Q45"/>
      <c r="R45"/>
      <c r="S45" s="144" t="s">
        <v>3</v>
      </c>
      <c r="T45" s="229" t="s">
        <v>476</v>
      </c>
      <c r="U45" s="243" t="s">
        <v>334</v>
      </c>
      <c r="V45" s="267" t="s">
        <v>253</v>
      </c>
      <c r="W45" s="144" t="s">
        <v>337</v>
      </c>
      <c r="X45" s="229" t="s">
        <v>479</v>
      </c>
      <c r="AB45">
        <f t="shared" si="9"/>
        <v>4</v>
      </c>
      <c r="AC45" t="str">
        <f t="shared" si="10"/>
        <v>IO connector_Main connector</v>
      </c>
      <c r="AD45" s="22" t="s">
        <v>154</v>
      </c>
      <c r="AE45" s="22" t="s">
        <v>156</v>
      </c>
      <c r="AF45" s="22" t="str">
        <f t="shared" si="0"/>
        <v>Tray</v>
      </c>
      <c r="AG45" s="22" t="s">
        <v>232</v>
      </c>
      <c r="AH45" s="22" t="s">
        <v>336</v>
      </c>
      <c r="AI45" s="275" t="str">
        <f t="shared" si="1"/>
        <v>Compartment</v>
      </c>
      <c r="AJ45" s="275" t="str">
        <f t="shared" si="2"/>
        <v>All (with 1.x compartments:30%, with non 1.x compartments:70%)</v>
      </c>
      <c r="AK45" s="22" t="s">
        <v>248</v>
      </c>
      <c r="AL45" s="22" t="s">
        <v>332</v>
      </c>
      <c r="AM45" s="22">
        <f t="shared" si="11"/>
        <v>4</v>
      </c>
      <c r="AN45" s="22" t="s">
        <v>488</v>
      </c>
      <c r="AP45" s="12">
        <f>AP44</f>
        <v>3.3805418719211819</v>
      </c>
      <c r="AQ45" s="12" t="str">
        <f t="shared" si="12"/>
        <v>rgb(239,90,104)</v>
      </c>
      <c r="AR45" s="12" t="str">
        <f t="shared" si="13"/>
        <v>rgb(113,190,138)</v>
      </c>
      <c r="AS45" t="str">
        <f t="shared" si="14"/>
        <v>←3.38_Tray_Single_Full_Lengthwise</v>
      </c>
      <c r="AT45" t="str">
        <f t="shared" si="15"/>
        <v>IO connector [3.38] Main connector</v>
      </c>
      <c r="AU45" s="22"/>
      <c r="AV45" t="str">
        <f t="shared" si="16"/>
        <v xml:space="preserve">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v>
      </c>
      <c r="AW45"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v>
      </c>
    </row>
    <row r="46" spans="1:49">
      <c r="A46" s="144"/>
      <c r="B46"/>
      <c r="C46"/>
      <c r="D46"/>
      <c r="E46"/>
      <c r="F46" s="7" t="s">
        <v>340</v>
      </c>
      <c r="G46" s="226">
        <f>Metrics!H180</f>
        <v>9.803571428571427</v>
      </c>
      <c r="H46"/>
      <c r="I46"/>
      <c r="J46"/>
      <c r="K46"/>
      <c r="L46"/>
      <c r="M46"/>
      <c r="N46"/>
      <c r="O46"/>
      <c r="P46"/>
      <c r="Q46"/>
      <c r="R46"/>
      <c r="S46" s="144" t="s">
        <v>435</v>
      </c>
      <c r="T46" s="229" t="s">
        <v>477</v>
      </c>
      <c r="U46" s="243" t="s">
        <v>359</v>
      </c>
      <c r="V46" s="267" t="s">
        <v>255</v>
      </c>
      <c r="W46" s="146" t="s">
        <v>465</v>
      </c>
      <c r="X46" s="232" t="s">
        <v>569</v>
      </c>
      <c r="AB46">
        <f t="shared" si="9"/>
        <v>5</v>
      </c>
      <c r="AC46" t="str">
        <f t="shared" si="10"/>
        <v>Main connector_Mainline</v>
      </c>
      <c r="AD46" s="22" t="s">
        <v>156</v>
      </c>
      <c r="AE46" s="22" t="s">
        <v>159</v>
      </c>
      <c r="AF46" s="22" t="str">
        <f t="shared" si="0"/>
        <v>Tray</v>
      </c>
      <c r="AG46" s="22" t="s">
        <v>232</v>
      </c>
      <c r="AH46" s="22" t="s">
        <v>336</v>
      </c>
      <c r="AI46" s="275" t="str">
        <f t="shared" si="1"/>
        <v>Compartment</v>
      </c>
      <c r="AJ46" s="275" t="str">
        <f t="shared" si="2"/>
        <v>All (with 1.x compartments:30%, with non 1.x compartments:70%)</v>
      </c>
      <c r="AK46" s="22" t="s">
        <v>248</v>
      </c>
      <c r="AL46" s="22" t="s">
        <v>332</v>
      </c>
      <c r="AM46" s="22">
        <f t="shared" si="11"/>
        <v>5</v>
      </c>
      <c r="AN46" s="22" t="s">
        <v>489</v>
      </c>
      <c r="AP46" s="12">
        <f>AP45*(1-G71)</f>
        <v>3.2115147783251228</v>
      </c>
      <c r="AQ46" s="12" t="str">
        <f t="shared" si="12"/>
        <v>rgb(239,90,104)</v>
      </c>
      <c r="AR46" s="12" t="str">
        <f t="shared" si="13"/>
        <v>rgb(113,190,138)</v>
      </c>
      <c r="AS46" t="str">
        <f t="shared" si="14"/>
        <v>←3.21_Tray_Single_Full_Lengthwise</v>
      </c>
      <c r="AT46" t="str">
        <f t="shared" si="15"/>
        <v>Main connector [3.21] Mainline</v>
      </c>
      <c r="AU46" s="22"/>
      <c r="AV46" t="str">
        <f t="shared" si="16"/>
        <v xml:space="preserve">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v>
      </c>
      <c r="AW46"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v>
      </c>
    </row>
    <row r="47" spans="1:49">
      <c r="A47" s="144"/>
      <c r="B47"/>
      <c r="C47"/>
      <c r="D47"/>
      <c r="E47"/>
      <c r="F47" s="7" t="s">
        <v>345</v>
      </c>
      <c r="G47" s="226">
        <f>Metrics!I41</f>
        <v>1.2</v>
      </c>
      <c r="H47"/>
      <c r="I47"/>
      <c r="J47"/>
      <c r="K47"/>
      <c r="L47"/>
      <c r="M47"/>
      <c r="N47"/>
      <c r="O47"/>
      <c r="P47"/>
      <c r="Q47"/>
      <c r="R47"/>
      <c r="S47" s="146" t="s">
        <v>561</v>
      </c>
      <c r="T47" s="232" t="s">
        <v>566</v>
      </c>
      <c r="U47" s="243" t="s">
        <v>360</v>
      </c>
      <c r="V47" s="267" t="s">
        <v>256</v>
      </c>
      <c r="AB47">
        <f t="shared" si="9"/>
        <v>6</v>
      </c>
      <c r="AC47" t="str">
        <f t="shared" si="10"/>
        <v>Mainline_Autopack handler</v>
      </c>
      <c r="AD47" s="22" t="s">
        <v>159</v>
      </c>
      <c r="AE47" s="22" t="s">
        <v>158</v>
      </c>
      <c r="AF47" s="22" t="str">
        <f t="shared" si="0"/>
        <v>Tray</v>
      </c>
      <c r="AG47" s="22" t="s">
        <v>232</v>
      </c>
      <c r="AH47" s="22" t="s">
        <v>336</v>
      </c>
      <c r="AI47" s="275" t="str">
        <f t="shared" si="1"/>
        <v>Compartment</v>
      </c>
      <c r="AJ47" s="275" t="str">
        <f t="shared" si="2"/>
        <v>All (with 1.x compartments:30%, with non 1.x compartments:70%)</v>
      </c>
      <c r="AK47" s="22" t="s">
        <v>249</v>
      </c>
      <c r="AL47" s="22" t="s">
        <v>333</v>
      </c>
      <c r="AM47" s="22">
        <f t="shared" si="11"/>
        <v>6</v>
      </c>
      <c r="AN47" s="22" t="s">
        <v>490</v>
      </c>
      <c r="AP47" s="12">
        <f>AP46</f>
        <v>3.2115147783251228</v>
      </c>
      <c r="AQ47" s="12" t="str">
        <f t="shared" si="12"/>
        <v>rgb(239,90,104)</v>
      </c>
      <c r="AR47" s="12" t="str">
        <f t="shared" si="13"/>
        <v>rgb(113,190,138)</v>
      </c>
      <c r="AS47" t="str">
        <f t="shared" si="14"/>
        <v>↑3.21_Tray_Single_Full_Widthwise</v>
      </c>
      <c r="AT47" t="str">
        <f t="shared" si="15"/>
        <v>Mainline [3.21] Autopack handler</v>
      </c>
      <c r="AU47" s="22"/>
      <c r="AV47" t="str">
        <f t="shared" si="16"/>
        <v xml:space="preserve">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v>
      </c>
      <c r="AW47"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v>
      </c>
    </row>
    <row r="48" spans="1:49">
      <c r="A48" s="144"/>
      <c r="B48"/>
      <c r="C48"/>
      <c r="D48"/>
      <c r="E48"/>
      <c r="F48" s="7" t="s">
        <v>344</v>
      </c>
      <c r="G48" s="226">
        <f>Metrics!H41</f>
        <v>11</v>
      </c>
      <c r="H48"/>
      <c r="I48"/>
      <c r="J48"/>
      <c r="K48"/>
      <c r="L48"/>
      <c r="M48"/>
      <c r="N48"/>
      <c r="O48"/>
      <c r="P48"/>
      <c r="Q48"/>
      <c r="R48"/>
      <c r="S48"/>
      <c r="T48"/>
      <c r="U48" s="266" t="s">
        <v>361</v>
      </c>
      <c r="V48" s="267" t="s">
        <v>366</v>
      </c>
      <c r="AB48">
        <f t="shared" si="9"/>
        <v>7</v>
      </c>
      <c r="AC48" t="str">
        <f t="shared" si="10"/>
        <v xml:space="preserve">Autopack handler_Autopack pod </v>
      </c>
      <c r="AD48" s="22" t="s">
        <v>158</v>
      </c>
      <c r="AE48" s="22" t="s">
        <v>570</v>
      </c>
      <c r="AF48" s="22" t="str">
        <f t="shared" si="0"/>
        <v>Tray</v>
      </c>
      <c r="AG48" s="22" t="s">
        <v>232</v>
      </c>
      <c r="AH48" s="22" t="s">
        <v>336</v>
      </c>
      <c r="AI48" s="275" t="str">
        <f t="shared" si="1"/>
        <v>Compartment</v>
      </c>
      <c r="AJ48" s="275" t="str">
        <f t="shared" si="2"/>
        <v>All (with 1.x compartments:30%, with non 1.x compartments:70%)</v>
      </c>
      <c r="AK48" s="22" t="s">
        <v>249</v>
      </c>
      <c r="AL48" s="22" t="s">
        <v>333</v>
      </c>
      <c r="AM48" s="22">
        <f t="shared" si="11"/>
        <v>7</v>
      </c>
      <c r="AN48" s="22" t="s">
        <v>491</v>
      </c>
      <c r="AP48" s="12">
        <f>AP47</f>
        <v>3.2115147783251228</v>
      </c>
      <c r="AQ48" s="12" t="str">
        <f t="shared" si="12"/>
        <v>rgb(239,90,104)</v>
      </c>
      <c r="AR48" s="12" t="str">
        <f t="shared" si="13"/>
        <v>rgb(113,190,138)</v>
      </c>
      <c r="AS48" t="str">
        <f t="shared" si="14"/>
        <v>↑3.21_Tray_Single_Full_Widthwise</v>
      </c>
      <c r="AT48" t="str">
        <f t="shared" si="15"/>
        <v xml:space="preserve">Autopack handler [3.21] Autopack pod </v>
      </c>
      <c r="AU48" s="22"/>
      <c r="AV48" t="str">
        <f t="shared" si="16"/>
        <v xml:space="preserve">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v>
      </c>
      <c r="AW48"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v>
      </c>
    </row>
    <row r="49" spans="1:49">
      <c r="A49" s="144"/>
      <c r="B49"/>
      <c r="C49"/>
      <c r="D49"/>
      <c r="E49"/>
      <c r="F49" s="7" t="s">
        <v>351</v>
      </c>
      <c r="G49" s="226">
        <f>Metrics!H35</f>
        <v>2.9</v>
      </c>
      <c r="H49"/>
      <c r="I49"/>
      <c r="J49"/>
      <c r="K49"/>
      <c r="L49"/>
      <c r="M49"/>
      <c r="N49"/>
      <c r="O49"/>
      <c r="P49"/>
      <c r="Q49"/>
      <c r="R49"/>
      <c r="S49"/>
      <c r="T49"/>
      <c r="U49" s="266" t="s">
        <v>362</v>
      </c>
      <c r="V49" s="267" t="s">
        <v>365</v>
      </c>
      <c r="AB49">
        <f t="shared" si="9"/>
        <v>8</v>
      </c>
      <c r="AC49" t="str">
        <f t="shared" si="10"/>
        <v>Autopack pod _Autopack handler</v>
      </c>
      <c r="AD49" s="22" t="s">
        <v>570</v>
      </c>
      <c r="AE49" s="22" t="s">
        <v>158</v>
      </c>
      <c r="AF49" s="22" t="str">
        <f t="shared" si="0"/>
        <v>Tray</v>
      </c>
      <c r="AG49" s="22" t="s">
        <v>232</v>
      </c>
      <c r="AH49" s="22" t="s">
        <v>335</v>
      </c>
      <c r="AI49" s="275" t="str">
        <f t="shared" si="1"/>
        <v>Compartment</v>
      </c>
      <c r="AJ49" s="275" t="str">
        <f t="shared" si="2"/>
        <v>All (with 1.x compartments:30%, with non 1.x compartments:70%)</v>
      </c>
      <c r="AK49" s="22" t="s">
        <v>249</v>
      </c>
      <c r="AL49" s="22" t="s">
        <v>331</v>
      </c>
      <c r="AM49" s="22">
        <f t="shared" si="11"/>
        <v>8</v>
      </c>
      <c r="AN49" s="22" t="s">
        <v>495</v>
      </c>
      <c r="AP49" s="12">
        <f>AP48</f>
        <v>3.2115147783251228</v>
      </c>
      <c r="AQ49" s="12" t="str">
        <f t="shared" si="12"/>
        <v>rgb(239,90,104)</v>
      </c>
      <c r="AR49" s="12" t="str">
        <f t="shared" si="13"/>
        <v>rgb(162,212,171)</v>
      </c>
      <c r="AS49" t="str">
        <f t="shared" si="14"/>
        <v>↓3.21_Tray_Single_Partial_Widthwise</v>
      </c>
      <c r="AT49" t="str">
        <f t="shared" si="15"/>
        <v>Autopack pod  [3.21] Autopack handler</v>
      </c>
      <c r="AU49" s="22"/>
      <c r="AV49" t="str">
        <f t="shared" si="16"/>
        <v xml:space="preserve">
{ from: "Autopack pod ", to: "Autopack handler", long_text: "3.21_Tray_Single", short_text: "3.21",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"3.21151477832512" },</v>
      </c>
      <c r="AW49"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
{ from: "Autopack pod ", to: "Autopack handler", long_text: "3.21_Tray_Single", short_text: "3.21",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"3.21151477832512" },</v>
      </c>
    </row>
    <row r="50" spans="1:49">
      <c r="A50" s="144"/>
      <c r="B50"/>
      <c r="C50"/>
      <c r="D50"/>
      <c r="E50"/>
      <c r="F50" s="7" t="s">
        <v>356</v>
      </c>
      <c r="G50" s="226">
        <f>Metrics!H81</f>
        <v>7.9358552631578947</v>
      </c>
      <c r="H50"/>
      <c r="I50"/>
      <c r="J50"/>
      <c r="K50"/>
      <c r="L50"/>
      <c r="M50"/>
      <c r="N50"/>
      <c r="O50"/>
      <c r="P50"/>
      <c r="Q50"/>
      <c r="R50"/>
      <c r="S50"/>
      <c r="T50"/>
      <c r="U50" s="266" t="s">
        <v>363</v>
      </c>
      <c r="V50" s="268" t="s">
        <v>367</v>
      </c>
      <c r="AB50">
        <f t="shared" si="9"/>
        <v>9</v>
      </c>
      <c r="AC50" t="str">
        <f t="shared" si="10"/>
        <v>Autopack handler_Mainline</v>
      </c>
      <c r="AD50" s="22" t="s">
        <v>158</v>
      </c>
      <c r="AE50" s="22" t="s">
        <v>159</v>
      </c>
      <c r="AF50" s="22" t="str">
        <f t="shared" si="0"/>
        <v>Tray</v>
      </c>
      <c r="AG50" s="22" t="s">
        <v>232</v>
      </c>
      <c r="AH50" s="22" t="s">
        <v>335</v>
      </c>
      <c r="AI50" s="275" t="str">
        <f t="shared" si="1"/>
        <v>Compartment</v>
      </c>
      <c r="AJ50" s="275" t="str">
        <f t="shared" si="2"/>
        <v>All (with 1.x compartments:30%, with non 1.x compartments:70%)</v>
      </c>
      <c r="AK50" s="22" t="s">
        <v>249</v>
      </c>
      <c r="AL50" s="22" t="s">
        <v>331</v>
      </c>
      <c r="AM50" s="22">
        <f t="shared" si="11"/>
        <v>9</v>
      </c>
      <c r="AN50" s="22" t="s">
        <v>496</v>
      </c>
      <c r="AP50" s="12">
        <f>AP49</f>
        <v>3.2115147783251228</v>
      </c>
      <c r="AQ50" s="12" t="str">
        <f t="shared" si="12"/>
        <v>rgb(239,90,104)</v>
      </c>
      <c r="AR50" s="12" t="str">
        <f t="shared" si="13"/>
        <v>rgb(162,212,171)</v>
      </c>
      <c r="AS50" t="str">
        <f t="shared" si="14"/>
        <v>↓3.21_Tray_Single_Partial_Widthwise</v>
      </c>
      <c r="AT50" t="str">
        <f t="shared" si="15"/>
        <v>Autopack handler [3.21] Mainline</v>
      </c>
      <c r="AU50" s="22"/>
      <c r="AV50" t="str">
        <f t="shared" si="16"/>
        <v xml:space="preserve">
{ from: "Autopack handler", to: "Mainline", long_text: "3.21_Tray_Single", short_text: "3.21",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"3.21151477832512" },</v>
      </c>
      <c r="AW50"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
{ from: "Autopack pod ", to: "Autopack handler", long_text: "3.21_Tray_Single", short_text: "3.21",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"3.21151477832512" },
{ from: "Autopack handler", to: "Mainline", long_text: "3.21_Tray_Single", short_text: "3.21",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"3.21151477832512" },</v>
      </c>
    </row>
    <row r="51" spans="1:49">
      <c r="A51" s="144"/>
      <c r="B51"/>
      <c r="C51"/>
      <c r="D51"/>
      <c r="E51" s="7" t="s">
        <v>430</v>
      </c>
      <c r="F51" s="65" t="str">
        <f>Metrics!G25</f>
        <v>1.s</v>
      </c>
      <c r="G51" s="262">
        <f>Metrics!H25</f>
        <v>0.1</v>
      </c>
      <c r="H51"/>
      <c r="I51"/>
      <c r="J51"/>
      <c r="K51"/>
      <c r="L51"/>
      <c r="M51"/>
      <c r="N51"/>
      <c r="O51"/>
      <c r="P51"/>
      <c r="Q51"/>
      <c r="R51"/>
      <c r="S51"/>
      <c r="T51"/>
      <c r="U51" s="269" t="s">
        <v>364</v>
      </c>
      <c r="V51" s="270" t="s">
        <v>368</v>
      </c>
      <c r="AB51">
        <f t="shared" si="9"/>
        <v>10</v>
      </c>
      <c r="AC51" t="str">
        <f t="shared" si="10"/>
        <v>Mainline_Main connector</v>
      </c>
      <c r="AD51" s="22" t="s">
        <v>159</v>
      </c>
      <c r="AE51" s="22" t="s">
        <v>156</v>
      </c>
      <c r="AF51" s="22" t="str">
        <f t="shared" si="0"/>
        <v>Tray</v>
      </c>
      <c r="AG51" s="22" t="s">
        <v>232</v>
      </c>
      <c r="AH51" s="22" t="s">
        <v>335</v>
      </c>
      <c r="AI51" s="275" t="str">
        <f t="shared" si="1"/>
        <v>Compartment</v>
      </c>
      <c r="AJ51" s="275" t="str">
        <f t="shared" si="2"/>
        <v>All (with 1.x compartments:30%, with non 1.x compartments:70%)</v>
      </c>
      <c r="AK51" s="22" t="s">
        <v>248</v>
      </c>
      <c r="AL51" s="22" t="s">
        <v>334</v>
      </c>
      <c r="AM51" s="22">
        <f t="shared" si="11"/>
        <v>10</v>
      </c>
      <c r="AN51" s="22" t="s">
        <v>497</v>
      </c>
      <c r="AP51" s="12">
        <f>AP50</f>
        <v>3.2115147783251228</v>
      </c>
      <c r="AQ51" s="12" t="str">
        <f t="shared" si="12"/>
        <v>rgb(239,90,104)</v>
      </c>
      <c r="AR51" s="12" t="str">
        <f t="shared" si="13"/>
        <v>rgb(162,212,171)</v>
      </c>
      <c r="AS51" t="str">
        <f t="shared" si="14"/>
        <v>→3.21_Tray_Single_Partial_Lengthwise</v>
      </c>
      <c r="AT51" t="str">
        <f t="shared" si="15"/>
        <v>Mainline [3.21] Main connector</v>
      </c>
      <c r="AU51" s="22"/>
      <c r="AV51" t="str">
        <f t="shared" si="16"/>
        <v xml:space="preserve">
{ from: "Mainline", to: "Main connector", long_text: "3.21_Tray_Single", short_text: "3.21",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"3.21151477832512" },</v>
      </c>
      <c r="AW51"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
{ from: "Autopack pod ", to: "Autopack handler", long_text: "3.21_Tray_Single", short_text: "3.21",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"3.21151477832512" },
{ from: "Autopack handler", to: "Mainline", long_text: "3.21_Tray_Single", short_text: "3.21",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"3.21151477832512" },
{ from: "Mainline", to: "Main connector", long_text: "3.21_Tray_Single", short_text: "3.21",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"3.21151477832512" },</v>
      </c>
    </row>
    <row r="52" spans="1:49">
      <c r="A52" s="144"/>
      <c r="B52"/>
      <c r="C52"/>
      <c r="D52"/>
      <c r="F52" s="65" t="str">
        <f>Metrics!G26</f>
        <v>1.m</v>
      </c>
      <c r="G52" s="262">
        <f>Metrics!H26</f>
        <v>0.1</v>
      </c>
      <c r="H52"/>
      <c r="I52"/>
      <c r="J52"/>
      <c r="K52"/>
      <c r="L52"/>
      <c r="M52"/>
      <c r="N52"/>
      <c r="O52"/>
      <c r="P52"/>
      <c r="Q52"/>
      <c r="R52"/>
      <c r="S52"/>
      <c r="T52"/>
      <c r="U52"/>
      <c r="V52"/>
      <c r="AB52">
        <f t="shared" si="9"/>
        <v>11</v>
      </c>
      <c r="AC52" t="str">
        <f t="shared" si="10"/>
        <v>Main connector_Shuffler</v>
      </c>
      <c r="AD52" s="22" t="s">
        <v>156</v>
      </c>
      <c r="AE52" s="22" t="s">
        <v>73</v>
      </c>
      <c r="AF52" s="22" t="str">
        <f t="shared" si="0"/>
        <v>Tray</v>
      </c>
      <c r="AG52" s="22" t="s">
        <v>232</v>
      </c>
      <c r="AH52" s="22" t="s">
        <v>335</v>
      </c>
      <c r="AI52" s="275" t="str">
        <f t="shared" si="1"/>
        <v>Compartment</v>
      </c>
      <c r="AJ52" s="275" t="str">
        <f t="shared" si="2"/>
        <v>All (with 1.x compartments:30%, with non 1.x compartments:70%)</v>
      </c>
      <c r="AK52" s="22" t="s">
        <v>248</v>
      </c>
      <c r="AL52" s="22" t="s">
        <v>331</v>
      </c>
      <c r="AM52" s="22">
        <f t="shared" si="11"/>
        <v>11</v>
      </c>
      <c r="AN52" s="22" t="s">
        <v>498</v>
      </c>
      <c r="AP52" s="12">
        <f>AP51*G81</f>
        <v>0.3211514778325123</v>
      </c>
      <c r="AQ52" s="12" t="str">
        <f t="shared" si="12"/>
        <v>rgb(239,90,104)</v>
      </c>
      <c r="AR52" s="12" t="str">
        <f t="shared" si="13"/>
        <v>rgb(162,212,171)</v>
      </c>
      <c r="AS52" t="str">
        <f t="shared" si="14"/>
        <v>↓0.32_Tray_Single_Partial_Lengthwise</v>
      </c>
      <c r="AT52" t="str">
        <f t="shared" si="15"/>
        <v>Main connector [0.32] Shuffler</v>
      </c>
      <c r="AU52" s="22"/>
      <c r="AV52" t="str">
        <f t="shared" si="16"/>
        <v xml:space="preserve">
{ from: "Main connector", to: "Shuffler", long_text: "0.32_Tray_Single", short_text: "0.32",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"0.321151477832512" },</v>
      </c>
      <c r="AW52"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
{ from: "Autopack pod ", to: "Autopack handler", long_text: "3.21_Tray_Single", short_text: "3.21",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"3.21151477832512" },
{ from: "Autopack handler", to: "Mainline", long_text: "3.21_Tray_Single", short_text: "3.21",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"3.21151477832512" },
{ from: "Mainline", to: "Main connector", long_text: "3.21_Tray_Single", short_text: "3.21",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"3.21151477832512" },
{ from: "Main connector", to: "Shuffler", long_text: "0.32_Tray_Single", short_text: "0.32",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"0.321151477832512" },</v>
      </c>
    </row>
    <row r="53" spans="1:49">
      <c r="A53" s="146"/>
      <c r="B53" s="4"/>
      <c r="C53" s="4"/>
      <c r="D53" s="4"/>
      <c r="F53" s="65" t="str">
        <f>Metrics!G27</f>
        <v>1.t</v>
      </c>
      <c r="G53" s="262">
        <f>Metrics!H27</f>
        <v>0.1</v>
      </c>
      <c r="H53"/>
      <c r="I53"/>
      <c r="J53"/>
      <c r="K53"/>
      <c r="L53"/>
      <c r="M53"/>
      <c r="N53"/>
      <c r="O53"/>
      <c r="P53"/>
      <c r="Q53"/>
      <c r="R53"/>
      <c r="S53"/>
      <c r="T53"/>
      <c r="U53"/>
      <c r="V53"/>
      <c r="AB53">
        <f t="shared" si="9"/>
        <v>12</v>
      </c>
      <c r="AC53" t="str">
        <f t="shared" si="10"/>
        <v>Shuffler_Main connector</v>
      </c>
      <c r="AD53" s="22" t="s">
        <v>73</v>
      </c>
      <c r="AE53" s="22" t="s">
        <v>156</v>
      </c>
      <c r="AF53" s="22" t="str">
        <f t="shared" si="0"/>
        <v>Tray</v>
      </c>
      <c r="AG53" s="22" t="s">
        <v>232</v>
      </c>
      <c r="AH53" s="22" t="s">
        <v>335</v>
      </c>
      <c r="AI53" s="275" t="str">
        <f t="shared" si="1"/>
        <v>Compartment</v>
      </c>
      <c r="AJ53" s="275" t="str">
        <f t="shared" si="2"/>
        <v>All (with 1.x compartments:30%, with non 1.x compartments:70%)</v>
      </c>
      <c r="AK53" s="22" t="s">
        <v>248</v>
      </c>
      <c r="AL53" s="22" t="s">
        <v>333</v>
      </c>
      <c r="AM53" s="22">
        <f t="shared" si="11"/>
        <v>12</v>
      </c>
      <c r="AN53" s="22" t="s">
        <v>499</v>
      </c>
      <c r="AP53" s="12">
        <f>AP52</f>
        <v>0.3211514778325123</v>
      </c>
      <c r="AQ53" s="12" t="str">
        <f t="shared" si="12"/>
        <v>rgb(239,90,104)</v>
      </c>
      <c r="AR53" s="12" t="str">
        <f t="shared" si="13"/>
        <v>rgb(162,212,171)</v>
      </c>
      <c r="AS53" t="str">
        <f t="shared" si="14"/>
        <v>↑0.32_Tray_Single_Partial_Lengthwise</v>
      </c>
      <c r="AT53" t="str">
        <f t="shared" si="15"/>
        <v>Shuffler [0.32] Main connector</v>
      </c>
      <c r="AU53" s="22"/>
      <c r="AV53" t="str">
        <f t="shared" si="16"/>
        <v xml:space="preserve">
{ from: "Shuffler", to: "Main connector", long_text: "0.32_Tray_Single", short_text: "0.32",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"0.321151477832512" },</v>
      </c>
      <c r="AW53"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
{ from: "Autopack pod ", to: "Autopack handler", long_text: "3.21_Tray_Single", short_text: "3.21",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"3.21151477832512" },
{ from: "Autopack handler", to: "Mainline", long_text: "3.21_Tray_Single", short_text: "3.21",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"3.21151477832512" },
{ from: "Mainline", to: "Main connector", long_text: "3.21_Tray_Single", short_text: "3.21",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"3.21151477832512" },
{ from: "Main connector", to: "Shuffler", long_text: "0.32_Tray_Single", short_text: "0.32",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"0.321151477832512" },
{ from: "Shuffler", to: "Main connector", long_text: "0.32_Tray_Single", short_text: "0.32",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"0.321151477832512" },</v>
      </c>
    </row>
    <row r="54" spans="1:49">
      <c r="F54" s="65" t="str">
        <f>Metrics!G28</f>
        <v>2.m</v>
      </c>
      <c r="G54" s="262">
        <f>Metrics!H28</f>
        <v>0.15</v>
      </c>
      <c r="H54"/>
      <c r="I54"/>
      <c r="J54"/>
      <c r="K54"/>
      <c r="L54"/>
      <c r="M54"/>
      <c r="N54"/>
      <c r="O54"/>
      <c r="P54"/>
      <c r="Q54"/>
      <c r="R54"/>
      <c r="S54" t="s">
        <v>409</v>
      </c>
      <c r="T54" t="str">
        <f>CONCATENATE("[ // node data ",CHAR(10),CLEAN(AA79),CHAR(10),"[ // link data ",CHAR(10),CLEAN(AW99))</f>
        <v>[ // node data 
{ key: "Autopack handler", group: "Pick cell", loc: new go.Point(70, 245), release: "" },{ key: "Autopack pod", group: "Pick cell", loc: new go.Point(70, 175), release: "" },{ key: "Buffer", group: "Empties management", loc: new go.Point(1050, 70), release: "" },{ key: "Empties connector", group: "Empties management", loc: new go.Point(910, 210), release: "" },{ key: "IO connector", loc: new go.Point(630, 350), release: "" },{ key: "Main connector", loc: new go.Point(420, 350), release: "" },{ key: "Mainline", loc: new go.Point(70, 350), release: "" },{ key: "Manual pack", loc: new go.Point(630, 140), release: "" },{ key: "MR", loc: new go.Point(1085, 350), release: "" },{ key: "Shuffler", loc: new go.Point(420, 455), release: "" },{ key: "Stack handler", loc: new go.Point(966, 350), release: "" },{ key: "Stacking", group: "Stacker", loc: new go.Point(805, 371.7), release: "" },{ key: "Destacking", group: "Stacker", loc: new go.Point(805, 328.3), release: "" },{ key: "Tote closer", loc: new go.Point(700, 455), release: "" },{ key: "Tote erector", group: "Empties management", loc: new go.Point(910, 70), release: "" },{ key: "Tray erector", group: "Empties management", loc: new go.Point(770, 70), release: "" },{ key: "Tote in", loc: new go.Point(665, 280), release: "" },{ key: "Tote out", loc: new go.Point(574, 455), release: "" },{ key: "VAS", loc: new go.Point(420, 140), release: "" },{ key: "Stacker", isGroup: true},{ key: "Empties management", isGroup: true},
[ // link data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v>
      </c>
      <c r="U54"/>
      <c r="V54"/>
      <c r="AB54">
        <f t="shared" si="9"/>
        <v>13</v>
      </c>
      <c r="AC54" t="str">
        <f t="shared" si="10"/>
        <v>Main connector_IO connector</v>
      </c>
      <c r="AD54" s="22" t="s">
        <v>156</v>
      </c>
      <c r="AE54" s="22" t="s">
        <v>154</v>
      </c>
      <c r="AF54" s="22" t="str">
        <f t="shared" si="0"/>
        <v>Tray</v>
      </c>
      <c r="AG54" s="22" t="s">
        <v>232</v>
      </c>
      <c r="AH54" s="22" t="s">
        <v>335</v>
      </c>
      <c r="AI54" s="275" t="str">
        <f t="shared" si="1"/>
        <v>Compartment</v>
      </c>
      <c r="AJ54" s="275" t="str">
        <f t="shared" si="2"/>
        <v>All (with 1.x compartments:30%, with non 1.x compartments:70%)</v>
      </c>
      <c r="AK54" s="22" t="s">
        <v>248</v>
      </c>
      <c r="AL54" s="22" t="s">
        <v>334</v>
      </c>
      <c r="AM54" s="22">
        <f t="shared" si="11"/>
        <v>13</v>
      </c>
      <c r="AN54" s="22" t="s">
        <v>500</v>
      </c>
      <c r="AP54" s="12">
        <f>AP45</f>
        <v>3.3805418719211819</v>
      </c>
      <c r="AQ54" s="12" t="str">
        <f t="shared" si="12"/>
        <v>rgb(239,90,104)</v>
      </c>
      <c r="AR54" s="12" t="str">
        <f t="shared" si="13"/>
        <v>rgb(162,212,171)</v>
      </c>
      <c r="AS54" t="str">
        <f t="shared" si="14"/>
        <v>→3.38_Tray_Single_Partial_Lengthwise</v>
      </c>
      <c r="AT54" t="str">
        <f t="shared" si="15"/>
        <v>Main connector [3.38] IO connector</v>
      </c>
      <c r="AU54" s="22"/>
      <c r="AV54" t="str">
        <f t="shared" si="16"/>
        <v xml:space="preserve">
{ from: "Main connector", to: "IO connector", long_text: "3.38_Tray_Single", short_text: "3.38",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"3.38054187192118" },</v>
      </c>
      <c r="AW54"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
{ from: "Autopack pod ", to: "Autopack handler", long_text: "3.21_Tray_Single", short_text: "3.21",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"3.21151477832512" },
{ from: "Autopack handler", to: "Mainline", long_text: "3.21_Tray_Single", short_text: "3.21",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"3.21151477832512" },
{ from: "Mainline", to: "Main connector", long_text: "3.21_Tray_Single", short_text: "3.21",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"3.21151477832512" },
{ from: "Main connector", to: "Shuffler", long_text: "0.32_Tray_Single", short_text: "0.32",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"0.321151477832512" },
{ from: "Shuffler", to: "Main connector", long_text: "0.32_Tray_Single", short_text: "0.32",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"0.321151477832512" },
{ from: "Main connector", to: "IO connector", long_text: "3.38_Tray_Single", short_text: "3.38",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"3.38054187192118" },</v>
      </c>
    </row>
    <row r="55" spans="1:49">
      <c r="A55" s="144"/>
      <c r="F55" s="65" t="str">
        <f>Metrics!G29</f>
        <v>2.t</v>
      </c>
      <c r="G55" s="262">
        <f>Metrics!H29</f>
        <v>0.15</v>
      </c>
      <c r="H55"/>
      <c r="I55"/>
      <c r="J55"/>
      <c r="K55"/>
      <c r="L55"/>
      <c r="M55"/>
      <c r="N55"/>
      <c r="O55"/>
      <c r="P55"/>
      <c r="Q55"/>
      <c r="R55"/>
      <c r="S55" t="s">
        <v>513</v>
      </c>
      <c r="T55" t="str">
        <f>CONCATENATE("[  ",CLEAN(VLOOKUP("last",X:AA,4,FALSE)),"[ ",CLEAN(VLOOKUP("last",AU:AW,3,FALSE)))</f>
        <v>[  { key: "Autopack handler", group: "Pick cell", loc: new go.Point(70, 245), release: "" },{ key: "Autopack pod", group: "Pick cell", loc: new go.Point(70, 175), release: "" },{ key: "Buffer", group: "Empties management", loc: new go.Point(1050, 70), release: "" },{ key: "Empties connector", group: "Empties management", loc: new go.Point(910, 210), release: "" },{ key: "IO connector", loc: new go.Point(630, 350), release: "" },{ key: "Main connector", loc: new go.Point(420, 350), release: "" },{ key: "Mainline", loc: new go.Point(70, 350), release: "" },{ key: "Manual pack", loc: new go.Point(630, 140), release: "" },{ key: "MR", loc: new go.Point(1085, 350), release: "" },{ key: "Shuffler", loc: new go.Point(420, 455), release: "" },{ key: "Stack handler", loc: new go.Point(966, 350), release: "" },{ key: "Stacking", group: "Stacker", loc: new go.Point(805, 371.7), release: "" },{ key: "Destacking", group: "Stacker", loc: new go.Point(805, 328.3), release: "" },{ key: "Tote closer", loc: new go.Point(700, 455), release: "" },{ key: "Tote erector", group: "Empties management", loc: new go.Point(910, 70), release: "" },{ key: "Tray erector", group: "Empties management", loc: new go.Point(770, 70), release: "" },{ key: "Tote in", loc: new go.Point(665, 280), release: "" },{ key: "Tote out", loc: new go.Point(574, 455), release: "" },{ key: "VAS", loc: new go.Point(420, 140), release: "" },{ key: "Stacker", isGroup: true},{ key: "Empties management", isGroup: true},{ key: "Pick cell", isGroup: true},{ key: "MR pad", loc: new go.Point(630, 70), release: "" }],[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 from: "Empties connector", to: "Buffer", long_text: "0.02_Tray_Stack", short_text: "0.02",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"0.0152" },{ from: "Main connector", to: "Manual pack", long_text: "0.09_Tray_Single", short_text: "0.09",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"0.0911999999999999" },{ from: "Manual pack", to: "Main connector", long_text: "0.09_Tray_Single", short_text: "0.09",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"0.0911999999999999" },{ from: "Buffer", to: "Empties connector", long_text: "0.02_Tray_Stack", short_text: "0.02",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"0.0152" },{ from: "Empties connector", to: "Tote erector", long_text: "0.02_Tray_Stack", short_text: "0.02",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"0.0152" },{ from: "Tote erector", to: "Tray erector", long_text: "0.02_Tray_Stack", short_text: "0.02",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"0.0152" },{ from: "MR pad", to: "Manual pack", long_text: "0.01_Cart_Single", short_text: "0.01", fromSpot: "BottomSide", toSpot: "TopSide", container: "Cart", form: "Single", state: "Full", content: "Large", size: "Varies", flow_id: "MR pad_Manual pack", sequence_id: "600", orientation: "Lengthwise", flow_color: "rgb(144,166,248) ", arrowhead_color: "rgb(113,190,138)", comments: "A certain percentage of large items which can fit into totes will come to the manual pack via a LiteIO module configuration which has an MR pad.", containers_per_stack: "", throughput_per_minute: "0.0125145797598628" },{ from: "Manual pack", to: "MR pad", long_text: "0.01_Cart_Single", short_text: "0.01", fromSpot: "TopSide", toSpot: "BottomSide", container: "Cart", form: "Single", state: "Full", content: "Large", size: "Varies", flow_id: "Manual pack_MR pad", sequence_id: "601", orientation: "Lengthwise", flow_color: "rgb(144,166,248) ", arrowhead_color: "rgb(113,190,138)", comments: "Once the large item is manually placed in a tote, the cart is sent back to parking- long or short term depending on the work  sequence", containers_per_stack: "", throughput_per_minute: "0.0125145797598628" }]);</v>
      </c>
      <c r="U55"/>
      <c r="V55"/>
      <c r="AB55">
        <f t="shared" si="9"/>
        <v>14</v>
      </c>
      <c r="AC55" t="str">
        <f t="shared" si="10"/>
        <v>IO connector_Stacking</v>
      </c>
      <c r="AD55" s="22" t="s">
        <v>154</v>
      </c>
      <c r="AE55" s="22" t="s">
        <v>120</v>
      </c>
      <c r="AF55" s="22" t="str">
        <f t="shared" si="0"/>
        <v>Tray</v>
      </c>
      <c r="AG55" s="22" t="s">
        <v>232</v>
      </c>
      <c r="AH55" s="22" t="s">
        <v>335</v>
      </c>
      <c r="AI55" s="275" t="str">
        <f t="shared" si="1"/>
        <v>Compartment</v>
      </c>
      <c r="AJ55" s="275" t="str">
        <f t="shared" si="2"/>
        <v>All (with 1.x compartments:30%, with non 1.x compartments:70%)</v>
      </c>
      <c r="AK55" s="22" t="s">
        <v>248</v>
      </c>
      <c r="AL55" s="22" t="s">
        <v>334</v>
      </c>
      <c r="AM55" s="22">
        <f t="shared" si="11"/>
        <v>14</v>
      </c>
      <c r="AN55" s="22" t="s">
        <v>501</v>
      </c>
      <c r="AP55" s="12">
        <f>AP54</f>
        <v>3.3805418719211819</v>
      </c>
      <c r="AQ55" s="12" t="str">
        <f t="shared" si="12"/>
        <v>rgb(239,90,104)</v>
      </c>
      <c r="AR55" s="12" t="str">
        <f t="shared" si="13"/>
        <v>rgb(162,212,171)</v>
      </c>
      <c r="AS55" t="str">
        <f t="shared" si="14"/>
        <v>→3.38_Tray_Single_Partial_Lengthwise</v>
      </c>
      <c r="AT55" t="str">
        <f t="shared" si="15"/>
        <v>IO connector [3.38] Stacking</v>
      </c>
      <c r="AU55" s="22"/>
      <c r="AV55" t="str">
        <f t="shared" si="16"/>
        <v xml:space="preserve">
{ from: "IO connector", to: "Stacking", long_text: "3.38_Tray_Single", short_text: "3.38", fromSpot: "RightSide", toSpot: "LeftSide", container: "Tray", form: "Single", state: "Partial", content: "Compartment", size: "All (with 1.x compartments:30%, with non 1.x compartments:70%)", flow_id: "IO connector_Stacking", sequence_id: "14", orientation: "Lengthwise", flow_color: "rgb(239,90,104)", arrowhead_color: "rgb(162,212,171)", comments: "Stack the trays up depending on the destination- tray storage, or the receiving area", containers_per_stack: "", throughput_per_minute: "3.38054187192118" },</v>
      </c>
      <c r="AW55"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
{ from: "Autopack pod ", to: "Autopack handler", long_text: "3.21_Tray_Single", short_text: "3.21",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"3.21151477832512" },
{ from: "Autopack handler", to: "Mainline", long_text: "3.21_Tray_Single", short_text: "3.21",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"3.21151477832512" },
{ from: "Mainline", to: "Main connector", long_text: "3.21_Tray_Single", short_text: "3.21",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"3.21151477832512" },
{ from: "Main connector", to: "Shuffler", long_text: "0.32_Tray_Single", short_text: "0.32",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"0.321151477832512" },
{ from: "Shuffler", to: "Main connector", long_text: "0.32_Tray_Single", short_text: "0.32",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"0.321151477832512" },
{ from: "Main connector", to: "IO connector", long_text: "3.38_Tray_Single", short_text: "3.38",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"3.38054187192118" },
{ from: "IO connector", to: "Stacking", long_text: "3.38_Tray_Single", short_text: "3.38", fromSpot: "RightSide", toSpot: "LeftSide", container: "Tray", form: "Single", state: "Partial", content: "Compartment", size: "All (with 1.x compartments:30%, with non 1.x compartments:70%)", flow_id: "IO connector_Stacking", sequence_id: "14", orientation: "Lengthwise", flow_color: "rgb(239,90,104)", arrowhead_color: "rgb(162,212,171)", comments: "Stack the trays up depending on the destination- tray storage, or the receiving area", containers_per_stack: "", throughput_per_minute: "3.38054187192118" },</v>
      </c>
    </row>
    <row r="56" spans="1:49" ht="16" thickBot="1">
      <c r="A56" s="144"/>
      <c r="F56" s="65" t="str">
        <f>Metrics!G30</f>
        <v>4.m</v>
      </c>
      <c r="G56" s="262">
        <f>Metrics!H30</f>
        <v>0.25</v>
      </c>
      <c r="H56"/>
      <c r="I56"/>
      <c r="J56"/>
      <c r="K56"/>
      <c r="L56"/>
      <c r="M56"/>
      <c r="N56"/>
      <c r="O56"/>
      <c r="P56"/>
      <c r="Q56"/>
      <c r="R56"/>
      <c r="S56" t="s">
        <v>408</v>
      </c>
      <c r="T56" t="str">
        <f>CONCATENATE("[  ",CLEAN(VLOOKUP("last",X:AA,4,FALSE)),"[ ",CLEAN(AW57))</f>
        <v>[  { key: "Autopack handler", group: "Pick cell", loc: new go.Point(70, 245), release: "" },{ key: "Autopack pod", group: "Pick cell", loc: new go.Point(70, 175), release: "" },{ key: "Buffer", group: "Empties management", loc: new go.Point(1050, 70), release: "" },{ key: "Empties connector", group: "Empties management", loc: new go.Point(910, 210), release: "" },{ key: "IO connector", loc: new go.Point(630, 350), release: "" },{ key: "Main connector", loc: new go.Point(420, 350), release: "" },{ key: "Mainline", loc: new go.Point(70, 350), release: "" },{ key: "Manual pack", loc: new go.Point(630, 140), release: "" },{ key: "MR", loc: new go.Point(1085, 350), release: "" },{ key: "Shuffler", loc: new go.Point(420, 455), release: "" },{ key: "Stack handler", loc: new go.Point(966, 350), release: "" },{ key: "Stacking", group: "Stacker", loc: new go.Point(805, 371.7), release: "" },{ key: "Destacking", group: "Stacker", loc: new go.Point(805, 328.3), release: "" },{ key: "Tote closer", loc: new go.Point(700, 455), release: "" },{ key: "Tote erector", group: "Empties management", loc: new go.Point(910, 70), release: "" },{ key: "Tray erector", group: "Empties management", loc: new go.Point(770, 70), release: "" },{ key: "Tote in", loc: new go.Point(665, 280), release: "" },{ key: "Tote out", loc: new go.Point(574, 455), release: "" },{ key: "VAS", loc: new go.Point(420, 140), release: "" },{ key: "Stacker", isGroup: true},{ key: "Empties management", isGroup: true},{ key: "Pick cell", isGroup: true},{ key: "MR pad", loc: new go.Point(630, 70), release: "" }],[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 from: "Autopack pod ", to: "Autopack handler", long_text: "3.21_Tray_Single", short_text: "3.21",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"3.21151477832512" },{ from: "Autopack handler", to: "Mainline", long_text: "3.21_Tray_Single", short_text: "3.21",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"3.21151477832512" },{ from: "Mainline", to: "Main connector", long_text: "3.21_Tray_Single", short_text: "3.21",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"3.21151477832512" },{ from: "Main connector", to: "Shuffler", long_text: "0.32_Tray_Single", short_text: "0.32",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"0.321151477832512" },{ from: "Shuffler", to: "Main connector", long_text: "0.32_Tray_Single", short_text: "0.32",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"0.321151477832512" },{ from: "Main connector", to: "IO connector", long_text: "3.38_Tray_Single", short_text: "3.38",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"3.38054187192118" },{ from: "IO connector", to: "Stacking", long_text: "3.38_Tray_Single", short_text: "3.38", fromSpot: "RightSide", toSpot: "LeftSide", container: "Tray", form: "Single", state: "Partial", content: "Compartment", size: "All (with 1.x compartments:30%, with non 1.x compartments:70%)", flow_id: "IO connector_Stacking", sequence_id: "14", orientation: "Lengthwise", flow_color: "rgb(239,90,104)", arrowhead_color: "rgb(162,212,171)", comments: "Stack the trays up depending on the destination- tray storage, or the receiving area", containers_per_stack: "", throughput_per_minute: "3.38054187192118" },{ from: "Stacking", to: "Stack handler", long_text: "0.85_Tray_Stack", short_text: "0.85", fromSpot: "RightSide", toSpot: "LeftSide", container: "Tray", form: "Stack", state: "Partial", content: "Compartment", size: "All (with 1.x compartments:30%, with non 1.x compartments:70%)", flow_id: "Stacking_Stack handler", sequence_id: "15", orientation: "Lengthwise", flow_color: "rgb(239,90,104)", arrowhead_color: "rgb(162,212,171)", comments: "Convey the stacks back to the stack handler for their outbound journey", containers_per_stack: "4", throughput_per_minute: "0.845135467980295" },{ from: "Stack handler", to: "MR", long_text: "0.85_Tray_Stack", short_text: "0.85", fromSpot: "RightSide", toSpot: "LeftSide", container: "Tray", form: "Stack", state: "Partial", content: "Compartment", size: "All (with 1.x compartments:30%, with non 1.x compartments:70%)", flow_id: "Stack handler_MR", sequence_id: "16", orientation: "Widthwise", flow_color: "rgb(239,90,104)", arrowhead_color: "rgb(162,212,171)", comments: "Transfer the stacks of trays back to an outbound MR, ideally 2 stacks at a time", containers_per_stack: "4", throughput_per_minute: "0.845135467980295" },</v>
      </c>
      <c r="U56" t="str">
        <f>CLEAN(AW76)</f>
        <v>{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 from: "Mainline", to: "Autopack handler", long_text: "1.65_Tote_Single", short_text: "1.65",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"1.64616" },{ from: "Autopack handler", to: "Autopack pod ", long_text: "1.65_Tote_Single", short_text: "1.65",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"1.64616" },{ from: "Autopack pod ", to: "Autopack handler", long_text: "1.65_Tote_Single", short_text: "1.65",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"1.64616" },{ from: "Autopack handler", to: "Mainline", long_text: "1.65_Tote_Single", short_text: "1.65",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"1.64616" },{ from: "Mainline", to: "Main connector", long_text: "1.65_Tote_Single", short_text: "1.65",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"1.64616" },{ from: "Main connector", to: "Shuffler", long_text: "0.55_Tote_Single", short_text: "0.55",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"0.545832" },{ from: "Shuffler", to: "Main connector", long_text: "0.55_Tote_Single", short_text: "0.55", fromSpot: "TopSide", toSpot: "BottomSide", container: "Tote", form: "Single", state: "Full", content: "Each", size: "Varies", flow_id: "Shuffler_Main connector", sequence_id: "316", orientation: "Lengthwise", flow_color: "rgb(255,199,1)", arrowhead_color: "rgb(113,190,138)", comments: "Once shuffled to the right sequence, the series of totes head back to the main connector", containers_per_stack: "", throughput_per_minute: "0.545832" },{ from: "Main connector", to: "IO connector", long_text: "1.73_Tote_Single", short_text: "1.73", fromSpot: "RightSide", toSpot: "LeftSide", container: "Tote", form: "Single", state: "Full", content: "Each", size: "Varies", flow_id: "Main connector_IO connector", sequence_id: "317", orientation: "Lengthwise", flow_color: "rgb(255,199,1)", arrowhead_color: "rgb(113,190,138)", comments: "The filled totes now move to the IO connector for subsequent operations", containers_per_stack: "", throughput_per_minute: "1.7328" },{ from: "IO connector", to: "Tote closer", long_text: "1.82_Tote_Single", short_text: "1.82", fromSpot: "BottomSide", toSpot: "TopSide", container: "Tote", form: "Single", state: "Full", content: "Each", size: "Varies", flow_id: "IO connector_Tote closer", sequence_id: "318", orientation: "Lengthwise", flow_color: "rgb(255,199,1)", arrowhead_color: "rgb(113,190,138)", comments: "For tottes which are complete, they move on to the tote closer for closing the tote", containers_per_stack: "", throughput_per_minute: "1.824" },</v>
      </c>
      <c r="V56" t="str">
        <f>CLEAN(VLOOKUP("last",AU:AW,3,FALSE))</f>
        <v>{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 from: "Empties connector", to: "Buffer", long_text: "0.02_Tray_Stack", short_text: "0.02",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"0.0152" },{ from: "Main connector", to: "Manual pack", long_text: "0.09_Tray_Single", short_text: "0.09",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"0.0911999999999999" },{ from: "Manual pack", to: "Main connector", long_text: "0.09_Tray_Single", short_text: "0.09",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"0.0911999999999999" },{ from: "Buffer", to: "Empties connector", long_text: "0.02_Tray_Stack", short_text: "0.02",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"0.0152" },{ from: "Empties connector", to: "Tote erector", long_text: "0.02_Tray_Stack", short_text: "0.02",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"0.0152" },{ from: "Tote erector", to: "Tray erector", long_text: "0.02_Tray_Stack", short_text: "0.02",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"0.0152" },{ from: "MR pad", to: "Manual pack", long_text: "0.01_Cart_Single", short_text: "0.01", fromSpot: "BottomSide", toSpot: "TopSide", container: "Cart", form: "Single", state: "Full", content: "Large", size: "Varies", flow_id: "MR pad_Manual pack", sequence_id: "600", orientation: "Lengthwise", flow_color: "rgb(144,166,248) ", arrowhead_color: "rgb(113,190,138)", comments: "A certain percentage of large items which can fit into totes will come to the manual pack via a LiteIO module configuration which has an MR pad.", containers_per_stack: "", throughput_per_minute: "0.0125145797598628" },{ from: "Manual pack", to: "MR pad", long_text: "0.01_Cart_Single", short_text: "0.01", fromSpot: "TopSide", toSpot: "BottomSide", container: "Cart", form: "Single", state: "Full", content: "Large", size: "Varies", flow_id: "Manual pack_MR pad", sequence_id: "601", orientation: "Lengthwise", flow_color: "rgb(144,166,248) ", arrowhead_color: "rgb(113,190,138)", comments: "Once the large item is manually placed in a tote, the cart is sent back to parking- long or short term depending on the work  sequence", containers_per_stack: "", throughput_per_minute: "0.0125145797598628" }]);</v>
      </c>
      <c r="AB56">
        <f t="shared" si="9"/>
        <v>15</v>
      </c>
      <c r="AC56" t="str">
        <f t="shared" si="10"/>
        <v>Stacking_Stack handler</v>
      </c>
      <c r="AD56" s="22" t="s">
        <v>120</v>
      </c>
      <c r="AE56" s="22" t="s">
        <v>122</v>
      </c>
      <c r="AF56" s="22" t="str">
        <f t="shared" si="0"/>
        <v>Tray</v>
      </c>
      <c r="AG56" s="22" t="s">
        <v>262</v>
      </c>
      <c r="AH56" s="22" t="s">
        <v>335</v>
      </c>
      <c r="AI56" s="275" t="str">
        <f t="shared" si="1"/>
        <v>Compartment</v>
      </c>
      <c r="AJ56" s="275" t="str">
        <f t="shared" si="2"/>
        <v>All (with 1.x compartments:30%, with non 1.x compartments:70%)</v>
      </c>
      <c r="AK56" s="22" t="s">
        <v>248</v>
      </c>
      <c r="AL56" s="22" t="s">
        <v>334</v>
      </c>
      <c r="AM56" s="22">
        <f t="shared" si="11"/>
        <v>15</v>
      </c>
      <c r="AN56" s="22" t="s">
        <v>502</v>
      </c>
      <c r="AO56" s="12">
        <f>$G$68</f>
        <v>4</v>
      </c>
      <c r="AP56" s="12">
        <f>AP55/AO56</f>
        <v>0.84513546798029549</v>
      </c>
      <c r="AQ56" s="12" t="str">
        <f t="shared" si="12"/>
        <v>rgb(239,90,104)</v>
      </c>
      <c r="AR56" s="12" t="str">
        <f t="shared" si="13"/>
        <v>rgb(162,212,171)</v>
      </c>
      <c r="AS56" t="str">
        <f t="shared" si="14"/>
        <v>→0.85_Tray_Stack_Partial_Lengthwise</v>
      </c>
      <c r="AT56" t="str">
        <f t="shared" si="15"/>
        <v>Stacking [0.85] Stack handler</v>
      </c>
      <c r="AU56" s="22"/>
      <c r="AV56" t="str">
        <f t="shared" si="16"/>
        <v xml:space="preserve">
{ from: "Stacking", to: "Stack handler", long_text: "0.85_Tray_Stack", short_text: "0.85", fromSpot: "RightSide", toSpot: "LeftSide", container: "Tray", form: "Stack", state: "Partial", content: "Compartment", size: "All (with 1.x compartments:30%, with non 1.x compartments:70%)", flow_id: "Stacking_Stack handler", sequence_id: "15", orientation: "Lengthwise", flow_color: "rgb(239,90,104)", arrowhead_color: "rgb(162,212,171)", comments: "Convey the stacks back to the stack handler for their outbound journey", containers_per_stack: "4", throughput_per_minute: "0.845135467980295" },</v>
      </c>
      <c r="AW56"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
{ from: "Autopack pod ", to: "Autopack handler", long_text: "3.21_Tray_Single", short_text: "3.21",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"3.21151477832512" },
{ from: "Autopack handler", to: "Mainline", long_text: "3.21_Tray_Single", short_text: "3.21",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"3.21151477832512" },
{ from: "Mainline", to: "Main connector", long_text: "3.21_Tray_Single", short_text: "3.21",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"3.21151477832512" },
{ from: "Main connector", to: "Shuffler", long_text: "0.32_Tray_Single", short_text: "0.32",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"0.321151477832512" },
{ from: "Shuffler", to: "Main connector", long_text: "0.32_Tray_Single", short_text: "0.32",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"0.321151477832512" },
{ from: "Main connector", to: "IO connector", long_text: "3.38_Tray_Single", short_text: "3.38",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"3.38054187192118" },
{ from: "IO connector", to: "Stacking", long_text: "3.38_Tray_Single", short_text: "3.38", fromSpot: "RightSide", toSpot: "LeftSide", container: "Tray", form: "Single", state: "Partial", content: "Compartment", size: "All (with 1.x compartments:30%, with non 1.x compartments:70%)", flow_id: "IO connector_Stacking", sequence_id: "14", orientation: "Lengthwise", flow_color: "rgb(239,90,104)", arrowhead_color: "rgb(162,212,171)", comments: "Stack the trays up depending on the destination- tray storage, or the receiving area", containers_per_stack: "", throughput_per_minute: "3.38054187192118" },
{ from: "Stacking", to: "Stack handler", long_text: "0.85_Tray_Stack", short_text: "0.85", fromSpot: "RightSide", toSpot: "LeftSide", container: "Tray", form: "Stack", state: "Partial", content: "Compartment", size: "All (with 1.x compartments:30%, with non 1.x compartments:70%)", flow_id: "Stacking_Stack handler", sequence_id: "15", orientation: "Lengthwise", flow_color: "rgb(239,90,104)", arrowhead_color: "rgb(162,212,171)", comments: "Convey the stacks back to the stack handler for their outbound journey", containers_per_stack: "4", throughput_per_minute: "0.845135467980295" },</v>
      </c>
    </row>
    <row r="57" spans="1:49" ht="16" thickBot="1">
      <c r="A57" s="144"/>
      <c r="F57" s="65" t="str">
        <f>Metrics!G31</f>
        <v>8.s</v>
      </c>
      <c r="G57" s="262">
        <f>Metrics!H31</f>
        <v>0.14999999999999991</v>
      </c>
      <c r="H57"/>
      <c r="I57"/>
      <c r="J57"/>
      <c r="K57"/>
      <c r="L57"/>
      <c r="M57"/>
      <c r="N57"/>
      <c r="O57"/>
      <c r="P57"/>
      <c r="Q57"/>
      <c r="R57"/>
      <c r="S57" s="27"/>
      <c r="T57" s="27"/>
      <c r="U57" s="27"/>
      <c r="V57" s="27" t="s">
        <v>398</v>
      </c>
      <c r="W57" s="240" t="s">
        <v>410</v>
      </c>
      <c r="X57" s="244">
        <v>0.7</v>
      </c>
      <c r="Y57" s="245"/>
      <c r="Z57" s="27"/>
      <c r="AA57" s="27"/>
      <c r="AB57">
        <f t="shared" si="9"/>
        <v>16</v>
      </c>
      <c r="AC57" t="str">
        <f t="shared" si="10"/>
        <v>Stack handler_MR</v>
      </c>
      <c r="AD57" s="22" t="s">
        <v>122</v>
      </c>
      <c r="AE57" s="22" t="s">
        <v>160</v>
      </c>
      <c r="AF57" s="22" t="str">
        <f t="shared" si="0"/>
        <v>Tray</v>
      </c>
      <c r="AG57" s="22" t="s">
        <v>262</v>
      </c>
      <c r="AH57" s="22" t="s">
        <v>335</v>
      </c>
      <c r="AI57" s="275" t="str">
        <f t="shared" si="1"/>
        <v>Compartment</v>
      </c>
      <c r="AJ57" s="275" t="str">
        <f t="shared" si="2"/>
        <v>All (with 1.x compartments:30%, with non 1.x compartments:70%)</v>
      </c>
      <c r="AK57" s="22" t="s">
        <v>249</v>
      </c>
      <c r="AL57" s="22" t="s">
        <v>334</v>
      </c>
      <c r="AM57" s="22">
        <f t="shared" si="11"/>
        <v>16</v>
      </c>
      <c r="AN57" s="22" t="s">
        <v>503</v>
      </c>
      <c r="AO57" s="12">
        <f>$G$68</f>
        <v>4</v>
      </c>
      <c r="AP57" s="12">
        <f>AP56</f>
        <v>0.84513546798029549</v>
      </c>
      <c r="AQ57" s="12" t="str">
        <f t="shared" si="12"/>
        <v>rgb(239,90,104)</v>
      </c>
      <c r="AR57" s="12" t="str">
        <f t="shared" si="13"/>
        <v>rgb(162,212,171)</v>
      </c>
      <c r="AS57" t="str">
        <f t="shared" si="14"/>
        <v>→0.85_Tray_Stack_Partial_Widthwise</v>
      </c>
      <c r="AT57" t="str">
        <f t="shared" si="15"/>
        <v>Stack handler [0.85] MR</v>
      </c>
      <c r="AU57" s="22"/>
      <c r="AV57" t="str">
        <f t="shared" si="16"/>
        <v xml:space="preserve">
{ from: "Stack handler", to: "MR", long_text: "0.85_Tray_Stack", short_text: "0.85", fromSpot: "RightSide", toSpot: "LeftSide", container: "Tray", form: "Stack", state: "Partial", content: "Compartment", size: "All (with 1.x compartments:30%, with non 1.x compartments:70%)", flow_id: "Stack handler_MR", sequence_id: "16", orientation: "Widthwise", flow_color: "rgb(239,90,104)", arrowhead_color: "rgb(162,212,171)", comments: "Transfer the stacks of trays back to an outbound MR, ideally 2 stacks at a time", containers_per_stack: "4", throughput_per_minute: "0.845135467980295" },</v>
      </c>
      <c r="AW57" t="str">
        <f t="shared" si="17"/>
        <v xml:space="preserve">
{ from: "MR", to: "Stack handler", long_text: "0.85_Tray_Stack", short_text: "0.85", fromSpot: "LeftSide", toSpot: "RightSide", container: "Tray", form: "Stack", state: "Full", content: "Compartment", size: "All (with 1.x compartments:30%, with non 1.x compartments:70%)", flow_id: "MR_Stack handler", sequence_id: "1", orientation: "Widthwise", flow_color: "rgb(239,90,104)", arrowhead_color: "rgb(113,190,138)", comments: "Inventory trays show up on mobile robot as stacks. The MR is able to bring in 2 stacks of upto 4 trays each.", containers_per_stack: "4", throughput_per_minute: "0.845135467980295" },
{ from: "Stack handler", to: "Destacking", long_text: "0.85_Tray_Stack", short_text: "0.85", fromSpot: "LeftSide", toSpot: "RightSide", container: "Tray", form: "Stack", state: "Full", content: "Compartment", size: "All (with 1.x compartments:30%, with non 1.x compartments:70%)", flow_id: "Stack handler_Destacking", sequence_id: "2", orientation: "Lengthwise", flow_color: "rgb(239,90,104)", arrowhead_color: "rgb(113,190,138)", comments: "The inventory trays get conveyed for destacking operations", containers_per_stack: "4", throughput_per_minute: "0.845135467980295" },
{ from: "Destacking", to: "IO connector", long_text: "3.38_Tray_Single", short_text: "3.38", fromSpot: "LeftSide", toSpot: "RightSide", container: "Tray", form: "Single", state: "Full", content: "Compartment", size: "All (with 1.x compartments:30%, with non 1.x compartments:70%)", flow_id: "Destacking_IO connector", sequence_id: "3", orientation: "Lengthwise", flow_color: "rgb(239,90,104)", arrowhead_color: "rgb(113,190,138)", comments: "Once destacked, the singulated inventory trays make their way towards the IO connector", containers_per_stack: "", throughput_per_minute: "3.38054187192118" },
{ from: "IO connector", to: "Main connector", long_text: "3.38_Tray_Single", short_text: "3.38", fromSpot: "LeftSide", toSpot: "RightSide", container: "Tray", form: "Single", state: "Full", content: "Compartment", size: "All (with 1.x compartments:30%, with non 1.x compartments:70%)", flow_id: "IO connector_Main connector", sequence_id: "4", orientation: "Lengthwise", flow_color: "rgb(239,90,104)", arrowhead_color: "rgb(113,190,138)", comments: "The inventory trays next get transferred onto the main connector", containers_per_stack: "", throughput_per_minute: "3.38054187192118" },
{ from: "Main connector", to: "Mainline", long_text: "3.21_Tray_Single", short_text: "3.21", fromSpot: "LeftSide", toSpot: "RightSide", container: "Tray", form: "Single", state: "Full", content: "Compartment", size: "All (with 1.x compartments:30%, with non 1.x compartments:70%)", flow_id: "Main connector_Mainline", sequence_id: "5", orientation: "Lengthwise", flow_color: "rgb(239,90,104)", arrowhead_color: "rgb(113,190,138)", comments: "Some inventory head straight towards the pick cell and others could diverted towards manual stations", containers_per_stack: "", throughput_per_minute: "3.21151477832512" },
{ from: "Mainline", to: "Autopack handler", long_text: "3.21_Tray_Single", short_text: "3.21", fromSpot: "TopSide", toSpot: "BottomSide", container: "Tray", form: "Single", state: "Full", content: "Compartment", size: "All (with 1.x compartments:30%, with non 1.x compartments:70%)", flow_id: "Mainline_Autopack handler", sequence_id: "6", orientation: "Widthwise", flow_color: "rgb(239,90,104)", arrowhead_color: "rgb(113,190,138)", comments: "These are the trays which are suitable for robotic picking", containers_per_stack: "", throughput_per_minute: "3.21151477832512" },
{ from: "Autopack handler", to: "Autopack pod ", long_text: "3.21_Tray_Single", short_text: "3.21", fromSpot: "TopSide", toSpot: "BottomSide", container: "Tray", form: "Single", state: "Full", content: "Compartment", size: "All (with 1.x compartments:30%, with non 1.x compartments:70%)", flow_id: "Autopack handler_Autopack pod ", sequence_id: "7", orientation: "Widthwise", flow_color: "rgb(239,90,104)", arrowhead_color: "rgb(113,190,138)", comments: "The trays get placed in the cache locations or immediately consumed for orders that are waiting on the SKUs that just arrived", containers_per_stack: "", throughput_per_minute: "3.21151477832512" },
{ from: "Autopack pod ", to: "Autopack handler", long_text: "3.21_Tray_Single", short_text: "3.21", fromSpot: "BottomSide", toSpot: "TopSide", container: "Tray", form: "Single", state: "Partial", content: "Compartment", size: "All (with 1.x compartments:30%, with non 1.x compartments:70%)", flow_id: "Autopack pod _Autopack handler", sequence_id: "8",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"3.21151477832512" },
{ from: "Autopack handler", to: "Mainline", long_text: "3.21_Tray_Single", short_text: "3.21", fromSpot: "BottomSide", toSpot: "TopSide", container: "Tray", form: "Single", state: "Partial", content: "Compartment", size: "All (with 1.x compartments:30%, with non 1.x compartments:70%)", flow_id: "Autopack handler_Mainline", sequence_id: "9", orientation: "Widthwise", flow_color: "rgb(239,90,104)", arrowhead_color: "rgb(162,212,171)", comments: "The trays may get conveyed to the mainline for transportation to another pick cell. Most of the times though, they'll head towards the main connector", containers_per_stack: "", throughput_per_minute: "3.21151477832512" },
{ from: "Mainline", to: "Main connector", long_text: "3.21_Tray_Single", short_text: "3.21", fromSpot: "RightSide", toSpot: "LeftSide", container: "Tray", form: "Single", state: "Partial", content: "Compartment", size: "All (with 1.x compartments:30%, with non 1.x compartments:70%)", flow_id: "Mainline_Main connector", sequence_id: "10",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"3.21151477832512" },
{ from: "Main connector", to: "Shuffler", long_text: "0.32_Tray_Single", short_text: "0.32", fromSpot: "BottomSide", toSpot: "TopSide", container: "Tray", form: "Single", state: "Partial", content: "Compartment", size: "All (with 1.x compartments:30%, with non 1.x compartments:70%)", flow_id: "Main connector_Shuffler", sequence_id: "11", orientation: "Lengthwise", flow_color: "rgb(239,90,104)", arrowhead_color: "rgb(162,212,171)", comments: "If the inventory trays need to be shuffled or made to wait for other trays which are not quite available immediately, they head towards the shuffler cells where they wait to get combined with other appropriate trays.", containers_per_stack: "", throughput_per_minute: "0.321151477832512" },
{ from: "Shuffler", to: "Main connector", long_text: "0.32_Tray_Single", short_text: "0.32", fromSpot: "TopSide", toSpot: "BottomSide", container: "Tray", form: "Single", state: "Partial", content: "Compartment", size: "All (with 1.x compartments:30%, with non 1.x compartments:70%)", flow_id: "Shuffler_Main connector", sequence_id: "12", orientation: "Lengthwise", flow_color: "rgb(239,90,104)", arrowhead_color: "rgb(162,212,171)", comments: "Once the trays are shuffled in the required order, they are ready to be released back to the main connector in sequence", containers_per_stack: "", throughput_per_minute: "0.321151477832512" },
{ from: "Main connector", to: "IO connector", long_text: "3.38_Tray_Single", short_text: "3.38", fromSpot: "RightSide", toSpot: "LeftSide", container: "Tray", form: "Single", state: "Partial", content: "Compartment", size: "All (with 1.x compartments:30%, with non 1.x compartments:70%)", flow_id: "Main connector_IO connector", sequence_id: "13", orientation: "Lengthwise", flow_color: "rgb(239,90,104)", arrowhead_color: "rgb(162,212,171)", comments: "Trays coming out of the main connector are then conveyed back to the IO connector", containers_per_stack: "", throughput_per_minute: "3.38054187192118" },
{ from: "IO connector", to: "Stacking", long_text: "3.38_Tray_Single", short_text: "3.38", fromSpot: "RightSide", toSpot: "LeftSide", container: "Tray", form: "Single", state: "Partial", content: "Compartment", size: "All (with 1.x compartments:30%, with non 1.x compartments:70%)", flow_id: "IO connector_Stacking", sequence_id: "14", orientation: "Lengthwise", flow_color: "rgb(239,90,104)", arrowhead_color: "rgb(162,212,171)", comments: "Stack the trays up depending on the destination- tray storage, or the receiving area", containers_per_stack: "", throughput_per_minute: "3.38054187192118" },
{ from: "Stacking", to: "Stack handler", long_text: "0.85_Tray_Stack", short_text: "0.85", fromSpot: "RightSide", toSpot: "LeftSide", container: "Tray", form: "Stack", state: "Partial", content: "Compartment", size: "All (with 1.x compartments:30%, with non 1.x compartments:70%)", flow_id: "Stacking_Stack handler", sequence_id: "15", orientation: "Lengthwise", flow_color: "rgb(239,90,104)", arrowhead_color: "rgb(162,212,171)", comments: "Convey the stacks back to the stack handler for their outbound journey", containers_per_stack: "4", throughput_per_minute: "0.845135467980295" },
{ from: "Stack handler", to: "MR", long_text: "0.85_Tray_Stack", short_text: "0.85", fromSpot: "RightSide", toSpot: "LeftSide", container: "Tray", form: "Stack", state: "Partial", content: "Compartment", size: "All (with 1.x compartments:30%, with non 1.x compartments:70%)", flow_id: "Stack handler_MR", sequence_id: "16", orientation: "Widthwise", flow_color: "rgb(239,90,104)", arrowhead_color: "rgb(162,212,171)", comments: "Transfer the stacks of trays back to an outbound MR, ideally 2 stacks at a time", containers_per_stack: "4", throughput_per_minute: "0.845135467980295" },</v>
      </c>
    </row>
    <row r="58" spans="1:49">
      <c r="A58" s="144"/>
      <c r="F58" s="65" t="s">
        <v>568</v>
      </c>
      <c r="G58" s="279">
        <f>Metrics!H116/SUM(Metrics!H114+Metrics!H116+Metrics!H118)</f>
        <v>6.8610634648370514E-3</v>
      </c>
      <c r="H58"/>
      <c r="I58"/>
      <c r="J58"/>
      <c r="K58"/>
      <c r="L58"/>
      <c r="M58"/>
      <c r="N58"/>
      <c r="O58"/>
      <c r="P58"/>
      <c r="Q58"/>
      <c r="R58"/>
      <c r="S58" s="27" t="s">
        <v>105</v>
      </c>
      <c r="T58" s="27" t="s">
        <v>395</v>
      </c>
      <c r="U58" s="27" t="s">
        <v>396</v>
      </c>
      <c r="V58" s="239" t="s">
        <v>199</v>
      </c>
      <c r="W58" s="27" t="s">
        <v>397</v>
      </c>
      <c r="X58" s="27" t="s">
        <v>401</v>
      </c>
      <c r="Y58" s="27" t="s">
        <v>469</v>
      </c>
      <c r="Z58" s="27" t="s">
        <v>400</v>
      </c>
      <c r="AA58" s="27" t="s">
        <v>404</v>
      </c>
      <c r="AB58">
        <f t="shared" si="9"/>
        <v>17</v>
      </c>
      <c r="AC58" t="str">
        <f t="shared" si="10"/>
        <v>MR_Stack handler</v>
      </c>
      <c r="AD58" s="22" t="s">
        <v>160</v>
      </c>
      <c r="AE58" s="22" t="s">
        <v>122</v>
      </c>
      <c r="AF58" s="22" t="str">
        <f t="shared" ref="AF58:AF84" si="18">$AF$28</f>
        <v>Tote</v>
      </c>
      <c r="AG58" s="22" t="s">
        <v>262</v>
      </c>
      <c r="AH58" s="22" t="s">
        <v>235</v>
      </c>
      <c r="AI58" s="22" t="str">
        <f t="shared" ref="AI58:AI69" si="19">$AI$33</f>
        <v>Empty</v>
      </c>
      <c r="AJ58" s="22" t="str">
        <f>$AJ$40</f>
        <v>None</v>
      </c>
      <c r="AK58" s="22" t="s">
        <v>248</v>
      </c>
      <c r="AL58" s="22" t="s">
        <v>332</v>
      </c>
      <c r="AM58" s="22">
        <f>AN38</f>
        <v>300</v>
      </c>
      <c r="AN58" s="22" t="s">
        <v>523</v>
      </c>
      <c r="AO58" s="10">
        <f>$G$66</f>
        <v>6</v>
      </c>
      <c r="AP58" s="12">
        <f>G45/G66</f>
        <v>0.30399999999999988</v>
      </c>
      <c r="AQ58" s="12" t="str">
        <f t="shared" si="12"/>
        <v>rgb(255,199,1)</v>
      </c>
      <c r="AR58" s="12" t="str">
        <f t="shared" si="13"/>
        <v>rgb(62,172,171)</v>
      </c>
      <c r="AS58" t="str">
        <f t="shared" si="14"/>
        <v>←0.3_Tote_Stack_KD_Lengthwise</v>
      </c>
      <c r="AT58" t="str">
        <f t="shared" si="15"/>
        <v>MR [0.3] Stack handler</v>
      </c>
      <c r="AU58" s="22" t="s">
        <v>512</v>
      </c>
      <c r="AV58" t="str">
        <f t="shared" si="16"/>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v>
      </c>
      <c r="AW58"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v>
      </c>
    </row>
    <row r="59" spans="1:49">
      <c r="A59" s="144"/>
      <c r="H59"/>
      <c r="I59"/>
      <c r="J59"/>
      <c r="K59"/>
      <c r="L59"/>
      <c r="M59"/>
      <c r="N59"/>
      <c r="O59"/>
      <c r="P59"/>
      <c r="Q59"/>
      <c r="R59"/>
      <c r="S59" s="242" t="s">
        <v>158</v>
      </c>
      <c r="T59" s="22"/>
      <c r="U59" s="22" t="s">
        <v>517</v>
      </c>
      <c r="V59" s="22">
        <v>100</v>
      </c>
      <c r="W59" s="22">
        <v>350</v>
      </c>
      <c r="X59" s="22" t="s">
        <v>402</v>
      </c>
      <c r="Y59" s="22"/>
      <c r="Z59" t="str">
        <f>IF(X59="first","","")&amp;CHAR(10)&amp;"{ key: """&amp;S59&amp;""""&amp;IF(T59&lt;&gt;"",", isGroup: true","")&amp;IF(U59&lt;&gt;"",", group: """&amp;U59&amp;"""","")&amp;IF(T59&lt;&gt;"","}",", loc: new go.Point("&amp;V59*$X$57&amp;", "&amp;W59*$X$57&amp;"), release: """&amp;Y59&amp;""" }")&amp;IF(X59="last","],",",")</f>
        <v xml:space="preserve">
{ key: "Autopack handler", group: "Pick cell", loc: new go.Point(70, 245), release: "" },</v>
      </c>
      <c r="AA59" t="str">
        <f>Z59</f>
        <v xml:space="preserve">
{ key: "Autopack handler", group: "Pick cell", loc: new go.Point(70, 245), release: "" },</v>
      </c>
      <c r="AB59">
        <f t="shared" si="9"/>
        <v>18</v>
      </c>
      <c r="AC59" t="str">
        <f t="shared" si="10"/>
        <v>Stack handler_Empties connector</v>
      </c>
      <c r="AD59" s="22" t="s">
        <v>122</v>
      </c>
      <c r="AE59" s="22" t="s">
        <v>152</v>
      </c>
      <c r="AF59" s="22" t="str">
        <f t="shared" si="18"/>
        <v>Tote</v>
      </c>
      <c r="AG59" s="22" t="s">
        <v>262</v>
      </c>
      <c r="AH59" s="22" t="s">
        <v>235</v>
      </c>
      <c r="AI59" s="22" t="str">
        <f t="shared" si="19"/>
        <v>Empty</v>
      </c>
      <c r="AJ59" s="22" t="str">
        <f t="shared" ref="AJ59:AJ69" si="20">$AJ$40</f>
        <v>None</v>
      </c>
      <c r="AK59" s="22" t="s">
        <v>248</v>
      </c>
      <c r="AL59" s="22" t="s">
        <v>333</v>
      </c>
      <c r="AM59" s="22">
        <f>AM58+1</f>
        <v>301</v>
      </c>
      <c r="AN59" s="22" t="s">
        <v>524</v>
      </c>
      <c r="AO59" s="10">
        <f>$G$66</f>
        <v>6</v>
      </c>
      <c r="AP59" s="12">
        <f>AP58</f>
        <v>0.30399999999999988</v>
      </c>
      <c r="AQ59" s="12" t="str">
        <f t="shared" si="12"/>
        <v>rgb(255,199,1)</v>
      </c>
      <c r="AR59" s="12" t="str">
        <f t="shared" si="13"/>
        <v>rgb(62,172,171)</v>
      </c>
      <c r="AS59" t="str">
        <f t="shared" si="14"/>
        <v>↑0.3_Tote_Stack_KD_Lengthwise</v>
      </c>
      <c r="AT59" t="str">
        <f t="shared" si="15"/>
        <v>Stack handler [0.3] Empties connector</v>
      </c>
      <c r="AU59" s="22"/>
      <c r="AV59" t="str">
        <f t="shared" si="16"/>
        <v xml:space="preserve">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v>
      </c>
      <c r="AW59"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v>
      </c>
    </row>
    <row r="60" spans="1:49">
      <c r="A60" s="144"/>
      <c r="H60"/>
      <c r="I60"/>
      <c r="J60"/>
      <c r="K60"/>
      <c r="L60"/>
      <c r="M60"/>
      <c r="N60"/>
      <c r="O60"/>
      <c r="P60"/>
      <c r="Q60"/>
      <c r="R60"/>
      <c r="S60" s="242" t="s">
        <v>144</v>
      </c>
      <c r="T60" s="22"/>
      <c r="U60" s="22" t="s">
        <v>517</v>
      </c>
      <c r="V60" s="22">
        <v>100</v>
      </c>
      <c r="W60" s="22">
        <v>250</v>
      </c>
      <c r="X60" s="22"/>
      <c r="Y60" s="22"/>
      <c r="Z60" t="str">
        <f t="shared" ref="Z60:Z70" si="21">IF(X60="first","","")&amp;CHAR(10)&amp;"{ key: """&amp;S60&amp;""""&amp;IF(T60&lt;&gt;"",", isGroup: true","")&amp;IF(U60&lt;&gt;"",", group: """&amp;U60&amp;"""","")&amp;IF(T60&lt;&gt;"","}",", loc: new go.Point("&amp;V60*$X$57&amp;", "&amp;W60*$X$57&amp;"), release: """&amp;Y60&amp;""" }")&amp;IF(X60="last","],",",")</f>
        <v xml:space="preserve">
{ key: "Autopack pod", group: "Pick cell", loc: new go.Point(70, 175), release: "" },</v>
      </c>
      <c r="AA60" t="str">
        <f>AA59&amp;Z60</f>
        <v xml:space="preserve">
{ key: "Autopack handler", group: "Pick cell", loc: new go.Point(70, 245), release: "" },
{ key: "Autopack pod", group: "Pick cell", loc: new go.Point(70, 175), release: "" },</v>
      </c>
      <c r="AB60">
        <f t="shared" si="9"/>
        <v>19</v>
      </c>
      <c r="AC60" t="str">
        <f t="shared" si="10"/>
        <v>Empties connector_Buffer</v>
      </c>
      <c r="AD60" s="22" t="s">
        <v>152</v>
      </c>
      <c r="AE60" s="22" t="s">
        <v>124</v>
      </c>
      <c r="AF60" s="22" t="str">
        <f t="shared" si="18"/>
        <v>Tote</v>
      </c>
      <c r="AG60" s="22" t="s">
        <v>262</v>
      </c>
      <c r="AH60" s="22" t="s">
        <v>235</v>
      </c>
      <c r="AI60" s="22" t="str">
        <f t="shared" si="19"/>
        <v>Empty</v>
      </c>
      <c r="AJ60" s="22" t="str">
        <f t="shared" si="20"/>
        <v>None</v>
      </c>
      <c r="AK60" s="22" t="s">
        <v>248</v>
      </c>
      <c r="AL60" s="22" t="s">
        <v>333</v>
      </c>
      <c r="AM60" s="22">
        <f t="shared" ref="AM60:AM65" si="22">AM59+1</f>
        <v>302</v>
      </c>
      <c r="AN60" s="22" t="s">
        <v>525</v>
      </c>
      <c r="AO60" s="10">
        <f>$G$66</f>
        <v>6</v>
      </c>
      <c r="AP60" s="12">
        <f>AP59</f>
        <v>0.30399999999999988</v>
      </c>
      <c r="AQ60" s="12" t="str">
        <f t="shared" si="12"/>
        <v>rgb(255,199,1)</v>
      </c>
      <c r="AR60" s="12" t="str">
        <f t="shared" si="13"/>
        <v>rgb(62,172,171)</v>
      </c>
      <c r="AS60" t="str">
        <f t="shared" si="14"/>
        <v>↑0.3_Tote_Stack_KD_Lengthwise</v>
      </c>
      <c r="AT60" t="str">
        <f t="shared" si="15"/>
        <v>Empties connector [0.3] Buffer</v>
      </c>
      <c r="AU60" s="22"/>
      <c r="AV60" t="str">
        <f t="shared" si="16"/>
        <v xml:space="preserve">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v>
      </c>
      <c r="AW60"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v>
      </c>
    </row>
    <row r="61" spans="1:49">
      <c r="A61" s="144"/>
      <c r="H61"/>
      <c r="I61"/>
      <c r="J61"/>
      <c r="K61"/>
      <c r="L61"/>
      <c r="M61"/>
      <c r="N61"/>
      <c r="O61"/>
      <c r="P61"/>
      <c r="Q61"/>
      <c r="R61"/>
      <c r="S61" s="242" t="s">
        <v>124</v>
      </c>
      <c r="T61" s="22"/>
      <c r="U61" s="243" t="s">
        <v>399</v>
      </c>
      <c r="V61" s="22">
        <v>1500</v>
      </c>
      <c r="W61" s="22">
        <v>100</v>
      </c>
      <c r="X61" s="22"/>
      <c r="Y61" s="22"/>
      <c r="Z61" t="str">
        <f t="shared" si="21"/>
        <v xml:space="preserve">
{ key: "Buffer", group: "Empties management", loc: new go.Point(1050, 70), release: "" },</v>
      </c>
      <c r="AA61" t="str">
        <f t="shared" ref="AA61:AA79" si="23">AA60&amp;Z61</f>
        <v xml:space="preserve">
{ key: "Autopack handler", group: "Pick cell", loc: new go.Point(70, 245), release: "" },
{ key: "Autopack pod", group: "Pick cell", loc: new go.Point(70, 175), release: "" },
{ key: "Buffer", group: "Empties management", loc: new go.Point(1050, 70), release: "" },</v>
      </c>
      <c r="AB61">
        <f t="shared" si="9"/>
        <v>20</v>
      </c>
      <c r="AC61" t="str">
        <f t="shared" si="10"/>
        <v>Buffer_Empties connector</v>
      </c>
      <c r="AD61" s="22" t="s">
        <v>124</v>
      </c>
      <c r="AE61" s="22" t="s">
        <v>152</v>
      </c>
      <c r="AF61" s="22" t="str">
        <f t="shared" si="18"/>
        <v>Tote</v>
      </c>
      <c r="AG61" s="22" t="s">
        <v>262</v>
      </c>
      <c r="AH61" s="22" t="s">
        <v>235</v>
      </c>
      <c r="AI61" s="22" t="str">
        <f t="shared" si="19"/>
        <v>Empty</v>
      </c>
      <c r="AJ61" s="22" t="str">
        <f t="shared" si="20"/>
        <v>None</v>
      </c>
      <c r="AK61" s="22" t="s">
        <v>248</v>
      </c>
      <c r="AL61" s="22" t="s">
        <v>331</v>
      </c>
      <c r="AM61" s="22">
        <f t="shared" si="22"/>
        <v>303</v>
      </c>
      <c r="AN61" s="22" t="s">
        <v>526</v>
      </c>
      <c r="AO61" s="10">
        <f>$G$66</f>
        <v>6</v>
      </c>
      <c r="AP61" s="12">
        <f>AP60</f>
        <v>0.30399999999999988</v>
      </c>
      <c r="AQ61" s="12" t="str">
        <f t="shared" si="12"/>
        <v>rgb(255,199,1)</v>
      </c>
      <c r="AR61" s="12" t="str">
        <f t="shared" si="13"/>
        <v>rgb(62,172,171)</v>
      </c>
      <c r="AS61" t="str">
        <f t="shared" si="14"/>
        <v>↓0.3_Tote_Stack_KD_Lengthwise</v>
      </c>
      <c r="AT61" t="str">
        <f t="shared" si="15"/>
        <v>Buffer [0.3] Empties connector</v>
      </c>
      <c r="AU61" s="22"/>
      <c r="AV61" t="str">
        <f t="shared" si="16"/>
        <v xml:space="preserve">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v>
      </c>
      <c r="AW61"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v>
      </c>
    </row>
    <row r="62" spans="1:49">
      <c r="A62" s="144"/>
      <c r="H62"/>
      <c r="I62"/>
      <c r="J62"/>
      <c r="K62"/>
      <c r="L62"/>
      <c r="M62"/>
      <c r="N62"/>
      <c r="O62"/>
      <c r="P62"/>
      <c r="Q62"/>
      <c r="R62"/>
      <c r="S62" s="242" t="s">
        <v>152</v>
      </c>
      <c r="T62" s="22"/>
      <c r="U62" s="243" t="s">
        <v>399</v>
      </c>
      <c r="V62" s="22">
        <v>1300</v>
      </c>
      <c r="W62" s="22">
        <v>300</v>
      </c>
      <c r="X62" s="22"/>
      <c r="Y62" s="22"/>
      <c r="Z62" t="str">
        <f t="shared" si="21"/>
        <v xml:space="preserve">
{ key: "Empties connector", group: "Empties management", loc: new go.Point(910, 210), release: "" },</v>
      </c>
      <c r="AA62"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v>
      </c>
      <c r="AB62">
        <f t="shared" si="9"/>
        <v>21</v>
      </c>
      <c r="AC62" t="str">
        <f t="shared" si="10"/>
        <v>Empties connector_Tote erector</v>
      </c>
      <c r="AD62" s="22" t="s">
        <v>152</v>
      </c>
      <c r="AE62" s="22" t="s">
        <v>130</v>
      </c>
      <c r="AF62" s="22" t="str">
        <f t="shared" si="18"/>
        <v>Tote</v>
      </c>
      <c r="AG62" s="22" t="s">
        <v>262</v>
      </c>
      <c r="AH62" s="22" t="s">
        <v>235</v>
      </c>
      <c r="AI62" s="22" t="str">
        <f t="shared" si="19"/>
        <v>Empty</v>
      </c>
      <c r="AJ62" s="22" t="str">
        <f t="shared" si="20"/>
        <v>None</v>
      </c>
      <c r="AK62" s="22" t="s">
        <v>248</v>
      </c>
      <c r="AL62" s="22" t="s">
        <v>333</v>
      </c>
      <c r="AM62" s="22">
        <f t="shared" si="22"/>
        <v>304</v>
      </c>
      <c r="AN62" s="22" t="s">
        <v>527</v>
      </c>
      <c r="AO62" s="10">
        <f>$G$66</f>
        <v>6</v>
      </c>
      <c r="AP62" s="12">
        <f>AP61</f>
        <v>0.30399999999999988</v>
      </c>
      <c r="AQ62" s="12" t="str">
        <f t="shared" si="12"/>
        <v>rgb(255,199,1)</v>
      </c>
      <c r="AR62" s="12" t="str">
        <f t="shared" si="13"/>
        <v>rgb(62,172,171)</v>
      </c>
      <c r="AS62" t="str">
        <f t="shared" si="14"/>
        <v>↑0.3_Tote_Stack_KD_Lengthwise</v>
      </c>
      <c r="AT62" t="str">
        <f t="shared" si="15"/>
        <v>Empties connector [0.3] Tote erector</v>
      </c>
      <c r="AU62" s="22"/>
      <c r="AV62" t="str">
        <f t="shared" si="16"/>
        <v xml:space="preserve">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v>
      </c>
      <c r="AW62"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v>
      </c>
    </row>
    <row r="63" spans="1:49">
      <c r="A63" s="50" t="s">
        <v>355</v>
      </c>
      <c r="H63"/>
      <c r="I63"/>
      <c r="J63"/>
      <c r="K63"/>
      <c r="L63"/>
      <c r="M63"/>
      <c r="N63"/>
      <c r="O63"/>
      <c r="P63"/>
      <c r="Q63"/>
      <c r="R63"/>
      <c r="S63" s="242" t="s">
        <v>154</v>
      </c>
      <c r="T63" s="22"/>
      <c r="U63" s="22"/>
      <c r="V63" s="22">
        <v>900</v>
      </c>
      <c r="W63" s="22">
        <v>500</v>
      </c>
      <c r="X63" s="22"/>
      <c r="Y63" s="22"/>
      <c r="Z63" t="str">
        <f t="shared" si="21"/>
        <v xml:space="preserve">
{ key: "IO connector", loc: new go.Point(630, 350), release: "" },</v>
      </c>
      <c r="AA63"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v>
      </c>
      <c r="AB63">
        <f t="shared" si="9"/>
        <v>22</v>
      </c>
      <c r="AC63" t="str">
        <f t="shared" si="10"/>
        <v>Tote erector_Empties connector</v>
      </c>
      <c r="AD63" s="22" t="s">
        <v>130</v>
      </c>
      <c r="AE63" s="22" t="s">
        <v>152</v>
      </c>
      <c r="AF63" s="22" t="str">
        <f t="shared" si="18"/>
        <v>Tote</v>
      </c>
      <c r="AG63" s="22" t="s">
        <v>232</v>
      </c>
      <c r="AH63" s="22" t="s">
        <v>337</v>
      </c>
      <c r="AI63" s="22" t="str">
        <f t="shared" si="19"/>
        <v>Empty</v>
      </c>
      <c r="AJ63" s="22" t="str">
        <f t="shared" si="20"/>
        <v>None</v>
      </c>
      <c r="AK63" s="22" t="s">
        <v>248</v>
      </c>
      <c r="AL63" s="22" t="s">
        <v>331</v>
      </c>
      <c r="AM63" s="22">
        <f t="shared" si="22"/>
        <v>305</v>
      </c>
      <c r="AN63" s="22" t="s">
        <v>528</v>
      </c>
      <c r="AP63" s="12">
        <f>AP62*G66</f>
        <v>1.8239999999999994</v>
      </c>
      <c r="AQ63" s="12" t="str">
        <f t="shared" si="12"/>
        <v>rgb(255,199,1)</v>
      </c>
      <c r="AR63" s="12" t="str">
        <f t="shared" si="13"/>
        <v>rgb(194,220,188)</v>
      </c>
      <c r="AS63" t="str">
        <f t="shared" si="14"/>
        <v>↓1.82_Tote_Single_Empty_Lengthwise</v>
      </c>
      <c r="AT63" t="str">
        <f t="shared" si="15"/>
        <v>Tote erector [1.82] Empties connector</v>
      </c>
      <c r="AU63" s="22"/>
      <c r="AV63" t="str">
        <f t="shared" si="16"/>
        <v xml:space="preserve">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v>
      </c>
      <c r="AW63"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v>
      </c>
    </row>
    <row r="64" spans="1:49">
      <c r="A64" s="144"/>
      <c r="B64" s="29"/>
      <c r="C64" s="29"/>
      <c r="D64" s="29"/>
      <c r="E64" s="29"/>
      <c r="F64" s="46"/>
      <c r="G64" s="227"/>
      <c r="H64"/>
      <c r="I64"/>
      <c r="J64"/>
      <c r="K64"/>
      <c r="L64"/>
      <c r="M64"/>
      <c r="N64"/>
      <c r="O64"/>
      <c r="P64"/>
      <c r="Q64"/>
      <c r="R64"/>
      <c r="S64" s="242" t="s">
        <v>156</v>
      </c>
      <c r="T64" s="22"/>
      <c r="U64" s="22"/>
      <c r="V64" s="22">
        <v>600</v>
      </c>
      <c r="W64" s="22">
        <v>500</v>
      </c>
      <c r="X64" s="22"/>
      <c r="Y64" s="22"/>
      <c r="Z64" t="str">
        <f t="shared" si="21"/>
        <v xml:space="preserve">
{ key: "Main connector", loc: new go.Point(420, 350), release: "" },</v>
      </c>
      <c r="AA64"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v>
      </c>
      <c r="AB64">
        <f t="shared" si="9"/>
        <v>23</v>
      </c>
      <c r="AC64" t="str">
        <f t="shared" si="10"/>
        <v>Empties connector_Destacking</v>
      </c>
      <c r="AD64" s="22" t="s">
        <v>152</v>
      </c>
      <c r="AE64" s="22" t="s">
        <v>482</v>
      </c>
      <c r="AF64" s="22" t="str">
        <f t="shared" si="18"/>
        <v>Tote</v>
      </c>
      <c r="AG64" s="22" t="s">
        <v>232</v>
      </c>
      <c r="AH64" s="22" t="s">
        <v>337</v>
      </c>
      <c r="AI64" s="22" t="str">
        <f t="shared" si="19"/>
        <v>Empty</v>
      </c>
      <c r="AJ64" s="22" t="str">
        <f t="shared" si="20"/>
        <v>None</v>
      </c>
      <c r="AK64" s="22" t="s">
        <v>248</v>
      </c>
      <c r="AL64" s="22" t="s">
        <v>331</v>
      </c>
      <c r="AM64" s="22">
        <f t="shared" si="22"/>
        <v>306</v>
      </c>
      <c r="AN64" s="22" t="s">
        <v>529</v>
      </c>
      <c r="AP64" s="12">
        <f>AP63*(1-G79)</f>
        <v>1.7327999999999995</v>
      </c>
      <c r="AQ64" s="12" t="str">
        <f t="shared" si="12"/>
        <v>rgb(255,199,1)</v>
      </c>
      <c r="AR64" s="12" t="str">
        <f t="shared" si="13"/>
        <v>rgb(194,220,188)</v>
      </c>
      <c r="AS64" t="str">
        <f t="shared" si="14"/>
        <v>↓1.73_Tote_Single_Empty_Lengthwise</v>
      </c>
      <c r="AT64" t="str">
        <f t="shared" si="15"/>
        <v>Empties connector [1.73] Destacking</v>
      </c>
      <c r="AU64" s="22"/>
      <c r="AV64" t="str">
        <f t="shared" si="16"/>
        <v xml:space="preserve">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v>
      </c>
      <c r="AW64"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v>
      </c>
    </row>
    <row r="65" spans="1:49">
      <c r="A65" s="144"/>
      <c r="B65"/>
      <c r="C65"/>
      <c r="D65"/>
      <c r="E65"/>
      <c r="F65" s="7" t="s">
        <v>341</v>
      </c>
      <c r="G65" s="226">
        <f>G45</f>
        <v>1.8239999999999994</v>
      </c>
      <c r="H65"/>
      <c r="I65"/>
      <c r="J65"/>
      <c r="K65"/>
      <c r="L65"/>
      <c r="M65"/>
      <c r="N65"/>
      <c r="O65"/>
      <c r="P65"/>
      <c r="Q65"/>
      <c r="R65"/>
      <c r="S65" s="242" t="s">
        <v>159</v>
      </c>
      <c r="T65" s="22"/>
      <c r="U65" s="22"/>
      <c r="V65" s="22">
        <v>100</v>
      </c>
      <c r="W65" s="22">
        <v>500</v>
      </c>
      <c r="X65" s="22"/>
      <c r="Y65" s="22"/>
      <c r="Z65" t="str">
        <f t="shared" si="21"/>
        <v xml:space="preserve">
{ key: "Mainline", loc: new go.Point(70, 350), release: "" },</v>
      </c>
      <c r="AA65"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v>
      </c>
      <c r="AB65">
        <f t="shared" si="9"/>
        <v>24</v>
      </c>
      <c r="AC65" t="str">
        <f t="shared" si="10"/>
        <v>Empties connector_Tote in</v>
      </c>
      <c r="AD65" s="22" t="s">
        <v>152</v>
      </c>
      <c r="AE65" s="22" t="s">
        <v>155</v>
      </c>
      <c r="AF65" s="22" t="str">
        <f t="shared" si="18"/>
        <v>Tote</v>
      </c>
      <c r="AG65" s="22" t="s">
        <v>232</v>
      </c>
      <c r="AH65" s="22" t="s">
        <v>337</v>
      </c>
      <c r="AI65" s="22" t="str">
        <f t="shared" si="19"/>
        <v>Empty</v>
      </c>
      <c r="AJ65" s="22" t="str">
        <f t="shared" si="20"/>
        <v>None</v>
      </c>
      <c r="AK65" s="22" t="s">
        <v>248</v>
      </c>
      <c r="AL65" s="22" t="s">
        <v>332</v>
      </c>
      <c r="AM65" s="22">
        <f t="shared" si="22"/>
        <v>307</v>
      </c>
      <c r="AN65" s="22" t="s">
        <v>551</v>
      </c>
      <c r="AP65" s="10">
        <f>AP63-AP64</f>
        <v>9.1199999999999948E-2</v>
      </c>
      <c r="AQ65" s="12" t="str">
        <f t="shared" si="12"/>
        <v>rgb(255,199,1)</v>
      </c>
      <c r="AR65" s="12" t="str">
        <f t="shared" si="13"/>
        <v>rgb(194,220,188)</v>
      </c>
      <c r="AS65" t="str">
        <f t="shared" si="14"/>
        <v>←0.09_Tote_Single_Empty_Lengthwise</v>
      </c>
      <c r="AT65" t="str">
        <f t="shared" si="15"/>
        <v>Empties connector [0.09] Tote in</v>
      </c>
      <c r="AU65" s="22"/>
      <c r="AV65" t="str">
        <f t="shared" si="16"/>
        <v xml:space="preserve">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v>
      </c>
      <c r="AW65"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v>
      </c>
    </row>
    <row r="66" spans="1:49">
      <c r="A66" s="144"/>
      <c r="B66"/>
      <c r="C66"/>
      <c r="D66"/>
      <c r="E66"/>
      <c r="F66" s="7" t="s">
        <v>342</v>
      </c>
      <c r="G66" s="228">
        <v>6</v>
      </c>
      <c r="H66"/>
      <c r="I66"/>
      <c r="J66"/>
      <c r="K66"/>
      <c r="L66"/>
      <c r="M66"/>
      <c r="N66"/>
      <c r="O66"/>
      <c r="P66"/>
      <c r="Q66"/>
      <c r="R66"/>
      <c r="S66" s="242" t="s">
        <v>134</v>
      </c>
      <c r="T66" s="22"/>
      <c r="U66" s="22"/>
      <c r="V66" s="22">
        <v>900</v>
      </c>
      <c r="W66" s="22">
        <v>200</v>
      </c>
      <c r="X66" s="22"/>
      <c r="Y66" s="22"/>
      <c r="Z66" t="str">
        <f t="shared" si="21"/>
        <v xml:space="preserve">
{ key: "Manual pack", loc: new go.Point(630, 140), release: "" },</v>
      </c>
      <c r="AA66"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v>
      </c>
      <c r="AB66">
        <f t="shared" si="9"/>
        <v>25</v>
      </c>
      <c r="AC66" t="str">
        <f t="shared" si="10"/>
        <v>IO connector_Main connector</v>
      </c>
      <c r="AD66" s="22" t="s">
        <v>154</v>
      </c>
      <c r="AE66" s="22" t="s">
        <v>156</v>
      </c>
      <c r="AF66" s="22" t="str">
        <f t="shared" si="18"/>
        <v>Tote</v>
      </c>
      <c r="AG66" s="22" t="s">
        <v>232</v>
      </c>
      <c r="AH66" s="22" t="s">
        <v>337</v>
      </c>
      <c r="AI66" s="22" t="str">
        <f t="shared" si="19"/>
        <v>Empty</v>
      </c>
      <c r="AJ66" s="22" t="str">
        <f t="shared" si="20"/>
        <v>None</v>
      </c>
      <c r="AK66" s="22" t="s">
        <v>248</v>
      </c>
      <c r="AL66" s="22" t="s">
        <v>332</v>
      </c>
      <c r="AM66" s="22">
        <f>AM95+1</f>
        <v>308</v>
      </c>
      <c r="AN66" s="22" t="s">
        <v>531</v>
      </c>
      <c r="AP66" s="12">
        <f>AP64</f>
        <v>1.7327999999999995</v>
      </c>
      <c r="AQ66" s="12" t="str">
        <f t="shared" si="12"/>
        <v>rgb(255,199,1)</v>
      </c>
      <c r="AR66" s="12" t="str">
        <f t="shared" si="13"/>
        <v>rgb(194,220,188)</v>
      </c>
      <c r="AS66" t="str">
        <f t="shared" si="14"/>
        <v>←1.73_Tote_Single_Empty_Lengthwise</v>
      </c>
      <c r="AT66" t="str">
        <f t="shared" si="15"/>
        <v>IO connector [1.73] Main connector</v>
      </c>
      <c r="AU66" s="22"/>
      <c r="AV66" t="str">
        <f t="shared" si="16"/>
        <v xml:space="preserve">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v>
      </c>
      <c r="AW66"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v>
      </c>
    </row>
    <row r="67" spans="1:49">
      <c r="A67" s="144"/>
      <c r="B67"/>
      <c r="C67"/>
      <c r="D67"/>
      <c r="E67"/>
      <c r="F67" s="7" t="s">
        <v>346</v>
      </c>
      <c r="G67" s="228">
        <v>2</v>
      </c>
      <c r="H67"/>
      <c r="I67"/>
      <c r="J67"/>
      <c r="K67"/>
      <c r="L67"/>
      <c r="M67"/>
      <c r="N67"/>
      <c r="O67"/>
      <c r="P67"/>
      <c r="Q67"/>
      <c r="R67"/>
      <c r="S67" s="242" t="s">
        <v>160</v>
      </c>
      <c r="T67" s="22"/>
      <c r="U67" s="22"/>
      <c r="V67" s="22">
        <v>1550</v>
      </c>
      <c r="W67" s="22">
        <v>500</v>
      </c>
      <c r="X67" s="22"/>
      <c r="Y67" s="22"/>
      <c r="Z67" t="str">
        <f t="shared" si="21"/>
        <v xml:space="preserve">
{ key: "MR", loc: new go.Point(1085, 350), release: "" },</v>
      </c>
      <c r="AA67"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v>
      </c>
      <c r="AB67">
        <f t="shared" si="9"/>
        <v>26</v>
      </c>
      <c r="AC67" t="str">
        <f t="shared" si="10"/>
        <v>Main connector_Mainline</v>
      </c>
      <c r="AD67" s="22" t="s">
        <v>156</v>
      </c>
      <c r="AE67" s="22" t="s">
        <v>159</v>
      </c>
      <c r="AF67" s="22" t="str">
        <f t="shared" si="18"/>
        <v>Tote</v>
      </c>
      <c r="AG67" s="22" t="s">
        <v>232</v>
      </c>
      <c r="AH67" s="22" t="s">
        <v>337</v>
      </c>
      <c r="AI67" s="22" t="str">
        <f t="shared" si="19"/>
        <v>Empty</v>
      </c>
      <c r="AJ67" s="22" t="str">
        <f t="shared" si="20"/>
        <v>None</v>
      </c>
      <c r="AK67" s="22" t="s">
        <v>248</v>
      </c>
      <c r="AL67" s="22" t="s">
        <v>332</v>
      </c>
      <c r="AM67" s="22">
        <f>AM66+1</f>
        <v>309</v>
      </c>
      <c r="AN67" s="22" t="s">
        <v>532</v>
      </c>
      <c r="AP67" s="10">
        <f>AP66*(1-G78)</f>
        <v>1.6461599999999994</v>
      </c>
      <c r="AQ67" s="12" t="str">
        <f t="shared" si="12"/>
        <v>rgb(255,199,1)</v>
      </c>
      <c r="AR67" s="12" t="str">
        <f t="shared" si="13"/>
        <v>rgb(194,220,188)</v>
      </c>
      <c r="AS67" t="str">
        <f t="shared" si="14"/>
        <v>←1.65_Tote_Single_Empty_Lengthwise</v>
      </c>
      <c r="AT67" t="str">
        <f t="shared" si="15"/>
        <v>Main connector [1.65] Mainline</v>
      </c>
      <c r="AU67" s="22"/>
      <c r="AV67" t="str">
        <f t="shared" si="16"/>
        <v xml:space="preserve">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v>
      </c>
      <c r="AW67"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v>
      </c>
    </row>
    <row r="68" spans="1:49">
      <c r="A68" s="144"/>
      <c r="B68"/>
      <c r="C68"/>
      <c r="D68"/>
      <c r="E68"/>
      <c r="F68" s="7" t="s">
        <v>343</v>
      </c>
      <c r="G68" s="228">
        <v>4</v>
      </c>
      <c r="H68"/>
      <c r="I68"/>
      <c r="J68"/>
      <c r="K68"/>
      <c r="L68"/>
      <c r="M68"/>
      <c r="N68"/>
      <c r="O68"/>
      <c r="P68"/>
      <c r="Q68"/>
      <c r="R68"/>
      <c r="S68" s="242" t="s">
        <v>73</v>
      </c>
      <c r="T68" s="22"/>
      <c r="U68" s="22"/>
      <c r="V68" s="22">
        <v>600</v>
      </c>
      <c r="W68" s="22">
        <v>650</v>
      </c>
      <c r="X68" s="22"/>
      <c r="Y68" s="22"/>
      <c r="Z68" t="str">
        <f t="shared" si="21"/>
        <v xml:space="preserve">
{ key: "Shuffler", loc: new go.Point(420, 455), release: "" },</v>
      </c>
      <c r="AA68"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v>
      </c>
      <c r="AB68">
        <f t="shared" si="9"/>
        <v>27</v>
      </c>
      <c r="AC68" t="str">
        <f t="shared" si="10"/>
        <v>Mainline_Autopack handler</v>
      </c>
      <c r="AD68" s="22" t="s">
        <v>159</v>
      </c>
      <c r="AE68" s="22" t="s">
        <v>158</v>
      </c>
      <c r="AF68" s="22" t="str">
        <f t="shared" si="18"/>
        <v>Tote</v>
      </c>
      <c r="AG68" s="22" t="s">
        <v>232</v>
      </c>
      <c r="AH68" s="22" t="s">
        <v>337</v>
      </c>
      <c r="AI68" s="22" t="str">
        <f t="shared" si="19"/>
        <v>Empty</v>
      </c>
      <c r="AJ68" s="22" t="str">
        <f t="shared" si="20"/>
        <v>None</v>
      </c>
      <c r="AK68" s="22" t="s">
        <v>249</v>
      </c>
      <c r="AL68" s="22" t="s">
        <v>333</v>
      </c>
      <c r="AM68" s="22">
        <f>AM67+1</f>
        <v>310</v>
      </c>
      <c r="AN68" s="22" t="s">
        <v>533</v>
      </c>
      <c r="AP68" s="12">
        <f>AP67</f>
        <v>1.6461599999999994</v>
      </c>
      <c r="AQ68" s="12" t="str">
        <f t="shared" si="12"/>
        <v>rgb(255,199,1)</v>
      </c>
      <c r="AR68" s="12" t="str">
        <f t="shared" si="13"/>
        <v>rgb(194,220,188)</v>
      </c>
      <c r="AS68" t="str">
        <f t="shared" si="14"/>
        <v>↑1.65_Tote_Single_Empty_Widthwise</v>
      </c>
      <c r="AT68" t="str">
        <f t="shared" si="15"/>
        <v>Mainline [1.65] Autopack handler</v>
      </c>
      <c r="AU68" s="22"/>
      <c r="AV68" t="str">
        <f t="shared" si="16"/>
        <v xml:space="preserve">
{ from: "Mainline", to: "Autopack handler", long_text: "1.65_Tote_Single", short_text: "1.65",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"1.64616" },</v>
      </c>
      <c r="AW68"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
{ from: "Mainline", to: "Autopack handler", long_text: "1.65_Tote_Single", short_text: "1.65",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"1.64616" },</v>
      </c>
    </row>
    <row r="69" spans="1:49">
      <c r="A69" s="144"/>
      <c r="C69"/>
      <c r="D69"/>
      <c r="E69"/>
      <c r="F69" s="7" t="s">
        <v>373</v>
      </c>
      <c r="G69" s="228">
        <v>2</v>
      </c>
      <c r="H69"/>
      <c r="I69"/>
      <c r="J69"/>
      <c r="K69"/>
      <c r="L69"/>
      <c r="M69"/>
      <c r="N69"/>
      <c r="O69"/>
      <c r="P69"/>
      <c r="Q69"/>
      <c r="R69"/>
      <c r="S69" s="242" t="s">
        <v>122</v>
      </c>
      <c r="T69" s="22"/>
      <c r="U69" s="22"/>
      <c r="V69" s="22">
        <v>1380</v>
      </c>
      <c r="W69" s="22">
        <v>500</v>
      </c>
      <c r="X69" s="22"/>
      <c r="Y69" s="22"/>
      <c r="Z69" t="str">
        <f t="shared" si="21"/>
        <v xml:space="preserve">
{ key: "Stack handler", loc: new go.Point(966, 350), release: "" },</v>
      </c>
      <c r="AA69"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v>
      </c>
      <c r="AB69">
        <f t="shared" si="9"/>
        <v>28</v>
      </c>
      <c r="AC69" t="str">
        <f t="shared" si="10"/>
        <v xml:space="preserve">Autopack handler_Autopack pod </v>
      </c>
      <c r="AD69" s="22" t="s">
        <v>158</v>
      </c>
      <c r="AE69" s="22" t="s">
        <v>570</v>
      </c>
      <c r="AF69" s="22" t="str">
        <f t="shared" si="18"/>
        <v>Tote</v>
      </c>
      <c r="AG69" s="22" t="s">
        <v>232</v>
      </c>
      <c r="AH69" s="22" t="s">
        <v>337</v>
      </c>
      <c r="AI69" s="22" t="str">
        <f t="shared" si="19"/>
        <v>Empty</v>
      </c>
      <c r="AJ69" s="22" t="str">
        <f t="shared" si="20"/>
        <v>None</v>
      </c>
      <c r="AK69" s="22" t="s">
        <v>249</v>
      </c>
      <c r="AL69" s="22" t="s">
        <v>333</v>
      </c>
      <c r="AM69" s="22">
        <f>AM68+1</f>
        <v>311</v>
      </c>
      <c r="AN69" s="22" t="s">
        <v>534</v>
      </c>
      <c r="AP69" s="12">
        <f>AP68</f>
        <v>1.6461599999999994</v>
      </c>
      <c r="AQ69" s="12" t="str">
        <f t="shared" si="12"/>
        <v>rgb(255,199,1)</v>
      </c>
      <c r="AR69" s="12" t="str">
        <f t="shared" si="13"/>
        <v>rgb(194,220,188)</v>
      </c>
      <c r="AS69" t="str">
        <f t="shared" si="14"/>
        <v>↑1.65_Tote_Single_Empty_Widthwise</v>
      </c>
      <c r="AT69" t="str">
        <f t="shared" si="15"/>
        <v xml:space="preserve">Autopack handler [1.65] Autopack pod </v>
      </c>
      <c r="AU69" s="22"/>
      <c r="AV69" t="str">
        <f t="shared" si="16"/>
        <v xml:space="preserve">
{ from: "Autopack handler", to: "Autopack pod ", long_text: "1.65_Tote_Single", short_text: "1.65",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"1.64616" },</v>
      </c>
      <c r="AW69"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
{ from: "Mainline", to: "Autopack handler", long_text: "1.65_Tote_Single", short_text: "1.65",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"1.64616" },
{ from: "Autopack handler", to: "Autopack pod ", long_text: "1.65_Tote_Single", short_text: "1.65",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"1.64616" },</v>
      </c>
    </row>
    <row r="70" spans="1:49">
      <c r="A70" s="144"/>
      <c r="C70"/>
      <c r="D70"/>
      <c r="E70"/>
      <c r="F70" s="7" t="s">
        <v>374</v>
      </c>
      <c r="G70" s="228">
        <v>3</v>
      </c>
      <c r="H70"/>
      <c r="I70"/>
      <c r="J70"/>
      <c r="K70"/>
      <c r="L70"/>
      <c r="M70"/>
      <c r="N70"/>
      <c r="O70"/>
      <c r="P70"/>
      <c r="Q70"/>
      <c r="R70"/>
      <c r="S70" s="242" t="s">
        <v>120</v>
      </c>
      <c r="T70" s="22"/>
      <c r="U70" s="22" t="s">
        <v>69</v>
      </c>
      <c r="V70" s="22">
        <v>1150</v>
      </c>
      <c r="W70" s="22">
        <v>531</v>
      </c>
      <c r="X70" s="22"/>
      <c r="Y70" s="22"/>
      <c r="Z70" t="str">
        <f t="shared" si="21"/>
        <v xml:space="preserve">
{ key: "Stacking", group: "Stacker", loc: new go.Point(805, 371.7), release: "" },</v>
      </c>
      <c r="AA70"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v>
      </c>
      <c r="AB70">
        <f t="shared" si="9"/>
        <v>29</v>
      </c>
      <c r="AC70" t="str">
        <f t="shared" si="10"/>
        <v>Autopack pod _Autopack handler</v>
      </c>
      <c r="AD70" s="22" t="s">
        <v>570</v>
      </c>
      <c r="AE70" s="22" t="s">
        <v>158</v>
      </c>
      <c r="AF70" s="22" t="str">
        <f t="shared" si="18"/>
        <v>Tote</v>
      </c>
      <c r="AG70" s="22" t="s">
        <v>232</v>
      </c>
      <c r="AH70" s="22" t="s">
        <v>336</v>
      </c>
      <c r="AI70" s="22" t="str">
        <f t="shared" ref="AI70:AI84" si="24">$AI$32</f>
        <v>Each</v>
      </c>
      <c r="AJ70" s="22" t="str">
        <f>$AJ$39</f>
        <v>Varies</v>
      </c>
      <c r="AK70" s="22" t="s">
        <v>249</v>
      </c>
      <c r="AL70" s="22" t="s">
        <v>331</v>
      </c>
      <c r="AM70" s="22">
        <f t="shared" ref="AM70:AM80" si="25">AM69+1</f>
        <v>312</v>
      </c>
      <c r="AN70" s="22" t="s">
        <v>535</v>
      </c>
      <c r="AP70" s="12">
        <f>AP69</f>
        <v>1.6461599999999994</v>
      </c>
      <c r="AQ70" s="12" t="str">
        <f t="shared" si="12"/>
        <v>rgb(255,199,1)</v>
      </c>
      <c r="AR70" s="12" t="str">
        <f t="shared" si="13"/>
        <v>rgb(113,190,138)</v>
      </c>
      <c r="AS70" t="str">
        <f t="shared" si="14"/>
        <v>↓1.65_Tote_Single_Full_Widthwise</v>
      </c>
      <c r="AT70" t="str">
        <f t="shared" si="15"/>
        <v>Autopack pod  [1.65] Autopack handler</v>
      </c>
      <c r="AU70" s="22"/>
      <c r="AV70" t="str">
        <f t="shared" si="16"/>
        <v xml:space="preserve">
{ from: "Autopack pod ", to: "Autopack handler", long_text: "1.65_Tote_Single", short_text: "1.65",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"1.64616" },</v>
      </c>
      <c r="AW70"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
{ from: "Mainline", to: "Autopack handler", long_text: "1.65_Tote_Single", short_text: "1.65",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"1.64616" },
{ from: "Autopack handler", to: "Autopack pod ", long_text: "1.65_Tote_Single", short_text: "1.65",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"1.64616" },
{ from: "Autopack pod ", to: "Autopack handler", long_text: "1.65_Tote_Single", short_text: "1.65",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"1.64616" },</v>
      </c>
    </row>
    <row r="71" spans="1:49">
      <c r="A71" s="144"/>
      <c r="B71"/>
      <c r="C71"/>
      <c r="D71"/>
      <c r="E71"/>
      <c r="F71" s="7" t="s">
        <v>387</v>
      </c>
      <c r="G71" s="236">
        <v>0.05</v>
      </c>
      <c r="H71"/>
      <c r="I71"/>
      <c r="J71"/>
      <c r="K71"/>
      <c r="L71"/>
      <c r="M71"/>
      <c r="N71"/>
      <c r="O71"/>
      <c r="P71"/>
      <c r="Q71"/>
      <c r="R71"/>
      <c r="S71" s="242" t="s">
        <v>482</v>
      </c>
      <c r="T71" s="22"/>
      <c r="U71" s="22" t="s">
        <v>69</v>
      </c>
      <c r="V71" s="22">
        <v>1150</v>
      </c>
      <c r="W71" s="22">
        <v>469</v>
      </c>
      <c r="X71" s="22"/>
      <c r="Y71" s="22"/>
      <c r="Z71" t="str">
        <f t="shared" ref="Z71" si="26">IF(X71="first","","")&amp;CHAR(10)&amp;"{ key: """&amp;S71&amp;""""&amp;IF(T71&lt;&gt;"",", isGroup: true","")&amp;IF(U71&lt;&gt;"",", group: """&amp;U71&amp;"""","")&amp;IF(T71&lt;&gt;"","}",", loc: new go.Point("&amp;V71*$X$57&amp;", "&amp;W71*$X$57&amp;"), release: """&amp;Y71&amp;""" }")&amp;IF(X71="last","],",",")</f>
        <v xml:space="preserve">
{ key: "Destacking", group: "Stacker", loc: new go.Point(805, 328.3), release: "" },</v>
      </c>
      <c r="AA71"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v>
      </c>
      <c r="AB71">
        <f t="shared" si="9"/>
        <v>30</v>
      </c>
      <c r="AC71" t="str">
        <f t="shared" si="10"/>
        <v>Autopack handler_Mainline</v>
      </c>
      <c r="AD71" s="22" t="s">
        <v>158</v>
      </c>
      <c r="AE71" s="22" t="s">
        <v>159</v>
      </c>
      <c r="AF71" s="22" t="str">
        <f t="shared" si="18"/>
        <v>Tote</v>
      </c>
      <c r="AG71" s="22" t="s">
        <v>232</v>
      </c>
      <c r="AH71" s="22" t="s">
        <v>336</v>
      </c>
      <c r="AI71" s="22" t="str">
        <f t="shared" si="24"/>
        <v>Each</v>
      </c>
      <c r="AJ71" s="22" t="str">
        <f t="shared" ref="AJ71:AJ84" si="27">$AJ$39</f>
        <v>Varies</v>
      </c>
      <c r="AK71" s="22" t="s">
        <v>249</v>
      </c>
      <c r="AL71" s="22" t="s">
        <v>331</v>
      </c>
      <c r="AM71" s="22">
        <f t="shared" si="25"/>
        <v>313</v>
      </c>
      <c r="AN71" s="22" t="s">
        <v>536</v>
      </c>
      <c r="AP71" s="12">
        <f>AP70</f>
        <v>1.6461599999999994</v>
      </c>
      <c r="AQ71" s="12" t="str">
        <f t="shared" si="12"/>
        <v>rgb(255,199,1)</v>
      </c>
      <c r="AR71" s="12" t="str">
        <f t="shared" si="13"/>
        <v>rgb(113,190,138)</v>
      </c>
      <c r="AS71" t="str">
        <f t="shared" si="14"/>
        <v>↓1.65_Tote_Single_Full_Widthwise</v>
      </c>
      <c r="AT71" t="str">
        <f t="shared" si="15"/>
        <v>Autopack handler [1.65] Mainline</v>
      </c>
      <c r="AU71" s="22"/>
      <c r="AV71" t="str">
        <f t="shared" si="16"/>
        <v xml:space="preserve">
{ from: "Autopack handler", to: "Mainline", long_text: "1.65_Tote_Single", short_text: "1.65",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"1.64616" },</v>
      </c>
      <c r="AW71"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
{ from: "Mainline", to: "Autopack handler", long_text: "1.65_Tote_Single", short_text: "1.65",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"1.64616" },
{ from: "Autopack handler", to: "Autopack pod ", long_text: "1.65_Tote_Single", short_text: "1.65",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"1.64616" },
{ from: "Autopack pod ", to: "Autopack handler", long_text: "1.65_Tote_Single", short_text: "1.65",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"1.64616" },
{ from: "Autopack handler", to: "Mainline", long_text: "1.65_Tote_Single", short_text: "1.65",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"1.64616" },</v>
      </c>
    </row>
    <row r="72" spans="1:49">
      <c r="A72" s="225"/>
      <c r="B72"/>
      <c r="C72"/>
      <c r="D72"/>
      <c r="E72"/>
      <c r="F72" s="7" t="s">
        <v>352</v>
      </c>
      <c r="G72" s="226">
        <f>G46/G49</f>
        <v>3.3805418719211819</v>
      </c>
      <c r="S72" s="242" t="s">
        <v>128</v>
      </c>
      <c r="T72" s="22"/>
      <c r="U72" s="243"/>
      <c r="V72" s="22">
        <v>1000</v>
      </c>
      <c r="W72" s="22">
        <v>650</v>
      </c>
      <c r="X72" s="22"/>
      <c r="Y72" s="22"/>
      <c r="Z72" t="str">
        <f t="shared" ref="Z72:Z80" si="28">IF(X72="first","","")&amp;CHAR(10)&amp;"{ key: """&amp;S72&amp;""""&amp;IF(T72&lt;&gt;"",", isGroup: true","")&amp;IF(U72&lt;&gt;"",", group: """&amp;U72&amp;"""","")&amp;IF(T72&lt;&gt;"","}",", loc: new go.Point("&amp;V72*$X$57&amp;", "&amp;W72*$X$57&amp;"), release: """&amp;Y72&amp;""" }")&amp;IF(X72="last","],",",")</f>
        <v xml:space="preserve">
{ key: "Tote closer", loc: new go.Point(700, 455), release: "" },</v>
      </c>
      <c r="AA72"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v>
      </c>
      <c r="AB72">
        <f t="shared" si="9"/>
        <v>31</v>
      </c>
      <c r="AC72" t="str">
        <f t="shared" si="10"/>
        <v>Mainline_Main connector</v>
      </c>
      <c r="AD72" s="22" t="s">
        <v>159</v>
      </c>
      <c r="AE72" s="22" t="s">
        <v>156</v>
      </c>
      <c r="AF72" s="22" t="str">
        <f t="shared" si="18"/>
        <v>Tote</v>
      </c>
      <c r="AG72" s="22" t="s">
        <v>232</v>
      </c>
      <c r="AH72" s="22" t="s">
        <v>336</v>
      </c>
      <c r="AI72" s="22" t="str">
        <f t="shared" si="24"/>
        <v>Each</v>
      </c>
      <c r="AJ72" s="22" t="str">
        <f t="shared" si="27"/>
        <v>Varies</v>
      </c>
      <c r="AK72" s="22" t="s">
        <v>248</v>
      </c>
      <c r="AL72" s="22" t="s">
        <v>334</v>
      </c>
      <c r="AM72" s="22">
        <f t="shared" si="25"/>
        <v>314</v>
      </c>
      <c r="AN72" s="22" t="s">
        <v>537</v>
      </c>
      <c r="AP72" s="12">
        <f>AP71</f>
        <v>1.6461599999999994</v>
      </c>
      <c r="AQ72" s="12" t="str">
        <f t="shared" si="12"/>
        <v>rgb(255,199,1)</v>
      </c>
      <c r="AR72" s="12" t="str">
        <f t="shared" si="13"/>
        <v>rgb(113,190,138)</v>
      </c>
      <c r="AS72" t="str">
        <f t="shared" si="14"/>
        <v>→1.65_Tote_Single_Full_Lengthwise</v>
      </c>
      <c r="AT72" t="str">
        <f t="shared" si="15"/>
        <v>Mainline [1.65] Main connector</v>
      </c>
      <c r="AU72" s="22"/>
      <c r="AV72" t="str">
        <f t="shared" si="16"/>
        <v xml:space="preserve">
{ from: "Mainline", to: "Main connector", long_text: "1.65_Tote_Single", short_text: "1.65",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"1.64616" },</v>
      </c>
      <c r="AW72"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
{ from: "Mainline", to: "Autopack handler", long_text: "1.65_Tote_Single", short_text: "1.65",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"1.64616" },
{ from: "Autopack handler", to: "Autopack pod ", long_text: "1.65_Tote_Single", short_text: "1.65",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"1.64616" },
{ from: "Autopack pod ", to: "Autopack handler", long_text: "1.65_Tote_Single", short_text: "1.65",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"1.64616" },
{ from: "Autopack handler", to: "Mainline", long_text: "1.65_Tote_Single", short_text: "1.65",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"1.64616" },
{ from: "Mainline", to: "Main connector", long_text: "1.65_Tote_Single", short_text: "1.65",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"1.64616" },</v>
      </c>
    </row>
    <row r="73" spans="1:49">
      <c r="A73" s="225"/>
      <c r="B73"/>
      <c r="C73"/>
      <c r="D73"/>
      <c r="E73"/>
      <c r="F73" s="7" t="s">
        <v>353</v>
      </c>
      <c r="G73" s="226">
        <f>G72/G68</f>
        <v>0.84513546798029549</v>
      </c>
      <c r="S73" s="242" t="s">
        <v>130</v>
      </c>
      <c r="T73" s="243"/>
      <c r="U73" s="243" t="s">
        <v>399</v>
      </c>
      <c r="V73" s="243">
        <v>1300</v>
      </c>
      <c r="W73" s="22">
        <v>100</v>
      </c>
      <c r="X73" s="22"/>
      <c r="Y73" s="22"/>
      <c r="Z73" t="str">
        <f t="shared" si="28"/>
        <v xml:space="preserve">
{ key: "Tote erector", group: "Empties management", loc: new go.Point(910, 70), release: "" },</v>
      </c>
      <c r="AA73"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v>
      </c>
      <c r="AB73">
        <f t="shared" si="9"/>
        <v>32</v>
      </c>
      <c r="AC73" t="str">
        <f t="shared" si="10"/>
        <v>Main connector_Shuffler</v>
      </c>
      <c r="AD73" s="22" t="s">
        <v>156</v>
      </c>
      <c r="AE73" s="22" t="s">
        <v>73</v>
      </c>
      <c r="AF73" s="22" t="str">
        <f t="shared" si="18"/>
        <v>Tote</v>
      </c>
      <c r="AG73" s="22" t="s">
        <v>232</v>
      </c>
      <c r="AH73" s="22" t="s">
        <v>336</v>
      </c>
      <c r="AI73" s="22" t="str">
        <f t="shared" si="24"/>
        <v>Each</v>
      </c>
      <c r="AJ73" s="22" t="str">
        <f t="shared" si="27"/>
        <v>Varies</v>
      </c>
      <c r="AK73" s="22" t="s">
        <v>248</v>
      </c>
      <c r="AL73" s="22" t="s">
        <v>331</v>
      </c>
      <c r="AM73" s="22">
        <f t="shared" si="25"/>
        <v>315</v>
      </c>
      <c r="AN73" s="22" t="s">
        <v>538</v>
      </c>
      <c r="AP73" s="12">
        <f>(AP72+AP83+AP84)*G77</f>
        <v>0.54583199999999987</v>
      </c>
      <c r="AQ73" s="12" t="str">
        <f t="shared" si="12"/>
        <v>rgb(255,199,1)</v>
      </c>
      <c r="AR73" s="12" t="str">
        <f t="shared" si="13"/>
        <v>rgb(113,190,138)</v>
      </c>
      <c r="AS73" t="str">
        <f t="shared" si="14"/>
        <v>↓0.55_Tote_Single_Full_Lengthwise</v>
      </c>
      <c r="AT73" t="str">
        <f t="shared" si="15"/>
        <v>Main connector [0.55] Shuffler</v>
      </c>
      <c r="AU73" s="22"/>
      <c r="AV73" t="str">
        <f t="shared" si="16"/>
        <v xml:space="preserve">
{ from: "Main connector", to: "Shuffler", long_text: "0.55_Tote_Single", short_text: "0.55",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"0.545832" },</v>
      </c>
      <c r="AW73"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
{ from: "Mainline", to: "Autopack handler", long_text: "1.65_Tote_Single", short_text: "1.65",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"1.64616" },
{ from: "Autopack handler", to: "Autopack pod ", long_text: "1.65_Tote_Single", short_text: "1.65",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"1.64616" },
{ from: "Autopack pod ", to: "Autopack handler", long_text: "1.65_Tote_Single", short_text: "1.65",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"1.64616" },
{ from: "Autopack handler", to: "Mainline", long_text: "1.65_Tote_Single", short_text: "1.65",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"1.64616" },
{ from: "Mainline", to: "Main connector", long_text: "1.65_Tote_Single", short_text: "1.65",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"1.64616" },
{ from: "Main connector", to: "Shuffler", long_text: "0.55_Tote_Single", short_text: "0.55",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"0.545832" },</v>
      </c>
    </row>
    <row r="74" spans="1:49">
      <c r="A74" s="225"/>
      <c r="B74"/>
      <c r="C74"/>
      <c r="D74"/>
      <c r="E74"/>
      <c r="F74" s="7" t="s">
        <v>354</v>
      </c>
      <c r="G74" s="226">
        <f>G73/G67</f>
        <v>0.42256773399014774</v>
      </c>
      <c r="S74" s="243" t="s">
        <v>153</v>
      </c>
      <c r="T74" s="243"/>
      <c r="U74" s="243" t="s">
        <v>399</v>
      </c>
      <c r="V74" s="243">
        <v>1100</v>
      </c>
      <c r="W74" s="22">
        <v>100</v>
      </c>
      <c r="X74" s="22"/>
      <c r="Y74" s="22"/>
      <c r="Z74" t="str">
        <f t="shared" si="28"/>
        <v xml:space="preserve">
{ key: "Tray erector", group: "Empties management", loc: new go.Point(770, 70), release: "" },</v>
      </c>
      <c r="AA74"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v>
      </c>
      <c r="AB74">
        <f t="shared" si="9"/>
        <v>33</v>
      </c>
      <c r="AC74" t="str">
        <f t="shared" si="10"/>
        <v>Shuffler_Main connector</v>
      </c>
      <c r="AD74" s="22" t="s">
        <v>73</v>
      </c>
      <c r="AE74" s="22" t="s">
        <v>156</v>
      </c>
      <c r="AF74" s="22" t="str">
        <f t="shared" si="18"/>
        <v>Tote</v>
      </c>
      <c r="AG74" s="22" t="s">
        <v>232</v>
      </c>
      <c r="AH74" s="22" t="s">
        <v>336</v>
      </c>
      <c r="AI74" s="22" t="str">
        <f t="shared" si="24"/>
        <v>Each</v>
      </c>
      <c r="AJ74" s="22" t="str">
        <f t="shared" si="27"/>
        <v>Varies</v>
      </c>
      <c r="AK74" s="22" t="s">
        <v>248</v>
      </c>
      <c r="AL74" s="22" t="s">
        <v>333</v>
      </c>
      <c r="AM74" s="22">
        <f t="shared" si="25"/>
        <v>316</v>
      </c>
      <c r="AN74" s="22" t="s">
        <v>539</v>
      </c>
      <c r="AP74" s="12">
        <f>AP73</f>
        <v>0.54583199999999987</v>
      </c>
      <c r="AQ74" s="12" t="str">
        <f t="shared" si="12"/>
        <v>rgb(255,199,1)</v>
      </c>
      <c r="AR74" s="12" t="str">
        <f t="shared" si="13"/>
        <v>rgb(113,190,138)</v>
      </c>
      <c r="AS74" t="str">
        <f t="shared" si="14"/>
        <v>↑0.55_Tote_Single_Full_Lengthwise</v>
      </c>
      <c r="AT74" t="str">
        <f t="shared" si="15"/>
        <v>Shuffler [0.55] Main connector</v>
      </c>
      <c r="AU74" s="22"/>
      <c r="AV74" t="str">
        <f t="shared" si="16"/>
        <v xml:space="preserve">
{ from: "Shuffler", to: "Main connector", long_text: "0.55_Tote_Single", short_text: "0.55", fromSpot: "TopSide", toSpot: "BottomSide", container: "Tote", form: "Single", state: "Full", content: "Each", size: "Varies", flow_id: "Shuffler_Main connector", sequence_id: "316", orientation: "Lengthwise", flow_color: "rgb(255,199,1)", arrowhead_color: "rgb(113,190,138)", comments: "Once shuffled to the right sequence, the series of totes head back to the main connector", containers_per_stack: "", throughput_per_minute: "0.545832" },</v>
      </c>
      <c r="AW74"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
{ from: "Mainline", to: "Autopack handler", long_text: "1.65_Tote_Single", short_text: "1.65",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"1.64616" },
{ from: "Autopack handler", to: "Autopack pod ", long_text: "1.65_Tote_Single", short_text: "1.65",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"1.64616" },
{ from: "Autopack pod ", to: "Autopack handler", long_text: "1.65_Tote_Single", short_text: "1.65",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"1.64616" },
{ from: "Autopack handler", to: "Mainline", long_text: "1.65_Tote_Single", short_text: "1.65",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"1.64616" },
{ from: "Mainline", to: "Main connector", long_text: "1.65_Tote_Single", short_text: "1.65",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"1.64616" },
{ from: "Main connector", to: "Shuffler", long_text: "0.55_Tote_Single", short_text: "0.55",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"0.545832" },
{ from: "Shuffler", to: "Main connector", long_text: "0.55_Tote_Single", short_text: "0.55", fromSpot: "TopSide", toSpot: "BottomSide", container: "Tote", form: "Single", state: "Full", content: "Each", size: "Varies", flow_id: "Shuffler_Main connector", sequence_id: "316", orientation: "Lengthwise", flow_color: "rgb(255,199,1)", arrowhead_color: "rgb(113,190,138)", comments: "Once shuffled to the right sequence, the series of totes head back to the main connector", containers_per_stack: "", throughput_per_minute: "0.545832" },</v>
      </c>
    </row>
    <row r="75" spans="1:49">
      <c r="A75" s="225"/>
      <c r="B75"/>
      <c r="C75"/>
      <c r="D75"/>
      <c r="E75"/>
      <c r="F75" s="7" t="s">
        <v>380</v>
      </c>
      <c r="G75" s="226">
        <f>G72/G65</f>
        <v>1.853367254342754</v>
      </c>
      <c r="S75" s="242" t="s">
        <v>155</v>
      </c>
      <c r="T75" s="243"/>
      <c r="U75" s="243"/>
      <c r="V75" s="243">
        <v>950</v>
      </c>
      <c r="W75" s="22">
        <v>400</v>
      </c>
      <c r="X75" s="22"/>
      <c r="Y75" s="22"/>
      <c r="Z75" t="str">
        <f t="shared" si="28"/>
        <v xml:space="preserve">
{ key: "Tote in", loc: new go.Point(665, 280), release: "" },</v>
      </c>
      <c r="AA75"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v>
      </c>
      <c r="AB75">
        <f t="shared" si="9"/>
        <v>34</v>
      </c>
      <c r="AC75" t="str">
        <f t="shared" si="10"/>
        <v>Main connector_IO connector</v>
      </c>
      <c r="AD75" s="22" t="s">
        <v>156</v>
      </c>
      <c r="AE75" s="22" t="s">
        <v>154</v>
      </c>
      <c r="AF75" s="22" t="str">
        <f t="shared" si="18"/>
        <v>Tote</v>
      </c>
      <c r="AG75" s="22" t="s">
        <v>232</v>
      </c>
      <c r="AH75" s="22" t="s">
        <v>336</v>
      </c>
      <c r="AI75" s="22" t="str">
        <f t="shared" si="24"/>
        <v>Each</v>
      </c>
      <c r="AJ75" s="22" t="str">
        <f t="shared" si="27"/>
        <v>Varies</v>
      </c>
      <c r="AK75" s="22" t="s">
        <v>248</v>
      </c>
      <c r="AL75" s="22" t="s">
        <v>334</v>
      </c>
      <c r="AM75" s="22">
        <f t="shared" si="25"/>
        <v>317</v>
      </c>
      <c r="AN75" s="22" t="s">
        <v>540</v>
      </c>
      <c r="AP75" s="12">
        <f>AP66</f>
        <v>1.7327999999999995</v>
      </c>
      <c r="AQ75" s="12" t="str">
        <f t="shared" si="12"/>
        <v>rgb(255,199,1)</v>
      </c>
      <c r="AR75" s="12" t="str">
        <f t="shared" si="13"/>
        <v>rgb(113,190,138)</v>
      </c>
      <c r="AS75" t="str">
        <f t="shared" si="14"/>
        <v>→1.73_Tote_Single_Full_Lengthwise</v>
      </c>
      <c r="AT75" t="str">
        <f t="shared" si="15"/>
        <v>Main connector [1.73] IO connector</v>
      </c>
      <c r="AU75" s="22"/>
      <c r="AV75" t="str">
        <f t="shared" si="16"/>
        <v xml:space="preserve">
{ from: "Main connector", to: "IO connector", long_text: "1.73_Tote_Single", short_text: "1.73", fromSpot: "RightSide", toSpot: "LeftSide", container: "Tote", form: "Single", state: "Full", content: "Each", size: "Varies", flow_id: "Main connector_IO connector", sequence_id: "317", orientation: "Lengthwise", flow_color: "rgb(255,199,1)", arrowhead_color: "rgb(113,190,138)", comments: "The filled totes now move to the IO connector for subsequent operations", containers_per_stack: "", throughput_per_minute: "1.7328" },</v>
      </c>
      <c r="AW75"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
{ from: "Mainline", to: "Autopack handler", long_text: "1.65_Tote_Single", short_text: "1.65",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"1.64616" },
{ from: "Autopack handler", to: "Autopack pod ", long_text: "1.65_Tote_Single", short_text: "1.65",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"1.64616" },
{ from: "Autopack pod ", to: "Autopack handler", long_text: "1.65_Tote_Single", short_text: "1.65",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"1.64616" },
{ from: "Autopack handler", to: "Mainline", long_text: "1.65_Tote_Single", short_text: "1.65",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"1.64616" },
{ from: "Mainline", to: "Main connector", long_text: "1.65_Tote_Single", short_text: "1.65",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"1.64616" },
{ from: "Main connector", to: "Shuffler", long_text: "0.55_Tote_Single", short_text: "0.55",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"0.545832" },
{ from: "Shuffler", to: "Main connector", long_text: "0.55_Tote_Single", short_text: "0.55", fromSpot: "TopSide", toSpot: "BottomSide", container: "Tote", form: "Single", state: "Full", content: "Each", size: "Varies", flow_id: "Shuffler_Main connector", sequence_id: "316", orientation: "Lengthwise", flow_color: "rgb(255,199,1)", arrowhead_color: "rgb(113,190,138)", comments: "Once shuffled to the right sequence, the series of totes head back to the main connector", containers_per_stack: "", throughput_per_minute: "0.545832" },
{ from: "Main connector", to: "IO connector", long_text: "1.73_Tote_Single", short_text: "1.73", fromSpot: "RightSide", toSpot: "LeftSide", container: "Tote", form: "Single", state: "Full", content: "Each", size: "Varies", flow_id: "Main connector_IO connector", sequence_id: "317", orientation: "Lengthwise", flow_color: "rgb(255,199,1)", arrowhead_color: "rgb(113,190,138)", comments: "The filled totes now move to the IO connector for subsequent operations", containers_per_stack: "", throughput_per_minute: "1.7328" },</v>
      </c>
    </row>
    <row r="76" spans="1:49">
      <c r="A76" s="225"/>
      <c r="B76"/>
      <c r="C76"/>
      <c r="D76"/>
      <c r="E76"/>
      <c r="F76" s="7" t="s">
        <v>379</v>
      </c>
      <c r="G76" s="226">
        <f>G72*G49</f>
        <v>9.803571428571427</v>
      </c>
      <c r="S76" s="242" t="s">
        <v>162</v>
      </c>
      <c r="T76" s="243"/>
      <c r="U76" s="243"/>
      <c r="V76" s="243">
        <v>820</v>
      </c>
      <c r="W76" s="22">
        <v>650</v>
      </c>
      <c r="X76" s="22"/>
      <c r="Y76" s="22"/>
      <c r="Z76" t="str">
        <f t="shared" si="28"/>
        <v xml:space="preserve">
{ key: "Tote out", loc: new go.Point(574, 455), release: "" },</v>
      </c>
      <c r="AA76"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v>
      </c>
      <c r="AB76">
        <f t="shared" si="9"/>
        <v>35</v>
      </c>
      <c r="AC76" t="str">
        <f t="shared" si="10"/>
        <v>IO connector_Tote closer</v>
      </c>
      <c r="AD76" s="22" t="s">
        <v>154</v>
      </c>
      <c r="AE76" s="22" t="s">
        <v>128</v>
      </c>
      <c r="AF76" s="22" t="str">
        <f t="shared" si="18"/>
        <v>Tote</v>
      </c>
      <c r="AG76" s="22" t="s">
        <v>232</v>
      </c>
      <c r="AH76" s="22" t="s">
        <v>336</v>
      </c>
      <c r="AI76" s="22" t="str">
        <f t="shared" si="24"/>
        <v>Each</v>
      </c>
      <c r="AJ76" s="22" t="str">
        <f t="shared" si="27"/>
        <v>Varies</v>
      </c>
      <c r="AK76" s="22" t="s">
        <v>248</v>
      </c>
      <c r="AL76" s="22" t="s">
        <v>331</v>
      </c>
      <c r="AM76" s="22">
        <f t="shared" si="25"/>
        <v>318</v>
      </c>
      <c r="AN76" s="22" t="s">
        <v>541</v>
      </c>
      <c r="AP76" s="10">
        <f>AP75+AP94</f>
        <v>1.8239999999999994</v>
      </c>
      <c r="AQ76" s="12" t="str">
        <f t="shared" si="12"/>
        <v>rgb(255,199,1)</v>
      </c>
      <c r="AR76" s="12" t="str">
        <f t="shared" si="13"/>
        <v>rgb(113,190,138)</v>
      </c>
      <c r="AS76" t="str">
        <f t="shared" si="14"/>
        <v>↓1.82_Tote_Single_Full_Lengthwise</v>
      </c>
      <c r="AT76" t="str">
        <f t="shared" si="15"/>
        <v>IO connector [1.82] Tote closer</v>
      </c>
      <c r="AU76" s="22"/>
      <c r="AV76" t="str">
        <f t="shared" si="16"/>
        <v xml:space="preserve">
{ from: "IO connector", to: "Tote closer", long_text: "1.82_Tote_Single", short_text: "1.82", fromSpot: "BottomSide", toSpot: "TopSide", container: "Tote", form: "Single", state: "Full", content: "Each", size: "Varies", flow_id: "IO connector_Tote closer", sequence_id: "318", orientation: "Lengthwise", flow_color: "rgb(255,199,1)", arrowhead_color: "rgb(113,190,138)", comments: "For tottes which are complete, they move on to the tote closer for closing the tote", containers_per_stack: "", throughput_per_minute: "1.824" },</v>
      </c>
      <c r="AW76" t="str">
        <f t="shared" si="17"/>
        <v xml:space="preserve">
{ from: "MR", to: "Stack handler", long_text: "0.3_Tote_Stack", short_text: "0.3", fromSpot: "LeftSide", toSpot: "RightSide", container: "Tote", form: "Stack", state: "KD", content: "Empty", size: "None", flow_id: "MR_Stack handler", sequence_id: "300", orientation: "Lengthwise", flow_color: "rgb(255,199,1)", arrowhead_color: "rgb(62,172,171)", comments: "KD totes show up on mobile robot as stacks. The MR is able to bring in 2 stacks of upto 6 totes each.", containers_per_stack: "6", throughput_per_minute: "0.304" },
{ from: "Stack handler", to: "Empties connector", long_text: "0.3_Tote_Stack", short_text: "0.3", fromSpot: "TopSide", toSpot: "BottomSide", container: "Tote", form: "Stack", state: "KD", content: "Empty", size: "None", flow_id: "Stack handler_Empties connector", sequence_id: "301", orientation: "Lengthwise", flow_color: "rgb(255,199,1)", arrowhead_color: "rgb(62,172,171)", comments: "Stacks of KD totes are conveyed onto the empties connector. They don't need to be destacked because the tote erectors also have destacking capabilities", containers_per_stack: "6", throughput_per_minute: "0.304" },
{ from: "Empties connector", to: "Buffer", long_text: "0.3_Tote_Stack", short_text: "0.3", fromSpot: "TopSide", toSpot: "BottomSide", container: "Tote", form: "Stack", state: "KD", content: "Empty", size: "None", flow_id: "Empties connector_Buffer", sequence_id: "302", orientation: "Lengthwise", flow_color: "rgb(255,199,1)", arrowhead_color: "rgb(62,172,171)", comments: "KD totes are then buffered on buffer lanes", containers_per_stack: "6", throughput_per_minute: "0.304" },
{ from: "Buffer", to: "Empties connector", long_text: "0.3_Tote_Stack", short_text: "0.3", fromSpot: "BottomSide", toSpot: "TopSide", container: "Tote", form: "Stack", state: "KD", content: "Empty", size: "None", flow_id: "Buffer_Empties connector", sequence_id: "303", orientation: "Lengthwise", flow_color: "rgb(255,199,1)", arrowhead_color: "rgb(62,172,171)", comments: "An order fulfilment triggers a certain # of totes to be released from the buffer towards the empties connector for conveyance to the tote erector", containers_per_stack: "6", throughput_per_minute: "0.304" },
{ from: "Empties connector", to: "Tote erector", long_text: "0.3_Tote_Stack", short_text: "0.3", fromSpot: "TopSide", toSpot: "BottomSide", container: "Tote", form: "Stack", state: "KD", content: "Empty", size: "None", flow_id: "Empties connector_Tote erector", sequence_id: "304", orientation: "Lengthwise", flow_color: "rgb(255,199,1)", arrowhead_color: "rgb(62,172,171)", comments: "The stack of KD tote is pushed towards the tote erector", containers_per_stack: "6", throughput_per_minute: "0.304" },
{ from: "Tote erector", to: "Empties connector", long_text: "1.82_Tote_Single", short_text: "1.82", fromSpot: "BottomSide", toSpot: "TopSide", container: "Tote", form: "Single", state: "Empty", content: "Empty", size: "None", flow_id: "Tote erector_Empties connector", sequence_id: "305", orientation: "Lengthwise", flow_color: "rgb(255,199,1)", arrowhead_color: "rgb(194,220,188)", comments: "The erected singulated totes are conveyed back to the empties connector", containers_per_stack: "", throughput_per_minute: "1.824" },
{ from: "Empties connector", to: "Destacking", long_text: "1.73_Tote_Single", short_text: "1.73", fromSpot: "BottomSide", toSpot: "TopSide", container: "Tote", form: "Single", state: "Empty", content: "Empty", size: "None", flow_id: "Empties connector_Destacking", sequence_id: "306", orientation: "Lengthwise", flow_color: "rgb(255,199,1)", arrowhead_color: "rgb(194,220,188)", comments: "The erected totes now merge into the outbound lane from destacking operations for eventual merge into the IO connector", containers_per_stack: "", throughput_per_minute: "1.7328" },
{ from: "Empties connector", to: "Tote in", long_text: "0.09_Tote_Single", short_text: "0.09", fromSpot: "LeftSide", toSpot: "RightSide", container: "Tote", form: "Single", state: "Empty", content: "Empty", size: "None", flow_id: "Empties connector_Tote in", sequence_id: "307", orientation: "Lengthwise", flow_color: "rgb(255,199,1)", arrowhead_color: "rgb(194,220,188)", comments: "A percentage of totes which need manual packing are combined with 1.m trays in the cell", containers_per_stack: "", throughput_per_minute: "0.0911999999999999" },
{ from: "IO connector", to: "Main connector", long_text: "1.73_Tote_Single", short_text: "1.73", fromSpot: "LeftSide", toSpot: "RightSide", container: "Tote", form: "Single", state: "Empty", content: "Empty", size: "None", flow_id: "IO connector_Main connector", sequence_id: "308", orientation: "Lengthwise", flow_color: "rgb(255,199,1)", arrowhead_color: "rgb(194,220,188)", comments: "The main connector received singulated totes for processing into an appropriate outlet- mainline where most of the totes will head or manual pack", containers_per_stack: "", throughput_per_minute: "1.7328" },
{ from: "Main connector", to: "Mainline", long_text: "1.65_Tote_Single", short_text: "1.65", fromSpot: "LeftSide", toSpot: "RightSide", container: "Tote", form: "Single", state: "Empty", content: "Empty", size: "None", flow_id: "Main connector_Mainline", sequence_id: "309", orientation: "Lengthwise", flow_color: "rgb(255,199,1)", arrowhead_color: "rgb(194,220,188)", comments: "The majority of totes will move towards the mainline for robotic picking and placement of goods", containers_per_stack: "", throughput_per_minute: "1.64616" },
{ from: "Mainline", to: "Autopack handler", long_text: "1.65_Tote_Single", short_text: "1.65", fromSpot: "TopSide", toSpot: "BottomSide", container: "Tote", form: "Single", state: "Empty", content: "Empty", size: "None", flow_id: "Mainline_Autopack handler", sequence_id: "310", orientation: "Widthwise", flow_color: "rgb(255,199,1)", arrowhead_color: "rgb(194,220,188)", comments: "The totes move to different pick cells in the order in which items needs to be placed on the totes bottoms up", containers_per_stack: "", throughput_per_minute: "1.64616" },
{ from: "Autopack handler", to: "Autopack pod ", long_text: "1.65_Tote_Single", short_text: "1.65", fromSpot: "TopSide", toSpot: "BottomSide", container: "Tote", form: "Single", state: "Empty", content: "Empty", size: "None", flow_id: "Autopack handler_Autopack pod ", sequence_id: "311", orientation: "Widthwise", flow_color: "rgb(255,199,1)", arrowhead_color: "rgb(194,220,188)", comments: "The handlers transfer totes as required into the autopack pod place positions in the appropriate sequence", containers_per_stack: "", throughput_per_minute: "1.64616" },
{ from: "Autopack pod ", to: "Autopack handler", long_text: "1.65_Tote_Single", short_text: "1.65", fromSpot: "BottomSide", toSpot: "TopSide", container: "Tote", form: "Single", state: "Full", content: "Each", size: "Varies", flow_id: "Autopack pod _Autopack handler", sequence_id: "312", orientation: "Widthwise", flow_color: "rgb(255,199,1)", arrowhead_color: "rgb(113,190,138)", comments: "Once the item is placed into the totes, its moved to the handler for transportation to either the next picking cell or back to the main connector", containers_per_stack: "", throughput_per_minute: "1.64616" },
{ from: "Autopack handler", to: "Mainline", long_text: "1.65_Tote_Single", short_text: "1.65", fromSpot: "BottomSide", toSpot: "TopSide", container: "Tote", form: "Single", state: "Full", content: "Each", size: "Varies", flow_id: "Autopack handler_Mainline", sequence_id: "313", orientation: "Widthwise", flow_color: "rgb(255,199,1)", arrowhead_color: "rgb(113,190,138)", comments: "Once the items relevant to a pick cell are placed into the totes, it is moved to the handler for transportation to either the next picking cell or back to the main connector", containers_per_stack: "", throughput_per_minute: "1.64616" },
{ from: "Mainline", to: "Main connector", long_text: "1.65_Tote_Single", short_text: "1.65", fromSpot: "RightSide", toSpot: "LeftSide", container: "Tote", form: "Single", state: "Full", content: "Each", size: "Varies", flow_id: "Mainline_Main connector", sequence_id: "314", orientation: "Lengthwise", flow_color: "rgb(255,199,1)", arrowhead_color: "rgb(113,190,138)", comments: "After all the items that can be robotically picked and placed in a tote, are put or the tote is full, the tote is sent back to the main connector. Here one of two things can happen. It can go to a manual pack station for certain line items or conveyed towards outbound cells", containers_per_stack: "", throughput_per_minute: "1.64616" },
{ from: "Main connector", to: "Shuffler", long_text: "0.55_Tote_Single", short_text: "0.55", fromSpot: "BottomSide", toSpot: "TopSide", container: "Tote", form: "Single", state: "Full", content: "Each", size: "Varies", flow_id: "Main connector_Shuffler", sequence_id: "315", orientation: "Lengthwise", flow_color: "rgb(255,199,1)", arrowhead_color: "rgb(113,190,138)", comments: "The move to the shuffling cells helps with the sequencing of totes in a certain order as required by outbound operations including stack forming and transportation by a MR", containers_per_stack: "", throughput_per_minute: "0.545832" },
{ from: "Shuffler", to: "Main connector", long_text: "0.55_Tote_Single", short_text: "0.55", fromSpot: "TopSide", toSpot: "BottomSide", container: "Tote", form: "Single", state: "Full", content: "Each", size: "Varies", flow_id: "Shuffler_Main connector", sequence_id: "316", orientation: "Lengthwise", flow_color: "rgb(255,199,1)", arrowhead_color: "rgb(113,190,138)", comments: "Once shuffled to the right sequence, the series of totes head back to the main connector", containers_per_stack: "", throughput_per_minute: "0.545832" },
{ from: "Main connector", to: "IO connector", long_text: "1.73_Tote_Single", short_text: "1.73", fromSpot: "RightSide", toSpot: "LeftSide", container: "Tote", form: "Single", state: "Full", content: "Each", size: "Varies", flow_id: "Main connector_IO connector", sequence_id: "317", orientation: "Lengthwise", flow_color: "rgb(255,199,1)", arrowhead_color: "rgb(113,190,138)", comments: "The filled totes now move to the IO connector for subsequent operations", containers_per_stack: "", throughput_per_minute: "1.7328" },
{ from: "IO connector", to: "Tote closer", long_text: "1.82_Tote_Single", short_text: "1.82", fromSpot: "BottomSide", toSpot: "TopSide", container: "Tote", form: "Single", state: "Full", content: "Each", size: "Varies", flow_id: "IO connector_Tote closer", sequence_id: "318", orientation: "Lengthwise", flow_color: "rgb(255,199,1)", arrowhead_color: "rgb(113,190,138)", comments: "For tottes which are complete, they move on to the tote closer for closing the tote", containers_per_stack: "", throughput_per_minute: "1.824" },</v>
      </c>
    </row>
    <row r="77" spans="1:49">
      <c r="A77" s="230"/>
      <c r="B77"/>
      <c r="C77"/>
      <c r="D77"/>
      <c r="E77"/>
      <c r="F77" s="7" t="s">
        <v>376</v>
      </c>
      <c r="G77" s="238">
        <v>0.3</v>
      </c>
      <c r="S77" s="242" t="s">
        <v>139</v>
      </c>
      <c r="T77" s="243"/>
      <c r="U77" s="243"/>
      <c r="V77" s="243">
        <v>600</v>
      </c>
      <c r="W77" s="22">
        <v>200</v>
      </c>
      <c r="X77" s="22"/>
      <c r="Y77" s="22"/>
      <c r="Z77" t="str">
        <f t="shared" si="28"/>
        <v xml:space="preserve">
{ key: "VAS", loc: new go.Point(420, 140), release: "" },</v>
      </c>
      <c r="AA77"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
{ key: "VAS", loc: new go.Point(420, 140), release: "" },</v>
      </c>
      <c r="AB77">
        <f t="shared" si="9"/>
        <v>36</v>
      </c>
      <c r="AC77" t="str">
        <f t="shared" si="10"/>
        <v>Tote closer_IO connector</v>
      </c>
      <c r="AD77" s="22" t="s">
        <v>128</v>
      </c>
      <c r="AE77" s="22" t="s">
        <v>154</v>
      </c>
      <c r="AF77" s="22" t="str">
        <f t="shared" si="18"/>
        <v>Tote</v>
      </c>
      <c r="AG77" s="22" t="s">
        <v>232</v>
      </c>
      <c r="AH77" s="22" t="s">
        <v>336</v>
      </c>
      <c r="AI77" s="22" t="str">
        <f t="shared" si="24"/>
        <v>Each</v>
      </c>
      <c r="AJ77" s="22" t="str">
        <f t="shared" si="27"/>
        <v>Varies</v>
      </c>
      <c r="AK77" s="22" t="s">
        <v>248</v>
      </c>
      <c r="AL77" s="22" t="s">
        <v>333</v>
      </c>
      <c r="AM77" s="22">
        <f t="shared" si="25"/>
        <v>319</v>
      </c>
      <c r="AN77" s="22" t="s">
        <v>542</v>
      </c>
      <c r="AP77" s="10">
        <f>AP76</f>
        <v>1.8239999999999994</v>
      </c>
      <c r="AQ77" s="12" t="str">
        <f t="shared" si="12"/>
        <v>rgb(255,199,1)</v>
      </c>
      <c r="AR77" s="12" t="str">
        <f t="shared" si="13"/>
        <v>rgb(113,190,138)</v>
      </c>
      <c r="AS77" t="str">
        <f t="shared" si="14"/>
        <v>↑1.82_Tote_Single_Full_Lengthwise</v>
      </c>
      <c r="AT77" t="str">
        <f t="shared" si="15"/>
        <v>Tote closer [1.82] IO connector</v>
      </c>
      <c r="AU77" s="22" t="s">
        <v>512</v>
      </c>
      <c r="AV77" t="str">
        <f t="shared" si="16"/>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v>
      </c>
      <c r="AW77"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v>
      </c>
    </row>
    <row r="78" spans="1:49">
      <c r="B78"/>
      <c r="C78"/>
      <c r="D78"/>
      <c r="E78"/>
      <c r="F78" s="7" t="s">
        <v>377</v>
      </c>
      <c r="G78" s="238">
        <v>0.05</v>
      </c>
      <c r="S78" s="243" t="s">
        <v>69</v>
      </c>
      <c r="T78" s="243" t="s">
        <v>397</v>
      </c>
      <c r="U78" s="243"/>
      <c r="V78" s="243"/>
      <c r="W78" s="22"/>
      <c r="X78" s="243"/>
      <c r="Y78" s="243"/>
      <c r="Z78" t="str">
        <f t="shared" si="28"/>
        <v xml:space="preserve">
{ key: "Stacker", isGroup: true},</v>
      </c>
      <c r="AA78"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
{ key: "VAS", loc: new go.Point(420, 140), release: "" },
{ key: "Stacker", isGroup: true},</v>
      </c>
      <c r="AB78">
        <f t="shared" si="9"/>
        <v>37</v>
      </c>
      <c r="AC78" t="str">
        <f t="shared" si="10"/>
        <v>IO connector_Stacking</v>
      </c>
      <c r="AD78" s="22" t="s">
        <v>154</v>
      </c>
      <c r="AE78" s="22" t="s">
        <v>120</v>
      </c>
      <c r="AF78" s="22" t="str">
        <f t="shared" si="18"/>
        <v>Tote</v>
      </c>
      <c r="AG78" s="22" t="s">
        <v>232</v>
      </c>
      <c r="AH78" s="22" t="s">
        <v>336</v>
      </c>
      <c r="AI78" s="22" t="str">
        <f t="shared" si="24"/>
        <v>Each</v>
      </c>
      <c r="AJ78" s="22" t="str">
        <f t="shared" si="27"/>
        <v>Varies</v>
      </c>
      <c r="AK78" s="22" t="s">
        <v>248</v>
      </c>
      <c r="AL78" s="22" t="s">
        <v>334</v>
      </c>
      <c r="AM78" s="22">
        <f t="shared" si="25"/>
        <v>320</v>
      </c>
      <c r="AN78" s="22" t="s">
        <v>543</v>
      </c>
      <c r="AP78" s="12">
        <f>AP77</f>
        <v>1.8239999999999994</v>
      </c>
      <c r="AQ78" s="12" t="str">
        <f t="shared" si="12"/>
        <v>rgb(255,199,1)</v>
      </c>
      <c r="AR78" s="12" t="str">
        <f t="shared" si="13"/>
        <v>rgb(113,190,138)</v>
      </c>
      <c r="AS78" t="str">
        <f t="shared" si="14"/>
        <v>→1.82_Tote_Single_Full_Lengthwise</v>
      </c>
      <c r="AT78" t="str">
        <f t="shared" si="15"/>
        <v>IO connector [1.82] Stacking</v>
      </c>
      <c r="AU78" s="22"/>
      <c r="AV78" t="str">
        <f t="shared" si="16"/>
        <v xml:space="preserve">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v>
      </c>
      <c r="AW78"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v>
      </c>
    </row>
    <row r="79" spans="1:49">
      <c r="B79"/>
      <c r="C79"/>
      <c r="D79"/>
      <c r="E79"/>
      <c r="F79" s="7" t="s">
        <v>378</v>
      </c>
      <c r="G79" s="238">
        <v>0.05</v>
      </c>
      <c r="S79" s="243" t="s">
        <v>399</v>
      </c>
      <c r="T79" s="243" t="s">
        <v>397</v>
      </c>
      <c r="U79" s="243"/>
      <c r="V79" s="243"/>
      <c r="W79" s="22"/>
      <c r="X79" s="243"/>
      <c r="Y79" s="243"/>
      <c r="Z79" t="str">
        <f t="shared" si="28"/>
        <v xml:space="preserve">
{ key: "Empties management", isGroup: true},</v>
      </c>
      <c r="AA79" t="str">
        <f t="shared" si="23"/>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
{ key: "VAS", loc: new go.Point(420, 140), release: "" },
{ key: "Stacker", isGroup: true},
{ key: "Empties management", isGroup: true},</v>
      </c>
      <c r="AB79">
        <f t="shared" si="9"/>
        <v>38</v>
      </c>
      <c r="AC79" t="str">
        <f t="shared" si="10"/>
        <v>Stacking_Stack handler</v>
      </c>
      <c r="AD79" s="22" t="s">
        <v>120</v>
      </c>
      <c r="AE79" s="22" t="s">
        <v>122</v>
      </c>
      <c r="AF79" s="22" t="str">
        <f t="shared" si="18"/>
        <v>Tote</v>
      </c>
      <c r="AG79" s="22" t="s">
        <v>262</v>
      </c>
      <c r="AH79" s="22" t="s">
        <v>336</v>
      </c>
      <c r="AI79" s="22" t="str">
        <f t="shared" si="24"/>
        <v>Each</v>
      </c>
      <c r="AJ79" s="22" t="str">
        <f t="shared" si="27"/>
        <v>Varies</v>
      </c>
      <c r="AK79" s="22" t="s">
        <v>248</v>
      </c>
      <c r="AL79" s="22" t="s">
        <v>334</v>
      </c>
      <c r="AM79" s="22">
        <f t="shared" si="25"/>
        <v>321</v>
      </c>
      <c r="AN79" s="22" t="s">
        <v>544</v>
      </c>
      <c r="AO79" s="10">
        <f>$G$70</f>
        <v>3</v>
      </c>
      <c r="AP79" s="12">
        <f>AP78/G70</f>
        <v>0.60799999999999976</v>
      </c>
      <c r="AQ79" s="12" t="str">
        <f t="shared" si="12"/>
        <v>rgb(255,199,1)</v>
      </c>
      <c r="AR79" s="12" t="str">
        <f t="shared" si="13"/>
        <v>rgb(113,190,138)</v>
      </c>
      <c r="AS79" t="str">
        <f t="shared" si="14"/>
        <v>→0.61_Tote_Stack_Full_Lengthwise</v>
      </c>
      <c r="AT79" t="str">
        <f t="shared" si="15"/>
        <v>Stacking [0.61] Stack handler</v>
      </c>
      <c r="AU79" s="22"/>
      <c r="AV79" t="str">
        <f t="shared" si="16"/>
        <v xml:space="preserve">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v>
      </c>
      <c r="AW79"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v>
      </c>
    </row>
    <row r="80" spans="1:49">
      <c r="B80"/>
      <c r="C80"/>
      <c r="D80"/>
      <c r="E80"/>
      <c r="F80" s="7" t="s">
        <v>381</v>
      </c>
      <c r="G80" s="238">
        <v>0.3</v>
      </c>
      <c r="S80" s="243" t="s">
        <v>517</v>
      </c>
      <c r="T80" s="243" t="s">
        <v>397</v>
      </c>
      <c r="U80" s="243"/>
      <c r="V80" s="243"/>
      <c r="W80" s="22"/>
      <c r="X80" s="243"/>
      <c r="Y80" s="243"/>
      <c r="Z80" t="str">
        <f t="shared" si="28"/>
        <v xml:space="preserve">
{ key: "Pick cell", isGroup: true},</v>
      </c>
      <c r="AA80" t="str">
        <f t="shared" ref="AA80" si="29">AA79&amp;Z80</f>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
{ key: "VAS", loc: new go.Point(420, 140), release: "" },
{ key: "Stacker", isGroup: true},
{ key: "Empties management", isGroup: true},
{ key: "Pick cell", isGroup: true},</v>
      </c>
      <c r="AB80">
        <f t="shared" si="9"/>
        <v>39</v>
      </c>
      <c r="AC80" t="str">
        <f t="shared" si="10"/>
        <v>Stack handler_MR</v>
      </c>
      <c r="AD80" s="22" t="s">
        <v>122</v>
      </c>
      <c r="AE80" s="22" t="s">
        <v>160</v>
      </c>
      <c r="AF80" s="22" t="str">
        <f t="shared" si="18"/>
        <v>Tote</v>
      </c>
      <c r="AG80" s="22" t="s">
        <v>262</v>
      </c>
      <c r="AH80" s="22" t="s">
        <v>336</v>
      </c>
      <c r="AI80" s="22" t="str">
        <f t="shared" si="24"/>
        <v>Each</v>
      </c>
      <c r="AJ80" s="22" t="str">
        <f t="shared" si="27"/>
        <v>Varies</v>
      </c>
      <c r="AK80" s="22" t="s">
        <v>249</v>
      </c>
      <c r="AL80" s="22" t="s">
        <v>334</v>
      </c>
      <c r="AM80" s="22">
        <f t="shared" si="25"/>
        <v>322</v>
      </c>
      <c r="AN80" s="22" t="s">
        <v>545</v>
      </c>
      <c r="AO80" s="10">
        <f>$G$70</f>
        <v>3</v>
      </c>
      <c r="AP80" s="12">
        <f>AP79</f>
        <v>0.60799999999999976</v>
      </c>
      <c r="AQ80" s="12" t="str">
        <f t="shared" si="12"/>
        <v>rgb(255,199,1)</v>
      </c>
      <c r="AR80" s="12" t="str">
        <f t="shared" si="13"/>
        <v>rgb(113,190,138)</v>
      </c>
      <c r="AS80" t="str">
        <f t="shared" si="14"/>
        <v>→0.61_Tote_Stack_Full_Widthwise</v>
      </c>
      <c r="AT80" t="str">
        <f t="shared" si="15"/>
        <v>Stack handler [0.61] MR</v>
      </c>
      <c r="AU80" s="22"/>
      <c r="AV80" t="str">
        <f t="shared" si="16"/>
        <v xml:space="preserve">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v>
      </c>
      <c r="AW80"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v>
      </c>
    </row>
    <row r="81" spans="2:49">
      <c r="B81"/>
      <c r="C81"/>
      <c r="D81"/>
      <c r="E81"/>
      <c r="F81" s="7" t="s">
        <v>386</v>
      </c>
      <c r="G81" s="238">
        <v>0.1</v>
      </c>
      <c r="S81" s="243" t="s">
        <v>169</v>
      </c>
      <c r="T81" s="243"/>
      <c r="U81" s="243"/>
      <c r="V81" s="243">
        <v>900</v>
      </c>
      <c r="W81" s="22">
        <v>100</v>
      </c>
      <c r="X81" s="243" t="s">
        <v>403</v>
      </c>
      <c r="Y81" s="243"/>
      <c r="Z81" t="str">
        <f t="shared" ref="Z81" si="30">IF(X81="first","","")&amp;CHAR(10)&amp;"{ key: """&amp;S81&amp;""""&amp;IF(T81&lt;&gt;"",", isGroup: true","")&amp;IF(U81&lt;&gt;"",", group: """&amp;U81&amp;"""","")&amp;IF(T81&lt;&gt;"","}",", loc: new go.Point("&amp;V81*$X$57&amp;", "&amp;W81*$X$57&amp;"), release: """&amp;Y81&amp;""" }")&amp;IF(X81="last","],",",")</f>
        <v xml:space="preserve">
{ key: "MR pad", loc: new go.Point(630, 70), release: "" }],</v>
      </c>
      <c r="AA81" t="str">
        <f t="shared" ref="AA81" si="31">AA80&amp;Z81</f>
        <v xml:space="preserve">
{ key: "Autopack handler", group: "Pick cell", loc: new go.Point(70, 245), release: "" },
{ key: "Autopack pod", group: "Pick cell", loc: new go.Point(70, 175), release: "" },
{ key: "Buffer", group: "Empties management", loc: new go.Point(1050, 70), release: "" },
{ key: "Empties connector", group: "Empties management", loc: new go.Point(910, 210), release: "" },
{ key: "IO connector", loc: new go.Point(630, 350), release: "" },
{ key: "Main connector", loc: new go.Point(420, 350), release: "" },
{ key: "Mainline", loc: new go.Point(70, 350), release: "" },
{ key: "Manual pack", loc: new go.Point(630, 140), release: "" },
{ key: "MR", loc: new go.Point(1085, 350), release: "" },
{ key: "Shuffler", loc: new go.Point(420, 455), release: "" },
{ key: "Stack handler", loc: new go.Point(966, 350), release: "" },
{ key: "Stacking", group: "Stacker", loc: new go.Point(805, 371.7), release: "" },
{ key: "Destacking", group: "Stacker", loc: new go.Point(805, 328.3), release: "" },
{ key: "Tote closer", loc: new go.Point(700, 455), release: "" },
{ key: "Tote erector", group: "Empties management", loc: new go.Point(910, 70), release: "" },
{ key: "Tray erector", group: "Empties management", loc: new go.Point(770, 70), release: "" },
{ key: "Tote in", loc: new go.Point(665, 280), release: "" },
{ key: "Tote out", loc: new go.Point(574, 455), release: "" },
{ key: "VAS", loc: new go.Point(420, 140), release: "" },
{ key: "Stacker", isGroup: true},
{ key: "Empties management", isGroup: true},
{ key: "Pick cell", isGroup: true},
{ key: "MR pad", loc: new go.Point(630, 70), release: "" }],</v>
      </c>
      <c r="AB81">
        <f t="shared" si="9"/>
        <v>40</v>
      </c>
      <c r="AC81" t="str">
        <f t="shared" si="10"/>
        <v>Main connector_Manual pack</v>
      </c>
      <c r="AD81" s="22" t="s">
        <v>156</v>
      </c>
      <c r="AE81" s="22" t="s">
        <v>134</v>
      </c>
      <c r="AF81" s="22" t="str">
        <f t="shared" si="18"/>
        <v>Tote</v>
      </c>
      <c r="AG81" s="22" t="s">
        <v>232</v>
      </c>
      <c r="AH81" s="22" t="s">
        <v>335</v>
      </c>
      <c r="AI81" s="22" t="str">
        <f t="shared" si="24"/>
        <v>Each</v>
      </c>
      <c r="AJ81" s="22" t="str">
        <f t="shared" si="27"/>
        <v>Varies</v>
      </c>
      <c r="AK81" s="22" t="s">
        <v>249</v>
      </c>
      <c r="AL81" s="22" t="s">
        <v>333</v>
      </c>
      <c r="AM81" s="22">
        <f>AM72+1</f>
        <v>315</v>
      </c>
      <c r="AN81" s="22" t="s">
        <v>546</v>
      </c>
      <c r="AP81" s="12">
        <f>AP66*(G79+G78)</f>
        <v>0.17327999999999996</v>
      </c>
      <c r="AQ81" s="12" t="str">
        <f t="shared" si="12"/>
        <v>rgb(255,199,1)</v>
      </c>
      <c r="AR81" s="12" t="str">
        <f t="shared" si="13"/>
        <v>rgb(162,212,171)</v>
      </c>
      <c r="AS81" t="str">
        <f t="shared" si="14"/>
        <v>↑0.17_Tote_Single_Partial_Widthwise</v>
      </c>
      <c r="AT81" t="str">
        <f t="shared" si="15"/>
        <v>Main connector [0.17] Manual pack</v>
      </c>
      <c r="AU81" s="22"/>
      <c r="AV81" t="str">
        <f t="shared" si="16"/>
        <v xml:space="preserve">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v>
      </c>
      <c r="AW81"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v>
      </c>
    </row>
    <row r="82" spans="2:49">
      <c r="F82" s="7" t="s">
        <v>388</v>
      </c>
      <c r="G82" s="228">
        <v>6</v>
      </c>
      <c r="AB82">
        <f t="shared" si="9"/>
        <v>41</v>
      </c>
      <c r="AC82" t="str">
        <f t="shared" si="10"/>
        <v>Manual pack_VAS</v>
      </c>
      <c r="AD82" s="22" t="s">
        <v>134</v>
      </c>
      <c r="AE82" s="22" t="s">
        <v>139</v>
      </c>
      <c r="AF82" s="22" t="str">
        <f t="shared" si="18"/>
        <v>Tote</v>
      </c>
      <c r="AG82" s="22" t="s">
        <v>232</v>
      </c>
      <c r="AH82" s="22" t="s">
        <v>335</v>
      </c>
      <c r="AI82" s="22" t="str">
        <f t="shared" si="24"/>
        <v>Each</v>
      </c>
      <c r="AJ82" s="22" t="str">
        <f t="shared" si="27"/>
        <v>Varies</v>
      </c>
      <c r="AK82" s="22" t="s">
        <v>248</v>
      </c>
      <c r="AL82" s="22" t="s">
        <v>332</v>
      </c>
      <c r="AM82" s="22">
        <f>AM81+1</f>
        <v>316</v>
      </c>
      <c r="AN82" s="22" t="s">
        <v>547</v>
      </c>
      <c r="AP82" s="12">
        <f>AP81*G80</f>
        <v>5.1983999999999989E-2</v>
      </c>
      <c r="AQ82" s="12" t="str">
        <f t="shared" si="12"/>
        <v>rgb(255,199,1)</v>
      </c>
      <c r="AR82" s="12" t="str">
        <f t="shared" si="13"/>
        <v>rgb(162,212,171)</v>
      </c>
      <c r="AS82" t="str">
        <f t="shared" si="14"/>
        <v>←0.05_Tote_Single_Partial_Lengthwise</v>
      </c>
      <c r="AT82" t="str">
        <f t="shared" si="15"/>
        <v>Manual pack [0.05] VAS</v>
      </c>
      <c r="AU82" s="22"/>
      <c r="AV82" t="str">
        <f t="shared" si="16"/>
        <v xml:space="preserve">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v>
      </c>
      <c r="AW82"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v>
      </c>
    </row>
    <row r="83" spans="2:49">
      <c r="E83" s="7" t="s">
        <v>492</v>
      </c>
      <c r="F83" s="65" t="s">
        <v>493</v>
      </c>
      <c r="G83" s="276">
        <f>SUM(G51:G53)</f>
        <v>0.30000000000000004</v>
      </c>
      <c r="AB83">
        <f t="shared" si="9"/>
        <v>42</v>
      </c>
      <c r="AC83" t="str">
        <f t="shared" si="10"/>
        <v>VAS_Main connector</v>
      </c>
      <c r="AD83" s="22" t="s">
        <v>139</v>
      </c>
      <c r="AE83" s="22" t="s">
        <v>156</v>
      </c>
      <c r="AF83" s="22" t="str">
        <f t="shared" si="18"/>
        <v>Tote</v>
      </c>
      <c r="AG83" s="22" t="s">
        <v>232</v>
      </c>
      <c r="AH83" s="22" t="s">
        <v>336</v>
      </c>
      <c r="AI83" s="22" t="str">
        <f t="shared" si="24"/>
        <v>Each</v>
      </c>
      <c r="AJ83" s="22" t="str">
        <f t="shared" si="27"/>
        <v>Varies</v>
      </c>
      <c r="AK83" s="22" t="s">
        <v>249</v>
      </c>
      <c r="AL83" s="22" t="s">
        <v>331</v>
      </c>
      <c r="AM83" s="22">
        <f>AM82+1</f>
        <v>317</v>
      </c>
      <c r="AN83" s="22" t="s">
        <v>548</v>
      </c>
      <c r="AP83" s="12">
        <f>AP82</f>
        <v>5.1983999999999989E-2</v>
      </c>
      <c r="AQ83" s="12" t="str">
        <f t="shared" si="12"/>
        <v>rgb(255,199,1)</v>
      </c>
      <c r="AR83" s="12" t="str">
        <f t="shared" si="13"/>
        <v>rgb(113,190,138)</v>
      </c>
      <c r="AS83" t="str">
        <f t="shared" si="14"/>
        <v>↓0.05_Tote_Single_Full_Widthwise</v>
      </c>
      <c r="AT83" t="str">
        <f t="shared" si="15"/>
        <v>VAS [0.05] Main connector</v>
      </c>
      <c r="AU83" s="22"/>
      <c r="AV83" t="str">
        <f t="shared" si="16"/>
        <v xml:space="preserve">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v>
      </c>
      <c r="AW83"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v>
      </c>
    </row>
    <row r="84" spans="2:49">
      <c r="F84" s="65" t="s">
        <v>494</v>
      </c>
      <c r="G84" s="276">
        <f>1-G83</f>
        <v>0.7</v>
      </c>
      <c r="AB84">
        <f t="shared" si="9"/>
        <v>43</v>
      </c>
      <c r="AC84" t="str">
        <f t="shared" si="10"/>
        <v>Manual pack_Main connector</v>
      </c>
      <c r="AD84" s="22" t="s">
        <v>134</v>
      </c>
      <c r="AE84" s="22" t="s">
        <v>156</v>
      </c>
      <c r="AF84" s="22" t="str">
        <f t="shared" si="18"/>
        <v>Tote</v>
      </c>
      <c r="AG84" s="22" t="s">
        <v>232</v>
      </c>
      <c r="AH84" s="22" t="s">
        <v>336</v>
      </c>
      <c r="AI84" s="22" t="str">
        <f t="shared" si="24"/>
        <v>Each</v>
      </c>
      <c r="AJ84" s="22" t="str">
        <f t="shared" si="27"/>
        <v>Varies</v>
      </c>
      <c r="AK84" s="22" t="s">
        <v>249</v>
      </c>
      <c r="AL84" s="22" t="s">
        <v>331</v>
      </c>
      <c r="AM84" s="22">
        <f>AM83+1</f>
        <v>318</v>
      </c>
      <c r="AN84" s="22" t="s">
        <v>549</v>
      </c>
      <c r="AP84" s="12">
        <f>AP81-AP83</f>
        <v>0.12129599999999997</v>
      </c>
      <c r="AQ84" s="12" t="str">
        <f t="shared" si="12"/>
        <v>rgb(255,199,1)</v>
      </c>
      <c r="AR84" s="12" t="str">
        <f t="shared" si="13"/>
        <v>rgb(113,190,138)</v>
      </c>
      <c r="AS84" t="str">
        <f t="shared" si="14"/>
        <v>↓0.12_Tote_Single_Full_Widthwise</v>
      </c>
      <c r="AT84" t="str">
        <f t="shared" si="15"/>
        <v>Manual pack [0.12] Main connector</v>
      </c>
      <c r="AU84" s="22"/>
      <c r="AV84" t="str">
        <f t="shared" si="16"/>
        <v xml:space="preserve">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v>
      </c>
      <c r="AW84"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v>
      </c>
    </row>
    <row r="85" spans="2:49">
      <c r="F85" s="65" t="s">
        <v>567</v>
      </c>
      <c r="G85" s="278">
        <v>1</v>
      </c>
      <c r="AB85">
        <f t="shared" si="9"/>
        <v>44</v>
      </c>
      <c r="AC85" t="str">
        <f t="shared" si="10"/>
        <v>Main connector_Manual pack</v>
      </c>
      <c r="AD85" s="22" t="s">
        <v>156</v>
      </c>
      <c r="AE85" s="22" t="s">
        <v>134</v>
      </c>
      <c r="AF85" s="22" t="str">
        <f t="shared" ref="AF85:AF89" si="32">$AF$27</f>
        <v>Tray</v>
      </c>
      <c r="AG85" s="22" t="s">
        <v>232</v>
      </c>
      <c r="AH85" s="22" t="s">
        <v>335</v>
      </c>
      <c r="AI85" s="275" t="str">
        <f t="shared" ref="AI85:AI90" si="33">$AI$27</f>
        <v>Compartment</v>
      </c>
      <c r="AJ85" s="275" t="str">
        <f>$AJ$38</f>
        <v>All (with 1.x compartments:30%, with non 1.x compartments:70%)</v>
      </c>
      <c r="AK85" s="22" t="s">
        <v>249</v>
      </c>
      <c r="AL85" s="22" t="s">
        <v>333</v>
      </c>
      <c r="AM85" s="22">
        <f>AM46</f>
        <v>5</v>
      </c>
      <c r="AN85" s="22" t="s">
        <v>504</v>
      </c>
      <c r="AP85" s="12">
        <f>AP45*(G79+G78)</f>
        <v>0.33805418719211822</v>
      </c>
      <c r="AQ85" s="12" t="str">
        <f t="shared" si="12"/>
        <v>rgb(239,90,104)</v>
      </c>
      <c r="AR85" s="12" t="str">
        <f t="shared" si="13"/>
        <v>rgb(162,212,171)</v>
      </c>
      <c r="AS85" t="str">
        <f t="shared" si="14"/>
        <v>↑0.34_Tray_Single_Partial_Widthwise</v>
      </c>
      <c r="AT85" t="str">
        <f t="shared" si="15"/>
        <v>Main connector [0.34] Manual pack</v>
      </c>
      <c r="AU85" s="22"/>
      <c r="AV85" t="str">
        <f t="shared" si="16"/>
        <v xml:space="preserve">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v>
      </c>
      <c r="AW85"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v>
      </c>
    </row>
    <row r="86" spans="2:49">
      <c r="G86" s="229"/>
      <c r="AB86">
        <f t="shared" si="9"/>
        <v>45</v>
      </c>
      <c r="AC86" t="str">
        <f t="shared" si="10"/>
        <v>Manual pack_VAS</v>
      </c>
      <c r="AD86" s="22" t="s">
        <v>134</v>
      </c>
      <c r="AE86" s="22" t="s">
        <v>139</v>
      </c>
      <c r="AF86" s="22" t="str">
        <f t="shared" si="32"/>
        <v>Tray</v>
      </c>
      <c r="AG86" s="22" t="s">
        <v>232</v>
      </c>
      <c r="AH86" s="22" t="s">
        <v>335</v>
      </c>
      <c r="AI86" s="275" t="str">
        <f t="shared" si="33"/>
        <v>Compartment</v>
      </c>
      <c r="AJ86" s="275" t="str">
        <f>$AJ$38</f>
        <v>All (with 1.x compartments:30%, with non 1.x compartments:70%)</v>
      </c>
      <c r="AK86" s="22" t="s">
        <v>248</v>
      </c>
      <c r="AL86" s="22" t="s">
        <v>332</v>
      </c>
      <c r="AM86" s="22">
        <f>AM85+1</f>
        <v>6</v>
      </c>
      <c r="AN86" s="22" t="s">
        <v>505</v>
      </c>
      <c r="AP86" s="12">
        <f>AP85*G80</f>
        <v>0.10141625615763546</v>
      </c>
      <c r="AQ86" s="12" t="str">
        <f t="shared" si="12"/>
        <v>rgb(239,90,104)</v>
      </c>
      <c r="AR86" s="12" t="str">
        <f t="shared" si="13"/>
        <v>rgb(162,212,171)</v>
      </c>
      <c r="AS86" t="str">
        <f t="shared" si="14"/>
        <v>←0.1_Tray_Single_Partial_Lengthwise</v>
      </c>
      <c r="AT86" t="str">
        <f t="shared" si="15"/>
        <v>Manual pack [0.1] VAS</v>
      </c>
      <c r="AU86" s="22"/>
      <c r="AV86" t="str">
        <f t="shared" si="16"/>
        <v xml:space="preserve">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v>
      </c>
      <c r="AW86"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v>
      </c>
    </row>
    <row r="87" spans="2:49">
      <c r="B87" s="231"/>
      <c r="C87" s="231"/>
      <c r="D87" s="231"/>
      <c r="E87" s="231"/>
      <c r="F87" s="231"/>
      <c r="G87" s="232"/>
      <c r="AB87">
        <f t="shared" si="9"/>
        <v>46</v>
      </c>
      <c r="AC87" t="str">
        <f t="shared" si="10"/>
        <v>VAS_Main connector</v>
      </c>
      <c r="AD87" s="22" t="s">
        <v>139</v>
      </c>
      <c r="AE87" s="22" t="s">
        <v>156</v>
      </c>
      <c r="AF87" s="22" t="str">
        <f t="shared" si="32"/>
        <v>Tray</v>
      </c>
      <c r="AG87" s="22" t="s">
        <v>232</v>
      </c>
      <c r="AH87" s="22" t="s">
        <v>335</v>
      </c>
      <c r="AI87" s="275" t="str">
        <f t="shared" si="33"/>
        <v>Compartment</v>
      </c>
      <c r="AJ87" s="275" t="str">
        <f>$AJ$38</f>
        <v>All (with 1.x compartments:30%, with non 1.x compartments:70%)</v>
      </c>
      <c r="AK87" s="22" t="s">
        <v>249</v>
      </c>
      <c r="AL87" s="22" t="s">
        <v>331</v>
      </c>
      <c r="AM87" s="22">
        <f>AM86+1</f>
        <v>7</v>
      </c>
      <c r="AN87" s="22" t="s">
        <v>506</v>
      </c>
      <c r="AP87" s="12">
        <f>AP86</f>
        <v>0.10141625615763546</v>
      </c>
      <c r="AQ87" s="12" t="str">
        <f t="shared" si="12"/>
        <v>rgb(239,90,104)</v>
      </c>
      <c r="AR87" s="12" t="str">
        <f t="shared" si="13"/>
        <v>rgb(162,212,171)</v>
      </c>
      <c r="AS87" t="str">
        <f t="shared" si="14"/>
        <v>↓0.1_Tray_Single_Partial_Widthwise</v>
      </c>
      <c r="AT87" t="str">
        <f t="shared" si="15"/>
        <v>VAS [0.1] Main connector</v>
      </c>
      <c r="AU87" s="22"/>
      <c r="AV87" t="str">
        <f t="shared" si="16"/>
        <v xml:space="preserve">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v>
      </c>
      <c r="AW87"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v>
      </c>
    </row>
    <row r="88" spans="2:49">
      <c r="AB88">
        <f t="shared" si="9"/>
        <v>47</v>
      </c>
      <c r="AC88" t="str">
        <f t="shared" si="10"/>
        <v>Manual pack_Main connector</v>
      </c>
      <c r="AD88" s="22" t="s">
        <v>134</v>
      </c>
      <c r="AE88" s="22" t="s">
        <v>156</v>
      </c>
      <c r="AF88" s="22" t="str">
        <f t="shared" si="32"/>
        <v>Tray</v>
      </c>
      <c r="AG88" s="22" t="s">
        <v>232</v>
      </c>
      <c r="AH88" s="22" t="s">
        <v>335</v>
      </c>
      <c r="AI88" s="275" t="str">
        <f t="shared" si="33"/>
        <v>Compartment</v>
      </c>
      <c r="AJ88" s="275" t="str">
        <f>$AJ$38</f>
        <v>All (with 1.x compartments:30%, with non 1.x compartments:70%)</v>
      </c>
      <c r="AK88" s="22" t="s">
        <v>249</v>
      </c>
      <c r="AL88" s="22" t="s">
        <v>331</v>
      </c>
      <c r="AM88" s="22">
        <f>AM86</f>
        <v>6</v>
      </c>
      <c r="AN88" s="22" t="s">
        <v>507</v>
      </c>
      <c r="AP88" s="12">
        <f>AP85-AP87</f>
        <v>0.23663793103448277</v>
      </c>
      <c r="AQ88" s="12" t="str">
        <f t="shared" si="12"/>
        <v>rgb(239,90,104)</v>
      </c>
      <c r="AR88" s="12" t="str">
        <f t="shared" si="13"/>
        <v>rgb(162,212,171)</v>
      </c>
      <c r="AS88" t="str">
        <f t="shared" si="14"/>
        <v>↓0.24_Tray_Single_Partial_Widthwise</v>
      </c>
      <c r="AT88" t="str">
        <f t="shared" si="15"/>
        <v>Manual pack [0.24] Main connector</v>
      </c>
      <c r="AU88" s="22"/>
      <c r="AV88" t="str">
        <f t="shared" si="16"/>
        <v xml:space="preserve">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v>
      </c>
      <c r="AW88" t="str">
        <f t="shared" si="17"/>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v>
      </c>
    </row>
    <row r="89" spans="2:49">
      <c r="AB89">
        <f t="shared" ref="AB89:AB95" si="34">AB88+1</f>
        <v>48</v>
      </c>
      <c r="AC89" t="str">
        <f t="shared" ref="AC89:AC95" si="35">AD89&amp;"_"&amp;AE89</f>
        <v>Tray erector_Empties connector</v>
      </c>
      <c r="AD89" s="22" t="s">
        <v>153</v>
      </c>
      <c r="AE89" s="22" t="s">
        <v>152</v>
      </c>
      <c r="AF89" s="22" t="str">
        <f t="shared" si="32"/>
        <v>Tray</v>
      </c>
      <c r="AG89" s="22" t="s">
        <v>232</v>
      </c>
      <c r="AH89" s="22" t="s">
        <v>337</v>
      </c>
      <c r="AI89" s="22" t="str">
        <f>$AI$33</f>
        <v>Empty</v>
      </c>
      <c r="AJ89" s="22" t="str">
        <f t="shared" ref="AJ89:AJ93" si="36">$AJ$31</f>
        <v>1.m</v>
      </c>
      <c r="AK89" s="22" t="s">
        <v>248</v>
      </c>
      <c r="AL89" s="22" t="s">
        <v>331</v>
      </c>
      <c r="AM89" s="22">
        <f>AM111+1</f>
        <v>103</v>
      </c>
      <c r="AN89" s="22" t="s">
        <v>552</v>
      </c>
      <c r="AO89" s="10"/>
      <c r="AP89" s="12">
        <f>AP65</f>
        <v>9.1199999999999948E-2</v>
      </c>
      <c r="AQ89" s="12" t="str">
        <f t="shared" ref="AQ89" si="37">VLOOKUP(AF89,$S$41:$T$51,2,FALSE)</f>
        <v>rgb(239,90,104)</v>
      </c>
      <c r="AR89" s="12" t="str">
        <f t="shared" ref="AR89" si="38">VLOOKUP(AH89,$W$41:$X$51,2,FALSE)</f>
        <v>rgb(194,220,188)</v>
      </c>
      <c r="AS89" t="str">
        <f t="shared" ref="AS89" si="39">VLOOKUP(AL89,$U$41:$V$51,2,FALSE)&amp;ROUND(AP89,2)&amp;"_"&amp;AF89&amp;"_"&amp;AG89&amp;"_"&amp;AH89&amp;"_"&amp;AK89</f>
        <v>↓0.09_Tray_Single_Empty_Lengthwise</v>
      </c>
      <c r="AT89" t="str">
        <f t="shared" ref="AT89" si="40">AD89&amp;" ["&amp;ROUND(AP89,2)&amp;"] "&amp;AE89</f>
        <v>Tray erector [0.09] Empties connector</v>
      </c>
      <c r="AU89" s="22"/>
      <c r="AV89" t="str">
        <f t="shared" ref="AV89" si="41">IF(AU89="first","","")&amp;CHAR(10)&amp;"{ from: """&amp;AD89&amp;""", to: """&amp;AE89&amp;""", long_text: """&amp;ROUND(AP89,2)&amp;"_"&amp;AF89&amp;"_"&amp;AG89&amp;""", short_text: """&amp;ROUND(AP89,2)&amp;""", fromSpot: """&amp;IF(AL89="Down","BottomSide",IF(AL89="Up","TopSide",IF(AL89="Left","LeftSide","RightSide")))&amp;""", toSpot: """&amp;IF(AL89="Down","TopSide",IF(AL89="Up","BottomSide",IF(AL89="Left","RightSide","LeftSide")))&amp;""", container: """&amp;AF89&amp;""", form: """&amp;AG89&amp;""", state: """&amp;AH89&amp;""", content: """&amp;AI89&amp;""", size: """&amp;AJ89&amp;""", flow_id: """&amp;AC89&amp;""", sequence_id: """&amp;AM89&amp;""", orientation: """&amp;AK89&amp;""", flow_color: """&amp;AQ89&amp;""", arrowhead_color: """&amp;AR89&amp;""", comments: """&amp;AN89&amp;""", containers_per_stack: """&amp;AO89&amp;""", throughput_per_minute: """&amp;AP89&amp;""" }"&amp;IF(AU89="last",CHAR(10)&amp;"]);",",")</f>
        <v xml:space="preserve">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v>
      </c>
      <c r="AW89" t="str">
        <f t="shared" ref="AW89" si="42">IF(AND(AU89&lt;&gt;"",AU89&lt;&gt;"last"),AV89,AW88&amp;AV89)</f>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v>
      </c>
    </row>
    <row r="90" spans="2:49">
      <c r="AB90">
        <f t="shared" si="34"/>
        <v>49</v>
      </c>
      <c r="AC90" t="str">
        <f t="shared" si="35"/>
        <v>Empties connector_Tote in</v>
      </c>
      <c r="AD90" s="22" t="s">
        <v>152</v>
      </c>
      <c r="AE90" s="22" t="s">
        <v>155</v>
      </c>
      <c r="AF90" s="22" t="s">
        <v>52</v>
      </c>
      <c r="AG90" s="22" t="s">
        <v>232</v>
      </c>
      <c r="AH90" s="22" t="s">
        <v>337</v>
      </c>
      <c r="AI90" s="22" t="str">
        <f t="shared" si="33"/>
        <v>Compartment</v>
      </c>
      <c r="AJ90" s="22" t="str">
        <f t="shared" si="36"/>
        <v>1.m</v>
      </c>
      <c r="AK90" s="22" t="s">
        <v>248</v>
      </c>
      <c r="AL90" s="22" t="s">
        <v>332</v>
      </c>
      <c r="AM90" s="22">
        <f>AM89+1</f>
        <v>104</v>
      </c>
      <c r="AN90" s="22" t="s">
        <v>508</v>
      </c>
      <c r="AP90" s="10">
        <f>AP89</f>
        <v>9.1199999999999948E-2</v>
      </c>
      <c r="AQ90" s="12" t="str">
        <f t="shared" ref="AQ90:AQ95" si="43">VLOOKUP(AF90,$S$41:$T$51,2,FALSE)</f>
        <v>rgb(239,90,104)</v>
      </c>
      <c r="AR90" s="12" t="str">
        <f t="shared" ref="AR90:AR95" si="44">VLOOKUP(AH90,$W$41:$X$51,2,FALSE)</f>
        <v>rgb(194,220,188)</v>
      </c>
      <c r="AS90" t="str">
        <f t="shared" ref="AS90:AS95" si="45">VLOOKUP(AL90,$U$41:$V$51,2,FALSE)&amp;ROUND(AP90,2)&amp;"_"&amp;AF90&amp;"_"&amp;AG90&amp;"_"&amp;AH90&amp;"_"&amp;AK90</f>
        <v>←0.09_Tray_Single_Empty_Lengthwise</v>
      </c>
      <c r="AT90" t="str">
        <f t="shared" ref="AT90:AT95" si="46">AD90&amp;" ["&amp;ROUND(AP90,2)&amp;"] "&amp;AE90</f>
        <v>Empties connector [0.09] Tote in</v>
      </c>
      <c r="AU90" s="22"/>
      <c r="AV90" t="str">
        <f t="shared" ref="AV90:AV95" si="47">IF(AU90="first","","")&amp;CHAR(10)&amp;"{ from: """&amp;AD90&amp;""", to: """&amp;AE90&amp;""", long_text: """&amp;ROUND(AP90,2)&amp;"_"&amp;AF90&amp;"_"&amp;AG90&amp;""", short_text: """&amp;ROUND(AP90,2)&amp;""", fromSpot: """&amp;IF(AL90="Down","BottomSide",IF(AL90="Up","TopSide",IF(AL90="Left","LeftSide","RightSide")))&amp;""", toSpot: """&amp;IF(AL90="Down","TopSide",IF(AL90="Up","BottomSide",IF(AL90="Left","RightSide","LeftSide")))&amp;""", container: """&amp;AF90&amp;""", form: """&amp;AG90&amp;""", state: """&amp;AH90&amp;""", content: """&amp;AI90&amp;""", size: """&amp;AJ90&amp;""", flow_id: """&amp;AC90&amp;""", sequence_id: """&amp;AM90&amp;""", orientation: """&amp;AK90&amp;""", flow_color: """&amp;AQ90&amp;""", arrowhead_color: """&amp;AR90&amp;""", comments: """&amp;AN90&amp;""", containers_per_stack: """&amp;AO90&amp;""", throughput_per_minute: """&amp;AP90&amp;""" }"&amp;IF(AU90="last",CHAR(10)&amp;"]);",",")</f>
        <v xml:space="preserve">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v>
      </c>
      <c r="AW90" t="str">
        <f t="shared" ref="AW90:AW95" si="48">IF(AND(AU90&lt;&gt;"",AU90&lt;&gt;"last"),AV90,AW89&amp;AV90)</f>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v>
      </c>
    </row>
    <row r="91" spans="2:49">
      <c r="AB91">
        <f t="shared" si="34"/>
        <v>50</v>
      </c>
      <c r="AC91" t="str">
        <f t="shared" si="35"/>
        <v>Tote in_IO connector</v>
      </c>
      <c r="AD91" s="22" t="s">
        <v>155</v>
      </c>
      <c r="AE91" s="22" t="s">
        <v>154</v>
      </c>
      <c r="AF91" s="22" t="s">
        <v>52</v>
      </c>
      <c r="AG91" s="22" t="s">
        <v>232</v>
      </c>
      <c r="AH91" s="22" t="s">
        <v>337</v>
      </c>
      <c r="AI91" s="22" t="str">
        <f>$AI$31</f>
        <v>Tote</v>
      </c>
      <c r="AJ91" s="22" t="str">
        <f t="shared" si="36"/>
        <v>1.m</v>
      </c>
      <c r="AK91" s="22" t="s">
        <v>248</v>
      </c>
      <c r="AL91" s="22" t="s">
        <v>331</v>
      </c>
      <c r="AM91" s="22">
        <f>AM90+1</f>
        <v>105</v>
      </c>
      <c r="AN91" s="22" t="s">
        <v>509</v>
      </c>
      <c r="AP91" s="12">
        <f>AP90</f>
        <v>9.1199999999999948E-2</v>
      </c>
      <c r="AQ91" s="12" t="str">
        <f t="shared" si="43"/>
        <v>rgb(239,90,104)</v>
      </c>
      <c r="AR91" s="12" t="str">
        <f t="shared" si="44"/>
        <v>rgb(194,220,188)</v>
      </c>
      <c r="AS91" t="str">
        <f t="shared" si="45"/>
        <v>↓0.09_Tray_Single_Empty_Lengthwise</v>
      </c>
      <c r="AT91" t="str">
        <f t="shared" si="46"/>
        <v>Tote in [0.09] IO connector</v>
      </c>
      <c r="AU91" s="22"/>
      <c r="AV91" t="str">
        <f t="shared" si="47"/>
        <v xml:space="preserve">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v>
      </c>
      <c r="AW91" t="str">
        <f t="shared" si="48"/>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v>
      </c>
    </row>
    <row r="92" spans="2:49">
      <c r="AB92">
        <f t="shared" si="34"/>
        <v>51</v>
      </c>
      <c r="AC92" t="str">
        <f t="shared" si="35"/>
        <v>IO connector_Tote out</v>
      </c>
      <c r="AD92" s="22" t="s">
        <v>154</v>
      </c>
      <c r="AE92" s="22" t="s">
        <v>162</v>
      </c>
      <c r="AF92" s="22" t="s">
        <v>52</v>
      </c>
      <c r="AG92" s="22" t="s">
        <v>232</v>
      </c>
      <c r="AH92" s="22" t="s">
        <v>337</v>
      </c>
      <c r="AI92" s="22" t="str">
        <f>$AI$31</f>
        <v>Tote</v>
      </c>
      <c r="AJ92" s="22" t="str">
        <f t="shared" si="36"/>
        <v>1.m</v>
      </c>
      <c r="AK92" s="22" t="s">
        <v>248</v>
      </c>
      <c r="AL92" s="22" t="s">
        <v>331</v>
      </c>
      <c r="AM92" s="22">
        <f>AM102+1</f>
        <v>113</v>
      </c>
      <c r="AN92" s="22" t="s">
        <v>510</v>
      </c>
      <c r="AP92" s="10">
        <f>AP90</f>
        <v>9.1199999999999948E-2</v>
      </c>
      <c r="AQ92" s="12" t="str">
        <f t="shared" si="43"/>
        <v>rgb(239,90,104)</v>
      </c>
      <c r="AR92" s="12" t="str">
        <f t="shared" si="44"/>
        <v>rgb(194,220,188)</v>
      </c>
      <c r="AS92" t="str">
        <f t="shared" si="45"/>
        <v>↓0.09_Tray_Single_Empty_Lengthwise</v>
      </c>
      <c r="AT92" t="str">
        <f t="shared" si="46"/>
        <v>IO connector [0.09] Tote out</v>
      </c>
      <c r="AU92" s="22"/>
      <c r="AV92" t="str">
        <f t="shared" si="47"/>
        <v xml:space="preserve">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v>
      </c>
      <c r="AW92" t="str">
        <f t="shared" si="48"/>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v>
      </c>
    </row>
    <row r="93" spans="2:49">
      <c r="AB93">
        <f t="shared" si="34"/>
        <v>52</v>
      </c>
      <c r="AC93" t="str">
        <f t="shared" si="35"/>
        <v>Tote out_IO connector</v>
      </c>
      <c r="AD93" s="22" t="s">
        <v>162</v>
      </c>
      <c r="AE93" s="22" t="s">
        <v>154</v>
      </c>
      <c r="AF93" s="22" t="s">
        <v>52</v>
      </c>
      <c r="AG93" s="22" t="s">
        <v>232</v>
      </c>
      <c r="AH93" s="22" t="s">
        <v>337</v>
      </c>
      <c r="AI93" s="22" t="str">
        <f>$AI$27</f>
        <v>Compartment</v>
      </c>
      <c r="AJ93" s="22" t="str">
        <f t="shared" si="36"/>
        <v>1.m</v>
      </c>
      <c r="AK93" s="22" t="s">
        <v>248</v>
      </c>
      <c r="AL93" s="22" t="s">
        <v>333</v>
      </c>
      <c r="AM93" s="22">
        <f>AM92+1</f>
        <v>114</v>
      </c>
      <c r="AN93" s="22" t="s">
        <v>511</v>
      </c>
      <c r="AP93" s="10">
        <f>AP92</f>
        <v>9.1199999999999948E-2</v>
      </c>
      <c r="AQ93" s="12" t="str">
        <f t="shared" si="43"/>
        <v>rgb(239,90,104)</v>
      </c>
      <c r="AR93" s="12" t="str">
        <f t="shared" si="44"/>
        <v>rgb(194,220,188)</v>
      </c>
      <c r="AS93" t="str">
        <f t="shared" si="45"/>
        <v>↑0.09_Tray_Single_Empty_Lengthwise</v>
      </c>
      <c r="AT93" t="str">
        <f t="shared" si="46"/>
        <v>Tote out [0.09] IO connector</v>
      </c>
      <c r="AU93" s="22"/>
      <c r="AV93" t="str">
        <f t="shared" si="47"/>
        <v xml:space="preserve">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v>
      </c>
      <c r="AW93" t="str">
        <f t="shared" si="48"/>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v>
      </c>
    </row>
    <row r="94" spans="2:49">
      <c r="AB94">
        <f t="shared" si="34"/>
        <v>53</v>
      </c>
      <c r="AC94" t="str">
        <f t="shared" si="35"/>
        <v>Tote out_IO connector</v>
      </c>
      <c r="AD94" s="22" t="s">
        <v>162</v>
      </c>
      <c r="AE94" s="22" t="s">
        <v>154</v>
      </c>
      <c r="AF94" s="22" t="s">
        <v>231</v>
      </c>
      <c r="AG94" s="22" t="s">
        <v>232</v>
      </c>
      <c r="AH94" s="22" t="s">
        <v>336</v>
      </c>
      <c r="AI94" s="22" t="str">
        <f t="shared" ref="AI94" si="49">$AI$32</f>
        <v>Each</v>
      </c>
      <c r="AJ94" s="22" t="str">
        <f t="shared" ref="AJ94" si="50">$AJ$39</f>
        <v>Varies</v>
      </c>
      <c r="AK94" s="22" t="s">
        <v>248</v>
      </c>
      <c r="AL94" s="22" t="s">
        <v>333</v>
      </c>
      <c r="AM94" s="22">
        <f>AM92+1</f>
        <v>114</v>
      </c>
      <c r="AN94" s="22" t="s">
        <v>550</v>
      </c>
      <c r="AP94" s="10">
        <f>AP93</f>
        <v>9.1199999999999948E-2</v>
      </c>
      <c r="AQ94" s="12" t="str">
        <f t="shared" si="43"/>
        <v>rgb(255,199,1)</v>
      </c>
      <c r="AR94" s="12" t="str">
        <f t="shared" si="44"/>
        <v>rgb(113,190,138)</v>
      </c>
      <c r="AS94" t="str">
        <f t="shared" si="45"/>
        <v>↑0.09_Tote_Single_Full_Lengthwise</v>
      </c>
      <c r="AT94" t="str">
        <f t="shared" si="46"/>
        <v>Tote out [0.09] IO connector</v>
      </c>
      <c r="AU94" s="22"/>
      <c r="AV94" t="str">
        <f t="shared" si="47"/>
        <v xml:space="preserve">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v>
      </c>
      <c r="AW94" t="str">
        <f t="shared" si="48"/>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v>
      </c>
    </row>
    <row r="95" spans="2:49">
      <c r="AB95">
        <f t="shared" si="34"/>
        <v>54</v>
      </c>
      <c r="AC95" t="str">
        <f t="shared" si="35"/>
        <v>Destacking_IO connector</v>
      </c>
      <c r="AD95" s="22" t="s">
        <v>482</v>
      </c>
      <c r="AE95" s="22" t="s">
        <v>154</v>
      </c>
      <c r="AF95" s="22" t="str">
        <f>$AF$28</f>
        <v>Tote</v>
      </c>
      <c r="AG95" s="22" t="s">
        <v>232</v>
      </c>
      <c r="AH95" s="22" t="s">
        <v>337</v>
      </c>
      <c r="AI95" s="22" t="str">
        <f>$AI$33</f>
        <v>Empty</v>
      </c>
      <c r="AJ95" s="22" t="str">
        <f t="shared" ref="AJ95" si="51">$AJ$40</f>
        <v>None</v>
      </c>
      <c r="AK95" s="22" t="s">
        <v>248</v>
      </c>
      <c r="AL95" s="22" t="s">
        <v>332</v>
      </c>
      <c r="AM95" s="22">
        <f>AM64+1</f>
        <v>307</v>
      </c>
      <c r="AN95" s="22" t="s">
        <v>530</v>
      </c>
      <c r="AP95" s="12">
        <f>AP64</f>
        <v>1.7327999999999995</v>
      </c>
      <c r="AQ95" s="12" t="str">
        <f t="shared" si="43"/>
        <v>rgb(255,199,1)</v>
      </c>
      <c r="AR95" s="12" t="str">
        <f t="shared" si="44"/>
        <v>rgb(194,220,188)</v>
      </c>
      <c r="AS95" t="str">
        <f t="shared" si="45"/>
        <v>←1.73_Tote_Single_Empty_Lengthwise</v>
      </c>
      <c r="AT95" t="str">
        <f t="shared" si="46"/>
        <v>Destacking [1.73] IO connector</v>
      </c>
      <c r="AU95" s="22"/>
      <c r="AV95" t="str">
        <f t="shared" si="47"/>
        <v xml:space="preserve">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v>
      </c>
      <c r="AW95" t="str">
        <f t="shared" si="48"/>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v>
      </c>
    </row>
    <row r="96" spans="2:49">
      <c r="AB96">
        <f t="shared" ref="AB96:AB113" si="52">AB95+1</f>
        <v>55</v>
      </c>
      <c r="AC96" t="str">
        <f t="shared" ref="AC96:AC102" si="53">AD96&amp;"_"&amp;AE96</f>
        <v>IO connector_Main connector</v>
      </c>
      <c r="AD96" s="22" t="s">
        <v>154</v>
      </c>
      <c r="AE96" s="22" t="s">
        <v>156</v>
      </c>
      <c r="AF96" s="22" t="str">
        <f t="shared" ref="AF96:AF104" si="54">$AF$27</f>
        <v>Tray</v>
      </c>
      <c r="AG96" s="22" t="s">
        <v>232</v>
      </c>
      <c r="AH96" s="22" t="str">
        <f>AH91</f>
        <v>Empty</v>
      </c>
      <c r="AI96" s="275" t="str">
        <f>AI91</f>
        <v>Tote</v>
      </c>
      <c r="AJ96" s="275" t="str">
        <f>AJ91</f>
        <v>1.m</v>
      </c>
      <c r="AK96" s="22" t="s">
        <v>248</v>
      </c>
      <c r="AL96" s="22" t="s">
        <v>332</v>
      </c>
      <c r="AM96" s="22">
        <f>AM91+1</f>
        <v>106</v>
      </c>
      <c r="AN96" s="22" t="s">
        <v>488</v>
      </c>
      <c r="AP96" s="12">
        <f>AP91</f>
        <v>9.1199999999999948E-2</v>
      </c>
      <c r="AQ96" s="12" t="str">
        <f t="shared" ref="AQ96:AQ102" si="55">VLOOKUP(AF96,$S$41:$T$51,2,FALSE)</f>
        <v>rgb(239,90,104)</v>
      </c>
      <c r="AR96" s="12" t="str">
        <f t="shared" ref="AR96:AR102" si="56">VLOOKUP(AH96,$W$41:$X$51,2,FALSE)</f>
        <v>rgb(194,220,188)</v>
      </c>
      <c r="AS96" t="str">
        <f t="shared" ref="AS96:AS102" si="57">VLOOKUP(AL96,$U$41:$V$51,2,FALSE)&amp;ROUND(AP96,2)&amp;"_"&amp;AF96&amp;"_"&amp;AG96&amp;"_"&amp;AH96&amp;"_"&amp;AK96</f>
        <v>←0.09_Tray_Single_Empty_Lengthwise</v>
      </c>
      <c r="AT96" t="str">
        <f t="shared" ref="AT96:AT102" si="58">AD96&amp;" ["&amp;ROUND(AP96,2)&amp;"] "&amp;AE96</f>
        <v>IO connector [0.09] Main connector</v>
      </c>
      <c r="AU96" s="22"/>
      <c r="AV96" t="str">
        <f t="shared" ref="AV96:AV100" si="59">IF(AU96="first","","")&amp;CHAR(10)&amp;"{ from: """&amp;AD96&amp;""", to: """&amp;AE96&amp;""", long_text: """&amp;ROUND(AP96,2)&amp;"_"&amp;AF96&amp;"_"&amp;AG96&amp;""", short_text: """&amp;ROUND(AP96,2)&amp;""", fromSpot: """&amp;IF(AL96="Down","BottomSide",IF(AL96="Up","TopSide",IF(AL96="Left","LeftSide","RightSide")))&amp;""", toSpot: """&amp;IF(AL96="Down","TopSide",IF(AL96="Up","BottomSide",IF(AL96="Left","RightSide","LeftSide")))&amp;""", container: """&amp;AF96&amp;""", form: """&amp;AG96&amp;""", state: """&amp;AH96&amp;""", content: """&amp;AI96&amp;""", size: """&amp;AJ96&amp;""", flow_id: """&amp;AC96&amp;""", sequence_id: """&amp;AM96&amp;""", orientation: """&amp;AK96&amp;""", flow_color: """&amp;AQ96&amp;""", arrowhead_color: """&amp;AR96&amp;""", comments: """&amp;AN96&amp;""", containers_per_stack: """&amp;AO96&amp;""", throughput_per_minute: """&amp;AP96&amp;""" }"&amp;IF(AU96="last",CHAR(10)&amp;"]);",",")</f>
        <v xml:space="preserve">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v>
      </c>
      <c r="AW96" t="str">
        <f t="shared" ref="AW96:AW100" si="60">IF(AND(AU96&lt;&gt;"",AU96&lt;&gt;"last"),AV96,AW95&amp;AV96)</f>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v>
      </c>
    </row>
    <row r="97" spans="28:49">
      <c r="AB97">
        <f t="shared" si="52"/>
        <v>56</v>
      </c>
      <c r="AC97" t="str">
        <f t="shared" si="53"/>
        <v>Main connector_Mainline</v>
      </c>
      <c r="AD97" s="22" t="s">
        <v>156</v>
      </c>
      <c r="AE97" s="22" t="s">
        <v>159</v>
      </c>
      <c r="AF97" s="22" t="str">
        <f t="shared" si="54"/>
        <v>Tray</v>
      </c>
      <c r="AG97" s="22" t="s">
        <v>232</v>
      </c>
      <c r="AH97" s="22" t="s">
        <v>337</v>
      </c>
      <c r="AI97" s="275" t="s">
        <v>231</v>
      </c>
      <c r="AJ97" s="275" t="s">
        <v>272</v>
      </c>
      <c r="AK97" s="22" t="s">
        <v>248</v>
      </c>
      <c r="AL97" s="22" t="s">
        <v>332</v>
      </c>
      <c r="AM97" s="22">
        <f t="shared" ref="AM97:AM103" si="61">AM96+1</f>
        <v>107</v>
      </c>
      <c r="AN97" s="22" t="s">
        <v>489</v>
      </c>
      <c r="AP97" s="12">
        <f>AP96</f>
        <v>9.1199999999999948E-2</v>
      </c>
      <c r="AQ97" s="12" t="str">
        <f t="shared" si="55"/>
        <v>rgb(239,90,104)</v>
      </c>
      <c r="AR97" s="12" t="str">
        <f t="shared" si="56"/>
        <v>rgb(194,220,188)</v>
      </c>
      <c r="AS97" t="str">
        <f t="shared" si="57"/>
        <v>←0.09_Tray_Single_Empty_Lengthwise</v>
      </c>
      <c r="AT97" t="str">
        <f t="shared" si="58"/>
        <v>Main connector [0.09] Mainline</v>
      </c>
      <c r="AU97" s="22"/>
      <c r="AV97" t="str">
        <f t="shared" si="59"/>
        <v xml:space="preserve">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v>
      </c>
      <c r="AW97" t="str">
        <f t="shared" si="60"/>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v>
      </c>
    </row>
    <row r="98" spans="28:49">
      <c r="AB98">
        <f t="shared" si="52"/>
        <v>57</v>
      </c>
      <c r="AC98" t="str">
        <f t="shared" si="53"/>
        <v>Mainline_Autopack handler</v>
      </c>
      <c r="AD98" s="22" t="s">
        <v>159</v>
      </c>
      <c r="AE98" s="22" t="s">
        <v>158</v>
      </c>
      <c r="AF98" s="22" t="str">
        <f t="shared" si="54"/>
        <v>Tray</v>
      </c>
      <c r="AG98" s="22" t="s">
        <v>232</v>
      </c>
      <c r="AH98" s="22" t="s">
        <v>337</v>
      </c>
      <c r="AI98" s="275" t="s">
        <v>231</v>
      </c>
      <c r="AJ98" s="275" t="s">
        <v>272</v>
      </c>
      <c r="AK98" s="22" t="s">
        <v>249</v>
      </c>
      <c r="AL98" s="22" t="s">
        <v>333</v>
      </c>
      <c r="AM98" s="22">
        <f t="shared" si="61"/>
        <v>108</v>
      </c>
      <c r="AN98" s="22" t="s">
        <v>490</v>
      </c>
      <c r="AP98" s="12">
        <f t="shared" ref="AP98:AP102" si="62">AP97</f>
        <v>9.1199999999999948E-2</v>
      </c>
      <c r="AQ98" s="12" t="str">
        <f t="shared" si="55"/>
        <v>rgb(239,90,104)</v>
      </c>
      <c r="AR98" s="12" t="str">
        <f t="shared" si="56"/>
        <v>rgb(194,220,188)</v>
      </c>
      <c r="AS98" t="str">
        <f t="shared" si="57"/>
        <v>↑0.09_Tray_Single_Empty_Widthwise</v>
      </c>
      <c r="AT98" t="str">
        <f t="shared" si="58"/>
        <v>Mainline [0.09] Autopack handler</v>
      </c>
      <c r="AU98" s="22"/>
      <c r="AV98" t="str">
        <f t="shared" si="59"/>
        <v xml:space="preserve">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v>
      </c>
      <c r="AW98" t="str">
        <f t="shared" si="60"/>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v>
      </c>
    </row>
    <row r="99" spans="28:49">
      <c r="AB99">
        <f t="shared" si="52"/>
        <v>58</v>
      </c>
      <c r="AC99" t="str">
        <f t="shared" si="53"/>
        <v>Autopack handler_Autopack pod disabled</v>
      </c>
      <c r="AD99" s="22" t="s">
        <v>158</v>
      </c>
      <c r="AE99" s="22" t="s">
        <v>518</v>
      </c>
      <c r="AF99" s="22" t="str">
        <f t="shared" si="54"/>
        <v>Tray</v>
      </c>
      <c r="AG99" s="22" t="s">
        <v>232</v>
      </c>
      <c r="AH99" s="22" t="s">
        <v>337</v>
      </c>
      <c r="AI99" s="275" t="s">
        <v>231</v>
      </c>
      <c r="AJ99" s="275" t="s">
        <v>272</v>
      </c>
      <c r="AK99" s="22" t="s">
        <v>249</v>
      </c>
      <c r="AL99" s="22" t="s">
        <v>333</v>
      </c>
      <c r="AM99" s="22">
        <f t="shared" si="61"/>
        <v>109</v>
      </c>
      <c r="AN99" s="22" t="s">
        <v>491</v>
      </c>
      <c r="AP99" s="12">
        <f t="shared" si="62"/>
        <v>9.1199999999999948E-2</v>
      </c>
      <c r="AQ99" s="12" t="str">
        <f t="shared" si="55"/>
        <v>rgb(239,90,104)</v>
      </c>
      <c r="AR99" s="12" t="str">
        <f t="shared" si="56"/>
        <v>rgb(194,220,188)</v>
      </c>
      <c r="AS99" t="str">
        <f t="shared" si="57"/>
        <v>↑0.09_Tray_Single_Empty_Widthwise</v>
      </c>
      <c r="AT99" t="str">
        <f t="shared" si="58"/>
        <v>Autopack handler [0.09] Autopack pod disabled</v>
      </c>
      <c r="AU99" s="22"/>
      <c r="AV99" t="str">
        <f t="shared" si="59"/>
        <v xml:space="preserve">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v>
      </c>
      <c r="AW99" t="str">
        <f t="shared" si="60"/>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v>
      </c>
    </row>
    <row r="100" spans="28:49">
      <c r="AB100">
        <f t="shared" si="52"/>
        <v>59</v>
      </c>
      <c r="AC100" t="str">
        <f t="shared" si="53"/>
        <v>Autopack pod _Autopack handler</v>
      </c>
      <c r="AD100" s="22" t="s">
        <v>570</v>
      </c>
      <c r="AE100" s="22" t="s">
        <v>158</v>
      </c>
      <c r="AF100" s="22" t="str">
        <f t="shared" si="54"/>
        <v>Tray</v>
      </c>
      <c r="AG100" s="22" t="s">
        <v>232</v>
      </c>
      <c r="AH100" s="22" t="s">
        <v>335</v>
      </c>
      <c r="AI100" s="275" t="s">
        <v>231</v>
      </c>
      <c r="AJ100" s="275" t="s">
        <v>272</v>
      </c>
      <c r="AK100" s="22" t="s">
        <v>249</v>
      </c>
      <c r="AL100" s="22" t="s">
        <v>331</v>
      </c>
      <c r="AM100" s="22">
        <f t="shared" si="61"/>
        <v>110</v>
      </c>
      <c r="AN100" s="22" t="s">
        <v>495</v>
      </c>
      <c r="AP100" s="12">
        <f t="shared" si="62"/>
        <v>9.1199999999999948E-2</v>
      </c>
      <c r="AQ100" s="12" t="str">
        <f t="shared" si="55"/>
        <v>rgb(239,90,104)</v>
      </c>
      <c r="AR100" s="12" t="str">
        <f t="shared" si="56"/>
        <v>rgb(162,212,171)</v>
      </c>
      <c r="AS100" t="str">
        <f t="shared" si="57"/>
        <v>↓0.09_Tray_Single_Partial_Widthwise</v>
      </c>
      <c r="AT100" t="str">
        <f t="shared" si="58"/>
        <v>Autopack pod  [0.09] Autopack handler</v>
      </c>
      <c r="AU100" s="22"/>
      <c r="AV100" t="str">
        <f t="shared" si="59"/>
        <v xml:space="preserve">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v>
      </c>
      <c r="AW100" t="str">
        <f t="shared" si="60"/>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v>
      </c>
    </row>
    <row r="101" spans="28:49">
      <c r="AB101">
        <f t="shared" si="52"/>
        <v>60</v>
      </c>
      <c r="AC101" t="str">
        <f t="shared" si="53"/>
        <v>Autopack handler_Mainline</v>
      </c>
      <c r="AD101" s="22" t="s">
        <v>158</v>
      </c>
      <c r="AE101" s="22" t="s">
        <v>159</v>
      </c>
      <c r="AF101" s="22" t="str">
        <f t="shared" si="54"/>
        <v>Tray</v>
      </c>
      <c r="AG101" s="22" t="s">
        <v>232</v>
      </c>
      <c r="AH101" s="22" t="s">
        <v>335</v>
      </c>
      <c r="AI101" s="275" t="s">
        <v>231</v>
      </c>
      <c r="AJ101" s="275" t="s">
        <v>272</v>
      </c>
      <c r="AK101" s="22" t="s">
        <v>249</v>
      </c>
      <c r="AL101" s="22" t="s">
        <v>331</v>
      </c>
      <c r="AM101" s="22">
        <f t="shared" si="61"/>
        <v>111</v>
      </c>
      <c r="AN101" s="22" t="s">
        <v>496</v>
      </c>
      <c r="AP101" s="12">
        <f t="shared" si="62"/>
        <v>9.1199999999999948E-2</v>
      </c>
      <c r="AQ101" s="12" t="str">
        <f t="shared" si="55"/>
        <v>rgb(239,90,104)</v>
      </c>
      <c r="AR101" s="12" t="str">
        <f t="shared" si="56"/>
        <v>rgb(162,212,171)</v>
      </c>
      <c r="AS101" t="str">
        <f t="shared" si="57"/>
        <v>↓0.09_Tray_Single_Partial_Widthwise</v>
      </c>
      <c r="AT101" t="str">
        <f t="shared" si="58"/>
        <v>Autopack handler [0.09] Mainline</v>
      </c>
      <c r="AU101" s="22"/>
      <c r="AV101" t="str">
        <f t="shared" ref="AV101:AV111" si="63">IF(AU101="first","","")&amp;CHAR(10)&amp;"{ from: """&amp;AD101&amp;""", to: """&amp;AE101&amp;""", long_text: """&amp;ROUND(AP101,2)&amp;"_"&amp;AF101&amp;"_"&amp;AG101&amp;""", short_text: """&amp;ROUND(AP101,2)&amp;""", fromSpot: """&amp;IF(AL101="Down","BottomSide",IF(AL101="Up","TopSide",IF(AL101="Left","LeftSide","RightSide")))&amp;""", toSpot: """&amp;IF(AL101="Down","TopSide",IF(AL101="Up","BottomSide",IF(AL101="Left","RightSide","LeftSide")))&amp;""", container: """&amp;AF101&amp;""", form: """&amp;AG101&amp;""", state: """&amp;AH101&amp;""", content: """&amp;AI101&amp;""", size: """&amp;AJ101&amp;""", flow_id: """&amp;AC101&amp;""", sequence_id: """&amp;AM101&amp;""", orientation: """&amp;AK101&amp;""", flow_color: """&amp;AQ101&amp;""", arrowhead_color: """&amp;AR101&amp;""", comments: """&amp;AN101&amp;""", containers_per_stack: """&amp;AO101&amp;""", throughput_per_minute: """&amp;AP101&amp;""" }"&amp;IF(AU101="last",CHAR(10)&amp;"]);",",")</f>
        <v xml:space="preserve">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v>
      </c>
      <c r="AW101" t="str">
        <f t="shared" ref="AW101:AW111" si="64">IF(AND(AU101&lt;&gt;"",AU101&lt;&gt;"last"),AV101,AW100&amp;AV101)</f>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v>
      </c>
    </row>
    <row r="102" spans="28:49">
      <c r="AB102">
        <f t="shared" si="52"/>
        <v>61</v>
      </c>
      <c r="AC102" t="str">
        <f t="shared" si="53"/>
        <v>Mainline_Main connector</v>
      </c>
      <c r="AD102" s="22" t="s">
        <v>159</v>
      </c>
      <c r="AE102" s="22" t="s">
        <v>156</v>
      </c>
      <c r="AF102" s="22" t="str">
        <f t="shared" si="54"/>
        <v>Tray</v>
      </c>
      <c r="AG102" s="22" t="s">
        <v>232</v>
      </c>
      <c r="AH102" s="22" t="s">
        <v>335</v>
      </c>
      <c r="AI102" s="275" t="s">
        <v>231</v>
      </c>
      <c r="AJ102" s="275" t="s">
        <v>272</v>
      </c>
      <c r="AK102" s="22" t="s">
        <v>248</v>
      </c>
      <c r="AL102" s="22" t="s">
        <v>334</v>
      </c>
      <c r="AM102" s="22">
        <f t="shared" si="61"/>
        <v>112</v>
      </c>
      <c r="AN102" s="22" t="s">
        <v>497</v>
      </c>
      <c r="AP102" s="12">
        <f t="shared" si="62"/>
        <v>9.1199999999999948E-2</v>
      </c>
      <c r="AQ102" s="12" t="str">
        <f t="shared" si="55"/>
        <v>rgb(239,90,104)</v>
      </c>
      <c r="AR102" s="12" t="str">
        <f t="shared" si="56"/>
        <v>rgb(162,212,171)</v>
      </c>
      <c r="AS102" t="str">
        <f t="shared" si="57"/>
        <v>→0.09_Tray_Single_Partial_Lengthwise</v>
      </c>
      <c r="AT102" t="str">
        <f t="shared" si="58"/>
        <v>Mainline [0.09] Main connector</v>
      </c>
      <c r="AU102" s="22"/>
      <c r="AV102" t="str">
        <f t="shared" si="63"/>
        <v xml:space="preserve">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v>
      </c>
      <c r="AW102" t="str">
        <f t="shared" si="64"/>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v>
      </c>
    </row>
    <row r="103" spans="28:49">
      <c r="AB103">
        <f t="shared" si="52"/>
        <v>62</v>
      </c>
      <c r="AC103" t="str">
        <f t="shared" ref="AC103:AC111" si="65">AD103&amp;"_"&amp;AE103</f>
        <v>Main connector_IO connector</v>
      </c>
      <c r="AD103" s="22" t="s">
        <v>156</v>
      </c>
      <c r="AE103" s="22" t="s">
        <v>154</v>
      </c>
      <c r="AF103" s="22" t="str">
        <f t="shared" si="54"/>
        <v>Tray</v>
      </c>
      <c r="AG103" s="22" t="s">
        <v>232</v>
      </c>
      <c r="AH103" s="22" t="s">
        <v>335</v>
      </c>
      <c r="AI103" s="275" t="s">
        <v>231</v>
      </c>
      <c r="AJ103" s="275" t="s">
        <v>272</v>
      </c>
      <c r="AK103" s="22" t="s">
        <v>248</v>
      </c>
      <c r="AL103" s="22" t="s">
        <v>334</v>
      </c>
      <c r="AM103" s="22">
        <f t="shared" si="61"/>
        <v>113</v>
      </c>
      <c r="AN103" s="22" t="s">
        <v>560</v>
      </c>
      <c r="AP103" s="12">
        <f>AP102</f>
        <v>9.1199999999999948E-2</v>
      </c>
      <c r="AQ103" s="12" t="str">
        <f t="shared" ref="AQ103:AQ111" si="66">VLOOKUP(AF103,$S$41:$T$51,2,FALSE)</f>
        <v>rgb(239,90,104)</v>
      </c>
      <c r="AR103" s="12" t="str">
        <f t="shared" ref="AR103:AR111" si="67">VLOOKUP(AH103,$W$41:$X$51,2,FALSE)</f>
        <v>rgb(162,212,171)</v>
      </c>
      <c r="AS103" t="str">
        <f t="shared" ref="AS103:AS111" si="68">VLOOKUP(AL103,$U$41:$V$51,2,FALSE)&amp;ROUND(AP103,2)&amp;"_"&amp;AF103&amp;"_"&amp;AG103&amp;"_"&amp;AH103&amp;"_"&amp;AK103</f>
        <v>→0.09_Tray_Single_Partial_Lengthwise</v>
      </c>
      <c r="AT103" t="str">
        <f t="shared" ref="AT103:AT111" si="69">AD103&amp;" ["&amp;ROUND(AP103,2)&amp;"] "&amp;AE103</f>
        <v>Main connector [0.09] IO connector</v>
      </c>
      <c r="AU103" s="22"/>
      <c r="AV103" t="str">
        <f t="shared" si="63"/>
        <v xml:space="preserve">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v>
      </c>
      <c r="AW103" t="str">
        <f t="shared" si="64"/>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v>
      </c>
    </row>
    <row r="104" spans="28:49">
      <c r="AB104">
        <f t="shared" si="52"/>
        <v>63</v>
      </c>
      <c r="AC104" t="str">
        <f t="shared" si="65"/>
        <v>IO connector_Stacking</v>
      </c>
      <c r="AD104" s="22" t="s">
        <v>154</v>
      </c>
      <c r="AE104" s="22" t="s">
        <v>120</v>
      </c>
      <c r="AF104" s="22" t="str">
        <f t="shared" si="54"/>
        <v>Tray</v>
      </c>
      <c r="AG104" s="22" t="s">
        <v>232</v>
      </c>
      <c r="AH104" s="22" t="s">
        <v>337</v>
      </c>
      <c r="AI104" s="275" t="s">
        <v>337</v>
      </c>
      <c r="AJ104" s="275" t="str">
        <f>AJ91</f>
        <v>1.m</v>
      </c>
      <c r="AK104" s="22" t="s">
        <v>248</v>
      </c>
      <c r="AL104" s="22" t="s">
        <v>334</v>
      </c>
      <c r="AM104" s="22">
        <f>AM103+1</f>
        <v>114</v>
      </c>
      <c r="AN104" s="22" t="s">
        <v>559</v>
      </c>
      <c r="AP104" s="10">
        <f>AP103</f>
        <v>9.1199999999999948E-2</v>
      </c>
      <c r="AQ104" s="12" t="str">
        <f t="shared" si="66"/>
        <v>rgb(239,90,104)</v>
      </c>
      <c r="AR104" s="12" t="str">
        <f t="shared" si="67"/>
        <v>rgb(194,220,188)</v>
      </c>
      <c r="AS104" t="str">
        <f t="shared" si="68"/>
        <v>→0.09_Tray_Single_Empty_Lengthwise</v>
      </c>
      <c r="AT104" t="str">
        <f t="shared" si="69"/>
        <v>IO connector [0.09] Stacking</v>
      </c>
      <c r="AU104" s="22"/>
      <c r="AV104" t="str">
        <f t="shared" si="63"/>
        <v xml:space="preserve">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v>
      </c>
      <c r="AW104" t="str">
        <f t="shared" si="64"/>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v>
      </c>
    </row>
    <row r="105" spans="28:49">
      <c r="AB105">
        <f t="shared" si="52"/>
        <v>64</v>
      </c>
      <c r="AC105" t="str">
        <f t="shared" si="65"/>
        <v>Stacking_Empties connector</v>
      </c>
      <c r="AD105" s="22" t="s">
        <v>120</v>
      </c>
      <c r="AE105" s="22" t="s">
        <v>152</v>
      </c>
      <c r="AF105" s="22" t="s">
        <v>52</v>
      </c>
      <c r="AG105" s="22" t="s">
        <v>262</v>
      </c>
      <c r="AH105" s="22" t="s">
        <v>337</v>
      </c>
      <c r="AI105" s="275" t="s">
        <v>337</v>
      </c>
      <c r="AJ105" s="22" t="str">
        <f t="shared" ref="AJ105:AJ106" si="70">$AJ$31</f>
        <v>1.m</v>
      </c>
      <c r="AK105" s="22" t="s">
        <v>248</v>
      </c>
      <c r="AL105" s="22" t="s">
        <v>333</v>
      </c>
      <c r="AM105" s="22">
        <f>AM104+1</f>
        <v>115</v>
      </c>
      <c r="AN105" s="22" t="s">
        <v>553</v>
      </c>
      <c r="AO105" s="10">
        <f>$G$82</f>
        <v>6</v>
      </c>
      <c r="AP105" s="12">
        <f>AP104/AO105</f>
        <v>1.5199999999999991E-2</v>
      </c>
      <c r="AQ105" s="12" t="str">
        <f t="shared" si="66"/>
        <v>rgb(239,90,104)</v>
      </c>
      <c r="AR105" s="12" t="str">
        <f t="shared" si="67"/>
        <v>rgb(194,220,188)</v>
      </c>
      <c r="AS105" t="str">
        <f t="shared" si="68"/>
        <v>↑0.02_Tray_Stack_Empty_Lengthwise</v>
      </c>
      <c r="AT105" t="str">
        <f t="shared" si="69"/>
        <v>Stacking [0.02] Empties connector</v>
      </c>
      <c r="AU105" s="22"/>
      <c r="AV105" t="str">
        <f t="shared" si="63"/>
        <v xml:space="preserve">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v>
      </c>
      <c r="AW105" t="str">
        <f t="shared" si="64"/>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v>
      </c>
    </row>
    <row r="106" spans="28:49">
      <c r="AB106">
        <f t="shared" si="52"/>
        <v>65</v>
      </c>
      <c r="AC106" t="str">
        <f t="shared" si="65"/>
        <v>Empties connector_Buffer</v>
      </c>
      <c r="AD106" s="22" t="s">
        <v>152</v>
      </c>
      <c r="AE106" s="22" t="s">
        <v>124</v>
      </c>
      <c r="AF106" s="22" t="s">
        <v>52</v>
      </c>
      <c r="AG106" s="22" t="s">
        <v>262</v>
      </c>
      <c r="AH106" s="22" t="s">
        <v>337</v>
      </c>
      <c r="AI106" s="275" t="s">
        <v>337</v>
      </c>
      <c r="AJ106" s="22" t="str">
        <f t="shared" si="70"/>
        <v>1.m</v>
      </c>
      <c r="AK106" s="22" t="s">
        <v>248</v>
      </c>
      <c r="AL106" s="22" t="s">
        <v>333</v>
      </c>
      <c r="AM106" s="22">
        <f>AM105+1</f>
        <v>116</v>
      </c>
      <c r="AN106" s="22" t="s">
        <v>554</v>
      </c>
      <c r="AO106" s="10">
        <f>$G$82</f>
        <v>6</v>
      </c>
      <c r="AP106" s="10">
        <f>AP105</f>
        <v>1.5199999999999991E-2</v>
      </c>
      <c r="AQ106" s="12" t="str">
        <f t="shared" si="66"/>
        <v>rgb(239,90,104)</v>
      </c>
      <c r="AR106" s="12" t="str">
        <f t="shared" si="67"/>
        <v>rgb(194,220,188)</v>
      </c>
      <c r="AS106" t="str">
        <f t="shared" si="68"/>
        <v>↑0.02_Tray_Stack_Empty_Lengthwise</v>
      </c>
      <c r="AT106" t="str">
        <f t="shared" si="69"/>
        <v>Empties connector [0.02] Buffer</v>
      </c>
      <c r="AU106" s="22"/>
      <c r="AV106" t="str">
        <f t="shared" si="63"/>
        <v xml:space="preserve">
{ from: "Empties connector", to: "Buffer", long_text: "0.02_Tray_Stack", short_text: "0.02",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"0.0152" },</v>
      </c>
      <c r="AW106" t="str">
        <f t="shared" si="64"/>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
{ from: "Empties connector", to: "Buffer", long_text: "0.02_Tray_Stack", short_text: "0.02",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"0.0152" },</v>
      </c>
    </row>
    <row r="107" spans="28:49">
      <c r="AB107">
        <f t="shared" si="52"/>
        <v>66</v>
      </c>
      <c r="AC107" t="str">
        <f t="shared" si="65"/>
        <v>Main connector_Manual pack</v>
      </c>
      <c r="AD107" s="22" t="s">
        <v>156</v>
      </c>
      <c r="AE107" s="22" t="s">
        <v>134</v>
      </c>
      <c r="AF107" s="22" t="str">
        <f t="shared" ref="AF107:AF111" si="71">$AF$27</f>
        <v>Tray</v>
      </c>
      <c r="AG107" s="22" t="s">
        <v>232</v>
      </c>
      <c r="AH107" s="22" t="s">
        <v>335</v>
      </c>
      <c r="AI107" s="275" t="s">
        <v>231</v>
      </c>
      <c r="AJ107" s="275" t="s">
        <v>272</v>
      </c>
      <c r="AK107" s="22" t="s">
        <v>248</v>
      </c>
      <c r="AL107" s="22" t="s">
        <v>333</v>
      </c>
      <c r="AM107" s="22">
        <f>AM102+1</f>
        <v>113</v>
      </c>
      <c r="AN107" s="22" t="s">
        <v>555</v>
      </c>
      <c r="AP107" s="10">
        <f>AP102</f>
        <v>9.1199999999999948E-2</v>
      </c>
      <c r="AQ107" s="12" t="str">
        <f t="shared" si="66"/>
        <v>rgb(239,90,104)</v>
      </c>
      <c r="AR107" s="12" t="str">
        <f t="shared" si="67"/>
        <v>rgb(162,212,171)</v>
      </c>
      <c r="AS107" t="str">
        <f t="shared" si="68"/>
        <v>↑0.09_Tray_Single_Partial_Lengthwise</v>
      </c>
      <c r="AT107" t="str">
        <f t="shared" si="69"/>
        <v>Main connector [0.09] Manual pack</v>
      </c>
      <c r="AU107" s="22"/>
      <c r="AV107" t="str">
        <f t="shared" si="63"/>
        <v xml:space="preserve">
{ from: "Main connector", to: "Manual pack", long_text: "0.09_Tray_Single", short_text: "0.09",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"0.0911999999999999" },</v>
      </c>
      <c r="AW107" t="str">
        <f t="shared" si="64"/>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
{ from: "Empties connector", to: "Buffer", long_text: "0.02_Tray_Stack", short_text: "0.02",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"0.0152" },
{ from: "Main connector", to: "Manual pack", long_text: "0.09_Tray_Single", short_text: "0.09",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"0.0911999999999999" },</v>
      </c>
    </row>
    <row r="108" spans="28:49">
      <c r="AB108">
        <f t="shared" si="52"/>
        <v>67</v>
      </c>
      <c r="AC108" t="str">
        <f t="shared" si="65"/>
        <v>Manual pack_Main connector</v>
      </c>
      <c r="AD108" s="22" t="s">
        <v>134</v>
      </c>
      <c r="AE108" s="22" t="s">
        <v>156</v>
      </c>
      <c r="AF108" s="22" t="str">
        <f t="shared" si="71"/>
        <v>Tray</v>
      </c>
      <c r="AG108" s="22" t="s">
        <v>232</v>
      </c>
      <c r="AH108" s="22" t="s">
        <v>335</v>
      </c>
      <c r="AI108" s="275" t="s">
        <v>231</v>
      </c>
      <c r="AJ108" s="275" t="s">
        <v>272</v>
      </c>
      <c r="AK108" s="22" t="s">
        <v>248</v>
      </c>
      <c r="AL108" s="22" t="s">
        <v>331</v>
      </c>
      <c r="AM108" s="22">
        <f>AM107+1</f>
        <v>114</v>
      </c>
      <c r="AN108" s="22" t="s">
        <v>556</v>
      </c>
      <c r="AP108" s="10">
        <f>AP107</f>
        <v>9.1199999999999948E-2</v>
      </c>
      <c r="AQ108" s="12" t="str">
        <f t="shared" si="66"/>
        <v>rgb(239,90,104)</v>
      </c>
      <c r="AR108" s="12" t="str">
        <f t="shared" si="67"/>
        <v>rgb(162,212,171)</v>
      </c>
      <c r="AS108" t="str">
        <f t="shared" si="68"/>
        <v>↓0.09_Tray_Single_Partial_Lengthwise</v>
      </c>
      <c r="AT108" t="str">
        <f t="shared" si="69"/>
        <v>Manual pack [0.09] Main connector</v>
      </c>
      <c r="AU108" s="22"/>
      <c r="AV108" t="str">
        <f t="shared" si="63"/>
        <v xml:space="preserve">
{ from: "Manual pack", to: "Main connector", long_text: "0.09_Tray_Single", short_text: "0.09",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"0.0911999999999999" },</v>
      </c>
      <c r="AW108" t="str">
        <f t="shared" si="64"/>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
{ from: "Empties connector", to: "Buffer", long_text: "0.02_Tray_Stack", short_text: "0.02",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"0.0152" },
{ from: "Main connector", to: "Manual pack", long_text: "0.09_Tray_Single", short_text: "0.09",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"0.0911999999999999" },
{ from: "Manual pack", to: "Main connector", long_text: "0.09_Tray_Single", short_text: "0.09",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"0.0911999999999999" },</v>
      </c>
    </row>
    <row r="109" spans="28:49">
      <c r="AB109">
        <f t="shared" si="52"/>
        <v>68</v>
      </c>
      <c r="AC109" t="str">
        <f t="shared" si="65"/>
        <v>Buffer_Empties connector</v>
      </c>
      <c r="AD109" s="22" t="s">
        <v>124</v>
      </c>
      <c r="AE109" s="22" t="s">
        <v>152</v>
      </c>
      <c r="AF109" s="22" t="str">
        <f t="shared" si="71"/>
        <v>Tray</v>
      </c>
      <c r="AG109" s="22" t="s">
        <v>262</v>
      </c>
      <c r="AH109" s="22" t="s">
        <v>235</v>
      </c>
      <c r="AI109" s="22" t="str">
        <f>$AI$33</f>
        <v>Empty</v>
      </c>
      <c r="AJ109" s="22" t="str">
        <f t="shared" ref="AJ109:AJ111" si="72">$AJ$31</f>
        <v>1.m</v>
      </c>
      <c r="AK109" s="22" t="s">
        <v>248</v>
      </c>
      <c r="AL109" s="22" t="s">
        <v>331</v>
      </c>
      <c r="AM109" s="22">
        <f>AN36</f>
        <v>100</v>
      </c>
      <c r="AN109" s="22" t="s">
        <v>552</v>
      </c>
      <c r="AO109" s="10">
        <f>$G$82</f>
        <v>6</v>
      </c>
      <c r="AP109" s="10">
        <f>$AP$65/$G$82</f>
        <v>1.5199999999999991E-2</v>
      </c>
      <c r="AQ109" s="12" t="str">
        <f t="shared" si="66"/>
        <v>rgb(239,90,104)</v>
      </c>
      <c r="AR109" s="12" t="str">
        <f t="shared" si="67"/>
        <v>rgb(62,172,171)</v>
      </c>
      <c r="AS109" t="str">
        <f t="shared" si="68"/>
        <v>↓0.02_Tray_Stack_KD_Lengthwise</v>
      </c>
      <c r="AT109" t="str">
        <f t="shared" si="69"/>
        <v>Buffer [0.02] Empties connector</v>
      </c>
      <c r="AU109" s="22"/>
      <c r="AV109" t="str">
        <f t="shared" si="63"/>
        <v xml:space="preserve">
{ from: "Buffer", to: "Empties connector", long_text: "0.02_Tray_Stack", short_text: "0.02",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"0.0152" },</v>
      </c>
      <c r="AW109" t="str">
        <f t="shared" si="64"/>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
{ from: "Empties connector", to: "Buffer", long_text: "0.02_Tray_Stack", short_text: "0.02",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"0.0152" },
{ from: "Main connector", to: "Manual pack", long_text: "0.09_Tray_Single", short_text: "0.09",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"0.0911999999999999" },
{ from: "Manual pack", to: "Main connector", long_text: "0.09_Tray_Single", short_text: "0.09",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"0.0911999999999999" },
{ from: "Buffer", to: "Empties connector", long_text: "0.02_Tray_Stack", short_text: "0.02",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"0.0152" },</v>
      </c>
    </row>
    <row r="110" spans="28:49">
      <c r="AB110">
        <f t="shared" si="52"/>
        <v>69</v>
      </c>
      <c r="AC110" t="str">
        <f t="shared" si="65"/>
        <v>Empties connector_Tote erector</v>
      </c>
      <c r="AD110" s="22" t="s">
        <v>152</v>
      </c>
      <c r="AE110" s="22" t="s">
        <v>130</v>
      </c>
      <c r="AF110" s="22" t="str">
        <f t="shared" si="71"/>
        <v>Tray</v>
      </c>
      <c r="AG110" s="22" t="s">
        <v>262</v>
      </c>
      <c r="AH110" s="22" t="s">
        <v>235</v>
      </c>
      <c r="AI110" s="22" t="str">
        <f>$AI$33</f>
        <v>Empty</v>
      </c>
      <c r="AJ110" s="22" t="str">
        <f t="shared" si="72"/>
        <v>1.m</v>
      </c>
      <c r="AK110" s="22" t="s">
        <v>248</v>
      </c>
      <c r="AL110" s="22" t="s">
        <v>333</v>
      </c>
      <c r="AM110" s="22">
        <f>AM109+1</f>
        <v>101</v>
      </c>
      <c r="AN110" s="22" t="s">
        <v>557</v>
      </c>
      <c r="AO110" s="10">
        <f t="shared" ref="AO110:AO111" si="73">$G$82</f>
        <v>6</v>
      </c>
      <c r="AP110" s="12">
        <f t="shared" ref="AP110:AP111" si="74">$AP$65/$G$82</f>
        <v>1.5199999999999991E-2</v>
      </c>
      <c r="AQ110" s="12" t="str">
        <f t="shared" si="66"/>
        <v>rgb(239,90,104)</v>
      </c>
      <c r="AR110" s="12" t="str">
        <f t="shared" si="67"/>
        <v>rgb(62,172,171)</v>
      </c>
      <c r="AS110" t="str">
        <f t="shared" si="68"/>
        <v>↑0.02_Tray_Stack_KD_Lengthwise</v>
      </c>
      <c r="AT110" t="str">
        <f t="shared" si="69"/>
        <v>Empties connector [0.02] Tote erector</v>
      </c>
      <c r="AU110" s="22"/>
      <c r="AV110" t="str">
        <f t="shared" si="63"/>
        <v xml:space="preserve">
{ from: "Empties connector", to: "Tote erector", long_text: "0.02_Tray_Stack", short_text: "0.02",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"0.0152" },</v>
      </c>
      <c r="AW110" t="str">
        <f t="shared" si="64"/>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
{ from: "Empties connector", to: "Buffer", long_text: "0.02_Tray_Stack", short_text: "0.02",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"0.0152" },
{ from: "Main connector", to: "Manual pack", long_text: "0.09_Tray_Single", short_text: "0.09",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"0.0911999999999999" },
{ from: "Manual pack", to: "Main connector", long_text: "0.09_Tray_Single", short_text: "0.09",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"0.0911999999999999" },
{ from: "Buffer", to: "Empties connector", long_text: "0.02_Tray_Stack", short_text: "0.02",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"0.0152" },
{ from: "Empties connector", to: "Tote erector", long_text: "0.02_Tray_Stack", short_text: "0.02",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"0.0152" },</v>
      </c>
    </row>
    <row r="111" spans="28:49">
      <c r="AB111">
        <f t="shared" si="52"/>
        <v>70</v>
      </c>
      <c r="AC111" t="str">
        <f t="shared" si="65"/>
        <v>Tote erector_Tray erector</v>
      </c>
      <c r="AD111" s="22" t="s">
        <v>130</v>
      </c>
      <c r="AE111" s="22" t="s">
        <v>153</v>
      </c>
      <c r="AF111" s="22" t="str">
        <f t="shared" si="71"/>
        <v>Tray</v>
      </c>
      <c r="AG111" s="22" t="s">
        <v>262</v>
      </c>
      <c r="AH111" s="22" t="s">
        <v>235</v>
      </c>
      <c r="AI111" s="22" t="str">
        <f>$AI$33</f>
        <v>Empty</v>
      </c>
      <c r="AJ111" s="22" t="str">
        <f t="shared" si="72"/>
        <v>1.m</v>
      </c>
      <c r="AK111" s="22" t="s">
        <v>248</v>
      </c>
      <c r="AL111" s="22" t="s">
        <v>332</v>
      </c>
      <c r="AM111" s="22">
        <f>AM110+1</f>
        <v>102</v>
      </c>
      <c r="AN111" s="22" t="s">
        <v>558</v>
      </c>
      <c r="AO111" s="10">
        <f t="shared" si="73"/>
        <v>6</v>
      </c>
      <c r="AP111" s="12">
        <f t="shared" si="74"/>
        <v>1.5199999999999991E-2</v>
      </c>
      <c r="AQ111" s="12" t="str">
        <f t="shared" si="66"/>
        <v>rgb(239,90,104)</v>
      </c>
      <c r="AR111" s="12" t="str">
        <f t="shared" si="67"/>
        <v>rgb(62,172,171)</v>
      </c>
      <c r="AS111" t="str">
        <f t="shared" si="68"/>
        <v>←0.02_Tray_Stack_KD_Lengthwise</v>
      </c>
      <c r="AT111" t="str">
        <f t="shared" si="69"/>
        <v>Tote erector [0.02] Tray erector</v>
      </c>
      <c r="AU111" s="22"/>
      <c r="AV111" t="str">
        <f t="shared" si="63"/>
        <v xml:space="preserve">
{ from: "Tote erector", to: "Tray erector", long_text: "0.02_Tray_Stack", short_text: "0.02",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"0.0152" },</v>
      </c>
      <c r="AW111" t="str">
        <f t="shared" si="64"/>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
{ from: "Empties connector", to: "Buffer", long_text: "0.02_Tray_Stack", short_text: "0.02",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"0.0152" },
{ from: "Main connector", to: "Manual pack", long_text: "0.09_Tray_Single", short_text: "0.09",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"0.0911999999999999" },
{ from: "Manual pack", to: "Main connector", long_text: "0.09_Tray_Single", short_text: "0.09",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"0.0911999999999999" },
{ from: "Buffer", to: "Empties connector", long_text: "0.02_Tray_Stack", short_text: "0.02",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"0.0152" },
{ from: "Empties connector", to: "Tote erector", long_text: "0.02_Tray_Stack", short_text: "0.02",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"0.0152" },
{ from: "Tote erector", to: "Tray erector", long_text: "0.02_Tray_Stack", short_text: "0.02",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"0.0152" },</v>
      </c>
    </row>
    <row r="112" spans="28:49">
      <c r="AB112">
        <f t="shared" si="52"/>
        <v>71</v>
      </c>
      <c r="AC112" t="str">
        <f t="shared" ref="AC112" si="75">AD112&amp;"_"&amp;AE112</f>
        <v>MR pad_Manual pack</v>
      </c>
      <c r="AD112" s="22" t="s">
        <v>169</v>
      </c>
      <c r="AE112" s="22" t="s">
        <v>134</v>
      </c>
      <c r="AF112" s="22" t="s">
        <v>561</v>
      </c>
      <c r="AG112" s="22" t="s">
        <v>232</v>
      </c>
      <c r="AH112" s="22" t="s">
        <v>336</v>
      </c>
      <c r="AI112" s="22" t="s">
        <v>563</v>
      </c>
      <c r="AJ112" s="22" t="s">
        <v>515</v>
      </c>
      <c r="AK112" s="22" t="s">
        <v>248</v>
      </c>
      <c r="AL112" s="22" t="s">
        <v>331</v>
      </c>
      <c r="AM112" s="22">
        <f>AN39</f>
        <v>600</v>
      </c>
      <c r="AN112" s="22" t="s">
        <v>562</v>
      </c>
      <c r="AP112" s="10">
        <f>G45*G58*G85</f>
        <v>1.2514579759862778E-2</v>
      </c>
      <c r="AQ112" s="12" t="str">
        <f t="shared" ref="AQ112" si="76">VLOOKUP(AF112,$S$41:$T$51,2,FALSE)</f>
        <v xml:space="preserve">rgb(144,166,248) </v>
      </c>
      <c r="AR112" s="12" t="str">
        <f t="shared" ref="AR112" si="77">VLOOKUP(AH112,$W$41:$X$51,2,FALSE)</f>
        <v>rgb(113,190,138)</v>
      </c>
      <c r="AS112" t="str">
        <f t="shared" ref="AS112" si="78">VLOOKUP(AL112,$U$41:$V$51,2,FALSE)&amp;ROUND(AP112,2)&amp;"_"&amp;AF112&amp;"_"&amp;AG112&amp;"_"&amp;AH112&amp;"_"&amp;AK112</f>
        <v>↓0.01_Cart_Single_Full_Lengthwise</v>
      </c>
      <c r="AT112" t="str">
        <f t="shared" ref="AT112" si="79">AD112&amp;" ["&amp;ROUND(AP112,2)&amp;"] "&amp;AE112</f>
        <v>MR pad [0.01] Manual pack</v>
      </c>
      <c r="AU112" s="22"/>
      <c r="AV112" t="str">
        <f t="shared" ref="AV112:AV113" si="80">IF(AU112="first","","")&amp;CHAR(10)&amp;"{ from: """&amp;AD112&amp;""", to: """&amp;AE112&amp;""", long_text: """&amp;ROUND(AP112,2)&amp;"_"&amp;AF112&amp;"_"&amp;AG112&amp;""", short_text: """&amp;ROUND(AP112,2)&amp;""", fromSpot: """&amp;IF(AL112="Down","BottomSide",IF(AL112="Up","TopSide",IF(AL112="Left","LeftSide","RightSide")))&amp;""", toSpot: """&amp;IF(AL112="Down","TopSide",IF(AL112="Up","BottomSide",IF(AL112="Left","RightSide","LeftSide")))&amp;""", container: """&amp;AF112&amp;""", form: """&amp;AG112&amp;""", state: """&amp;AH112&amp;""", content: """&amp;AI112&amp;""", size: """&amp;AJ112&amp;""", flow_id: """&amp;AC112&amp;""", sequence_id: """&amp;AM112&amp;""", orientation: """&amp;AK112&amp;""", flow_color: """&amp;AQ112&amp;""", arrowhead_color: """&amp;AR112&amp;""", comments: """&amp;AN112&amp;""", containers_per_stack: """&amp;AO112&amp;""", throughput_per_minute: """&amp;AP112&amp;""" }"&amp;IF(AU112="last",CHAR(10)&amp;"]);",",")</f>
        <v xml:space="preserve">
{ from: "MR pad", to: "Manual pack", long_text: "0.01_Cart_Single", short_text: "0.01", fromSpot: "BottomSide", toSpot: "TopSide", container: "Cart", form: "Single", state: "Full", content: "Large", size: "Varies", flow_id: "MR pad_Manual pack", sequence_id: "600", orientation: "Lengthwise", flow_color: "rgb(144,166,248) ", arrowhead_color: "rgb(113,190,138)", comments: "A certain percentage of large items which can fit into totes will come to the manual pack via a LiteIO module configuration which has an MR pad.", containers_per_stack: "", throughput_per_minute: "0.0125145797598628" },</v>
      </c>
      <c r="AW112" t="str">
        <f t="shared" ref="AW112:AW113" si="81">IF(AND(AU112&lt;&gt;"",AU112&lt;&gt;"last"),AV112,AW111&amp;AV112)</f>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
{ from: "Empties connector", to: "Buffer", long_text: "0.02_Tray_Stack", short_text: "0.02",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"0.0152" },
{ from: "Main connector", to: "Manual pack", long_text: "0.09_Tray_Single", short_text: "0.09",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"0.0911999999999999" },
{ from: "Manual pack", to: "Main connector", long_text: "0.09_Tray_Single", short_text: "0.09",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"0.0911999999999999" },
{ from: "Buffer", to: "Empties connector", long_text: "0.02_Tray_Stack", short_text: "0.02",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"0.0152" },
{ from: "Empties connector", to: "Tote erector", long_text: "0.02_Tray_Stack", short_text: "0.02",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"0.0152" },
{ from: "Tote erector", to: "Tray erector", long_text: "0.02_Tray_Stack", short_text: "0.02",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"0.0152" },
{ from: "MR pad", to: "Manual pack", long_text: "0.01_Cart_Single", short_text: "0.01", fromSpot: "BottomSide", toSpot: "TopSide", container: "Cart", form: "Single", state: "Full", content: "Large", size: "Varies", flow_id: "MR pad_Manual pack", sequence_id: "600", orientation: "Lengthwise", flow_color: "rgb(144,166,248) ", arrowhead_color: "rgb(113,190,138)", comments: "A certain percentage of large items which can fit into totes will come to the manual pack via a LiteIO module configuration which has an MR pad.", containers_per_stack: "", throughput_per_minute: "0.0125145797598628" },</v>
      </c>
    </row>
    <row r="113" spans="28:49">
      <c r="AB113">
        <f t="shared" si="52"/>
        <v>72</v>
      </c>
      <c r="AC113" t="str">
        <f t="shared" ref="AC113" si="82">AD113&amp;"_"&amp;AE113</f>
        <v>Manual pack_MR pad</v>
      </c>
      <c r="AD113" s="22" t="s">
        <v>134</v>
      </c>
      <c r="AE113" s="22" t="s">
        <v>169</v>
      </c>
      <c r="AF113" s="22" t="s">
        <v>561</v>
      </c>
      <c r="AG113" s="22" t="s">
        <v>232</v>
      </c>
      <c r="AH113" s="22" t="s">
        <v>336</v>
      </c>
      <c r="AI113" s="22" t="s">
        <v>563</v>
      </c>
      <c r="AJ113" s="22" t="s">
        <v>515</v>
      </c>
      <c r="AK113" s="22" t="s">
        <v>248</v>
      </c>
      <c r="AL113" s="22" t="s">
        <v>333</v>
      </c>
      <c r="AM113" s="22">
        <f>AM112+1</f>
        <v>601</v>
      </c>
      <c r="AN113" s="22" t="s">
        <v>565</v>
      </c>
      <c r="AP113" s="10">
        <f>AP112</f>
        <v>1.2514579759862778E-2</v>
      </c>
      <c r="AQ113" s="12" t="str">
        <f t="shared" ref="AQ113" si="83">VLOOKUP(AF113,$S$41:$T$51,2,FALSE)</f>
        <v xml:space="preserve">rgb(144,166,248) </v>
      </c>
      <c r="AR113" s="12" t="str">
        <f t="shared" ref="AR113" si="84">VLOOKUP(AH113,$W$41:$X$51,2,FALSE)</f>
        <v>rgb(113,190,138)</v>
      </c>
      <c r="AS113" t="str">
        <f t="shared" ref="AS113" si="85">VLOOKUP(AL113,$U$41:$V$51,2,FALSE)&amp;ROUND(AP113,2)&amp;"_"&amp;AF113&amp;"_"&amp;AG113&amp;"_"&amp;AH113&amp;"_"&amp;AK113</f>
        <v>↑0.01_Cart_Single_Full_Lengthwise</v>
      </c>
      <c r="AT113" t="str">
        <f t="shared" ref="AT113" si="86">AD113&amp;" ["&amp;ROUND(AP113,2)&amp;"] "&amp;AE113</f>
        <v>Manual pack [0.01] MR pad</v>
      </c>
      <c r="AU113" s="22" t="s">
        <v>403</v>
      </c>
      <c r="AV113" t="str">
        <f t="shared" si="80"/>
        <v xml:space="preserve">
{ from: "Manual pack", to: "MR pad", long_text: "0.01_Cart_Single", short_text: "0.01", fromSpot: "TopSide", toSpot: "BottomSide", container: "Cart", form: "Single", state: "Full", content: "Large", size: "Varies", flow_id: "Manual pack_MR pad", sequence_id: "601", orientation: "Lengthwise", flow_color: "rgb(144,166,248) ", arrowhead_color: "rgb(113,190,138)", comments: "Once the large item is manually placed in a tote, the cart is sent back to parking- long or short term depending on the work  sequence", containers_per_stack: "", throughput_per_minute: "0.0125145797598628" }
]);</v>
      </c>
      <c r="AW113" t="str">
        <f t="shared" si="81"/>
        <v xml:space="preserve">
{ from: "Tote closer", to: "IO connector", long_text: "1.82_Tote_Single", short_text: "1.82", fromSpot: "TopSide", toSpot: "BottomSide", container: "Tote", form: "Single", state: "Full", content: "Each", size: "Varies", flow_id: "Tote closer_IO connector", sequence_id: "319", orientation: "Lengthwise", flow_color: "rgb(255,199,1)", arrowhead_color: "rgb(113,190,138)", comments: "After the tote is closed, it is sent back to the IO connector for further processing towards outbound", containers_per_stack: "", throughput_per_minute: "1.824" },
{ from: "IO connector", to: "Stacking", long_text: "1.82_Tote_Single", short_text: "1.82", fromSpot: "RightSide", toSpot: "LeftSide", container: "Tote", form: "Single", state: "Full", content: "Each", size: "Varies", flow_id: "IO connector_Stacking", sequence_id: "320", orientation: "Lengthwise", flow_color: "rgb(255,199,1)", arrowhead_color: "rgb(113,190,138)", comments: "Totes are sent to the stacker for stacking operations with similar outbound destinations", containers_per_stack: "", throughput_per_minute: "1.824" },
{ from: "Stacking", to: "Stack handler", long_text: "0.61_Tote_Stack", short_text: "0.61", fromSpot: "RightSide", toSpot: "LeftSide", container: "Tote", form: "Stack", state: "Full", content: "Each", size: "Varies", flow_id: "Stacking_Stack handler", sequence_id: "321", orientation: "Lengthwise", flow_color: "rgb(255,199,1)", arrowhead_color: "rgb(113,190,138)", comments: "Stacks of totes move on to the stack handler for transfer to MR", containers_per_stack: "3", throughput_per_minute: "0.608" },
{ from: "Stack handler", to: "MR", long_text: "0.61_Tote_Stack", short_text: "0.61", fromSpot: "RightSide", toSpot: "LeftSide", container: "Tote", form: "Stack", state: "Full", content: "Each", size: "Varies", flow_id: "Stack handler_MR", sequence_id: "322", orientation: "Widthwise", flow_color: "rgb(255,199,1)", arrowhead_color: "rgb(113,190,138)", comments: "The stacks of totes are placed for transportation by MRs towards outbound and load", containers_per_stack: "3", throughput_per_minute: "0.608" },
{ from: "Main connector", to: "Manual pack", long_text: "0.17_Tote_Single", short_text: "0.17", fromSpot: "TopSide", toSpot: "BottomSide", container: "Tote", form: "Single", state: "Partial", content: "Each", size: "Varies", flow_id: "Main connector_Manual pack", sequence_id: "315", orientation: "Widthwise", flow_color: "rgb(255,199,1)", arrowhead_color: "rgb(162,212,171)", comments: "Some totes will need manual packing operations and thus this movement", containers_per_stack: "", throughput_per_minute: "0.17328" },
{ from: "Manual pack", to: "VAS", long_text: "0.05_Tote_Single", short_text: "0.05", fromSpot: "LeftSide", toSpot: "RightSide", container: "Tote", form: "Single", state: "Partial", content: "Each", size: "Varies", flow_id: "Manual pack_VAS", sequence_id: "316", orientation: "Lengthwise", flow_color: "rgb(255,199,1)", arrowhead_color: "rgb(162,212,171)", comments: "If the totes requires an item that involves VAS like giftwrapping, the tote is transferred to the VAS station", containers_per_stack: "", throughput_per_minute: "0.051984" },
{ from: "VAS", to: "Main connector", long_text: "0.05_Tote_Single", short_text: "0.05", fromSpot: "BottomSide", toSpot: "TopSide", container: "Tote", form: "Single", state: "Full", content: "Each", size: "Varies", flow_id: "VAS_Main connector", sequence_id: "317", orientation: "Widthwise", flow_color: "rgb(255,199,1)", arrowhead_color: "rgb(113,190,138)", comments: "Once the VAS is administered on the tote, it is transferred back to the main connector", containers_per_stack: "", throughput_per_minute: "0.051984" },
{ from: "Manual pack", to: "Main connector", long_text: "0.12_Tote_Single", short_text: "0.12", fromSpot: "BottomSide", toSpot: "TopSide", container: "Tote", form: "Single", state: "Full", content: "Each", size: "Varies", flow_id: "Manual pack_Main connector", sequence_id: "318", orientation: "Widthwise", flow_color: "rgb(255,199,1)", arrowhead_color: "rgb(113,190,138)", comments: "After manual packaging finishes, the tote is sent back to the IO connector from manual pack", containers_per_stack: "", throughput_per_minute: "0.121296" },
{ from: "Main connector", to: "Manual pack", long_text: "0.34_Tray_Single", short_text: "0.34", fromSpot: "TopSide", toSpot: "BottomSide", container: "Tray", form: "Single", state: "Partial", content: "Compartment", size: "All (with 1.x compartments:30%, with non 1.x compartments:70%)", flow_id: "Main connector_Manual pack", sequence_id: "5", orientation: "Widthwise", flow_color: "rgb(239,90,104)", arrowhead_color: "rgb(162,212,171)", comments: "We will plan on keeping SKUs that need manual picking/packaging together - meaning the trays will tend to have all such SKUs together. This strategy will ensure minimal movement of such trays between manual and automated packaging lines", containers_per_stack: "", throughput_per_minute: "0.338054187192118" },
{ from: "Manual pack", to: "VAS", long_text: "0.1_Tray_Single", short_text: "0.1", fromSpot: "LeftSide", toSpot: "RightSide", container: "Tray", form: "Single", state: "Partial", content: "Compartment", size: "All (with 1.x compartments:30%, with non 1.x compartments:70%)", flow_id: "Manual pack_VAS", sequence_id: "6", orientation: "Lengthwise", flow_color: "rgb(239,90,104)", arrowhead_color: "rgb(162,212,171)", comments: "For operations that need services that are more than just manual pick and place, like gift wrapping or kitting like steps, operators will move inventory trays from the manual pack cell onto their VAS station. ", containers_per_stack: "", throughput_per_minute: "0.101416256157635" },
{ from: "VAS", to: "Main connector", long_text: "0.1_Tray_Single", short_text: "0.1", fromSpot: "BottomSide", toSpot: "TopSide", container: "Tray", form: "Single", state: "Partial", content: "Compartment", size: "All (with 1.x compartments:30%, with non 1.x compartments:70%)", flow_id: "VAS_Main connector", sequence_id: "7", orientation: "Widthwise", flow_color: "rgb(239,90,104)", arrowhead_color: "rgb(162,212,171)", comments: "Once a value added service has been performed on an order and a tray either has a compartment which is empty or the whole tray is empty or the next order is later in the day, the inventory trays can be returned back to either where they came from or for the purposes of re-organization.", containers_per_stack: "", throughput_per_minute: "0.101416256157635" },
{ from: "Manual pack", to: "Main connector", long_text: "0.24_Tray_Single", short_text: "0.24", fromSpot: "BottomSide", toSpot: "TopSide", container: "Tray", form: "Single", state: "Partial", content: "Compartment", size: "All (with 1.x compartments:30%, with non 1.x compartments:70%)", flow_id: "Manual pack_Main connector", sequence_id: "6", orientation: "Widthwise", flow_color: "rgb(239,90,104)", arrowhead_color: "rgb(162,212,171)", comments: "Assuming that the tray with inventory has been used for the purposes of manual picking and packaging into the tote, it can be sent back to the main connector for return", containers_per_stack: "", throughput_per_minute: "0.236637931034483" },
{ from: "Tray erector", to: "Empties connector", long_text: "0.09_Tray_Single", short_text: "0.09", fromSpot: "BottomSide", toSpot: "TopSide", container: "Tray", form: "Single", state: "Empty", content: "Empty", size: "1.m", flow_id: "Tray erector_Empties connector", sequence_id: "103", orientation: "Lengthwise", flow_color: "rgb(239,90,104)", arrowhead_color: "rgb(194,220,188)",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 throughput_per_minute: "0.0911999999999999" },
{ from: "Empties connector", to: "Tote in", long_text: "0.09_Tray_Single", short_text: "0.09", fromSpot: "LeftSide", toSpot: "RightSide", container: "Tray", form: "Single", state: "Empty", content: "Compartment", size: "1.m", flow_id: "Empties connector_Tote in", sequence_id: "104", orientation: "Lengthwise", flow_color: "rgb(239,90,104)", arrowhead_color: "rgb(194,220,188)", comments: "The empty tray is sent to the tote in cell where it is combined with the empty tote coming from the tote erector cell", containers_per_stack: "", throughput_per_minute: "0.0911999999999999" },
{ from: "Tote in", to: "IO connector", long_text: "0.09_Tray_Single", short_text: "0.09", fromSpot: "BottomSide", toSpot: "TopSide", container: "Tray", form: "Single", state: "Empty", content: "Tote", size: "1.m", flow_id: "Tote in_IO connector", sequence_id: "105", orientation: "Lengthwise", flow_color: "rgb(239,90,104)", arrowhead_color: "rgb(194,220,188)", comments: "Once the tray with the tote is assembled, it is conveyed to the IO connector to eventually reach the pick cell", containers_per_stack: "", throughput_per_minute: "0.0911999999999999" },
{ from: "IO connector", to: "Tote out", long_text: "0.09_Tray_Single", short_text: "0.09", fromSpot: "BottomSide", toSpot: "TopSide", container: "Tray", form: "Single", state: "Empty", content: "Tote", size: "1.m", flow_id: "IO connector_Tote out", sequence_id: "113", orientation: "Lengthwise", flow_color: "rgb(239,90,104)", arrowhead_color: "rgb(194,220,188)", comments: "After the manual packing of the tote is completed at a manual pack station, the tote and tray need to be separated. This process starts by conveying those trays to the tote out cell", containers_per_stack: "", throughput_per_minute: "0.0911999999999999" },
{ from: "Tote out", to: "IO connector", long_text: "0.09_Tray_Single", short_text: "0.09", fromSpot: "TopSide", toSpot: "BottomSide", container: "Tray", form: "Single", state: "Empty", content: "Compartment", size: "1.m", flow_id: "Tote out_IO connector", sequence_id: "114", orientation: "Lengthwise", flow_color: "rgb(239,90,104)", arrowhead_color: "rgb(194,220,188)", comments: "The empty tray is now sent back to the IO connector for eventual induction back to the buffer", containers_per_stack: "", throughput_per_minute: "0.0911999999999999" },
{ from: "Tote out", to: "IO connector", long_text: "0.09_Tote_Single", short_text: "0.09", fromSpot: "TopSide", toSpot: "BottomSide", container: "Tote", form: "Single", state: "Full", content: "Each", size: "Varies", flow_id: "Tote out_IO connector", sequence_id: "114", orientation: "Lengthwise", flow_color: "rgb(255,199,1)", arrowhead_color: "rgb(113,190,138)", comments: "Once the tote is out of the tray, it is conveyed towards outbound operations through the IO connector", containers_per_stack: "", throughput_per_minute: "0.0911999999999999" },
{ from: "Destacking", to: "IO connector", long_text: "1.73_Tote_Single", short_text: "1.73", fromSpot: "LeftSide", toSpot: "RightSide", container: "Tote", form: "Single", state: "Empty", content: "Empty", size: "None", flow_id: "Destacking_IO connector", sequence_id: "307", orientation: "Lengthwise", flow_color: "rgb(255,199,1)", arrowhead_color: "rgb(194,220,188)", comments: "The singulated totes move onto the IO connector", containers_per_stack: "", throughput_per_minute: "1.7328" },
{ from: "IO connector", to: "Main connector", long_text: "0.09_Tray_Single", short_text: "0.09", fromSpot: "LeftSide", toSpot: "RightSide", container: "Tray", form: "Single", state: "Empty", content: "Tote", size: "1.m", flow_id: "IO connector_Main connector", sequence_id: "106", orientation: "Lengthwise", flow_color: "rgb(239,90,104)", arrowhead_color: "rgb(194,220,188)", comments: "The inventory trays next get transferred onto the main connector", containers_per_stack: "", throughput_per_minute: "0.0911999999999999" },
{ from: "Main connector", to: "Mainline", long_text: "0.09_Tray_Single", short_text: "0.09", fromSpot: "LeftSide", toSpot: "RightSide", container: "Tray", form: "Single", state: "Empty", content: "Tote", size: "1.m", flow_id: "Main connector_Mainline", sequence_id: "107", orientation: "Lengthwise", flow_color: "rgb(239,90,104)", arrowhead_color: "rgb(194,220,188)", comments: "Some inventory head straight towards the pick cell and others could diverted towards manual stations", containers_per_stack: "", throughput_per_minute: "0.0911999999999999" },
{ from: "Mainline", to: "Autopack handler", long_text: "0.09_Tray_Single", short_text: "0.09", fromSpot: "TopSide", toSpot: "BottomSide", container: "Tray", form: "Single", state: "Empty", content: "Tote", size: "1.m", flow_id: "Mainline_Autopack handler", sequence_id: "108", orientation: "Widthwise", flow_color: "rgb(239,90,104)", arrowhead_color: "rgb(194,220,188)", comments: "These are the trays which are suitable for robotic picking", containers_per_stack: "", throughput_per_minute: "0.0911999999999999" },
{ from: "Autopack handler", to: "Autopack pod disabled", long_text: "0.09_Tray_Single", short_text: "0.09", fromSpot: "TopSide", toSpot: "BottomSide", container: "Tray", form: "Single", state: "Empty", content: "Tote", size: "1.m", flow_id: "Autopack handler_Autopack pod disabled", sequence_id: "109", orientation: "Widthwise", flow_color: "rgb(239,90,104)", arrowhead_color: "rgb(194,220,188)", comments: "The trays get placed in the cache locations or immediately consumed for orders that are waiting on the SKUs that just arrived", containers_per_stack: "", throughput_per_minute: "0.0911999999999999" },
{ from: "Autopack pod ", to: "Autopack handler", long_text: "0.09_Tray_Single", short_text: "0.09", fromSpot: "BottomSide", toSpot: "TopSide", container: "Tray", form: "Single", state: "Partial", content: "Tote", size: "1.m", flow_id: "Autopack pod _Autopack handler", sequence_id: "110", orientation: "Widthwise", flow_color: "rgb(239,90,104)", arrowhead_color: "rgb(162,212,171)", comments: "Once one of the compartments in a tray becomes empty, it may be directed out of the cell. Alternatively this could also happen if the tray isn't seen to be consumed in the near term or if the SKU is needed in the manual stations", containers_per_stack: "", throughput_per_minute: "0.0911999999999999" },
{ from: "Autopack handler", to: "Mainline", long_text: "0.09_Tray_Single", short_text: "0.09", fromSpot: "BottomSide", toSpot: "TopSide", container: "Tray", form: "Single", state: "Partial", content: "Tote", size: "1.m", flow_id: "Autopack handler_Mainline", sequence_id: "111", orientation: "Widthwise", flow_color: "rgb(239,90,104)", arrowhead_color: "rgb(162,212,171)", comments: "The trays may get conveyed to the mainline for transportation to another pick cell. Most of the times though, they'll head towards the main connector", containers_per_stack: "", throughput_per_minute: "0.0911999999999999" },
{ from: "Mainline", to: "Main connector", long_text: "0.09_Tray_Single", short_text: "0.09", fromSpot: "RightSide", toSpot: "LeftSide", container: "Tray", form: "Single", state: "Partial", content: "Tote", size: "1.m", flow_id: "Mainline_Main connector", sequence_id: "112", orientation: "Lengthwise", flow_color: "rgb(239,90,104)", arrowhead_color: "rgb(162,212,171)", comments: "Trays have the option to now go back towards the traymaker for reorganization, fill-up, back to the tray storage for slow movers or the manual stations depending on the orders and situation", containers_per_stack: "", throughput_per_minute: "0.0911999999999999" },
{ from: "Main connector", to: "IO connector", long_text: "0.09_Tray_Single", short_text: "0.09", fromSpot: "RightSide", toSpot: "LeftSide", container: "Tray", form: "Single", state: "Partial", content: "Tote", size: "1.m", flow_id: "Main connector_IO connector", sequence_id: "113", orientation: "Lengthwise", flow_color: "rgb(239,90,104)", arrowhead_color: "rgb(162,212,171)", comments: "1.m trays move to the IO connector for tote out operations", containers_per_stack: "", throughput_per_minute: "0.0911999999999999" },
{ from: "IO connector", to: "Stacking", long_text: "0.09_Tray_Single", short_text: "0.09", fromSpot: "RightSide", toSpot: "LeftSide", container: "Tray", form: "Single", state: "Empty", content: "Empty", size: "1.m", flow_id: "IO connector_Stacking", sequence_id: "114", orientation: "Lengthwise", flow_color: "rgb(239,90,104)", arrowhead_color: "rgb(194,220,188)", comments: "Empty 1.m trays go through stacking operations. They get there in order to get to the buffer for the next set of totes requiring tote in operations", containers_per_stack: "", throughput_per_minute: "0.0911999999999999" },
{ from: "Stacking", to: "Empties connector", long_text: "0.02_Tray_Stack", short_text: "0.02", fromSpot: "TopSide", toSpot: "BottomSide", container: "Tray", form: "Stack", state: "Empty", content: "Empty", size: "1.m", flow_id: "Stacking_Empties connector", sequence_id: "115", orientation: "Lengthwise", flow_color: "rgb(239,90,104)", arrowhead_color: "rgb(194,220,188)", comments: "Empty 1.m trays go back to the empties conenector to buffer for the next set of tote in orders", containers_per_stack: "6", throughput_per_minute: "0.0152" },
{ from: "Empties connector", to: "Buffer", long_text: "0.02_Tray_Stack", short_text: "0.02", fromSpot: "TopSide", toSpot: "BottomSide", container: "Tray", form: "Stack", state: "Empty", content: "Empty", size: "1.m", flow_id: "Empties connector_Buffer", sequence_id: "116", orientation: "Lengthwise", flow_color: "rgb(239,90,104)", arrowhead_color: "rgb(194,220,188)", comments: "Empty 1.m trays finally reach the buffer wait to be summoned again for an appropriate order", containers_per_stack: "6", throughput_per_minute: "0.0152" },
{ from: "Main connector", to: "Manual pack", long_text: "0.09_Tray_Single", short_text: "0.09", fromSpot: "TopSide", toSpot: "BottomSide", container: "Tray", form: "Single", state: "Partial", content: "Tote", size: "1.m", flow_id: "Main connector_Manual pack", sequence_id: "113", orientation: "Lengthwise", flow_color: "rgb(239,90,104)", arrowhead_color: "rgb(162,212,171)", comments: "Move the totes in tray from the main connector to the manual pack", containers_per_stack: "", throughput_per_minute: "0.0911999999999999" },
{ from: "Manual pack", to: "Main connector", long_text: "0.09_Tray_Single", short_text: "0.09", fromSpot: "BottomSide", toSpot: "TopSide", container: "Tray", form: "Single", state: "Partial", content: "Tote", size: "1.m", flow_id: "Manual pack_Main connector", sequence_id: "114", orientation: "Lengthwise", flow_color: "rgb(239,90,104)", arrowhead_color: "rgb(162,212,171)", comments: "After manual packaging finishes, the tray and tote in it are brough back to the main connector", containers_per_stack: "", throughput_per_minute: "0.0911999999999999" },
{ from: "Buffer", to: "Empties connector", long_text: "0.02_Tray_Stack", short_text: "0.02", fromSpot: "BottomSide", toSpot: "TopSide", container: "Tray", form: "Stack", state: "KD", content: "Empty", size: "1.m", flow_id: "Buffer_Empties connector", sequence_id: "100", orientation: "Lengthwise", flow_color: "rgb(239,90,104)", arrowhead_color: "rgb(62,172,171)", comments: "Single 1.m trays will be used for tote in tray situations for manual packing operations. The use of KD trays is rather sporadic and thus the need for them to be always available in buffer lanes. Whenever there is an order which requires manual packing, the KD tray stack is conveyed back to the empties connector", containers_per_stack: "6", throughput_per_minute: "0.0152" },
{ from: "Empties connector", to: "Tote erector", long_text: "0.02_Tray_Stack", short_text: "0.02", fromSpot: "TopSide", toSpot: "BottomSide", container: "Tray", form: "Stack", state: "KD", content: "Empty", size: "1.m", flow_id: "Empties connector_Tote erector", sequence_id: "101", orientation: "Lengthwise", flow_color: "rgb(239,90,104)", arrowhead_color: "rgb(62,172,171)", comments: "KD stack of 1.m trays then need to go through the inbound of the tote erector as a pass through operation", containers_per_stack: "6", throughput_per_minute: "0.0152" },
{ from: "Tote erector", to: "Tray erector", long_text: "0.02_Tray_Stack", short_text: "0.02", fromSpot: "LeftSide", toSpot: "RightSide", container: "Tray", form: "Stack", state: "KD", content: "Empty", size: "1.m", flow_id: "Tote erector_Tray erector", sequence_id: "102", orientation: "Lengthwise", flow_color: "rgb(239,90,104)", arrowhead_color: "rgb(62,172,171)", comments: "The stack of empty KD 1.m trays then reaches the tray erector to be erected as well as singulated", containers_per_stack: "6", throughput_per_minute: "0.0152" },
{ from: "MR pad", to: "Manual pack", long_text: "0.01_Cart_Single", short_text: "0.01", fromSpot: "BottomSide", toSpot: "TopSide", container: "Cart", form: "Single", state: "Full", content: "Large", size: "Varies", flow_id: "MR pad_Manual pack", sequence_id: "600", orientation: "Lengthwise", flow_color: "rgb(144,166,248) ", arrowhead_color: "rgb(113,190,138)", comments: "A certain percentage of large items which can fit into totes will come to the manual pack via a LiteIO module configuration which has an MR pad.", containers_per_stack: "", throughput_per_minute: "0.0125145797598628" },
{ from: "Manual pack", to: "MR pad", long_text: "0.01_Cart_Single", short_text: "0.01", fromSpot: "TopSide", toSpot: "BottomSide", container: "Cart", form: "Single", state: "Full", content: "Large", size: "Varies", flow_id: "Manual pack_MR pad", sequence_id: "601", orientation: "Lengthwise", flow_color: "rgb(144,166,248) ", arrowhead_color: "rgb(113,190,138)", comments: "Once the large item is manually placed in a tote, the cart is sent back to parking- long or short term depending on the work  sequence", containers_per_stack: "", throughput_per_minute: "0.0125145797598628" }
]);</v>
      </c>
    </row>
  </sheetData>
  <autoFilter ref="AB41:AW107" xr:uid="{2457EC98-AA9C-40D2-9E1A-E1388F7889FF}"/>
  <mergeCells count="13">
    <mergeCell ref="R36:R37"/>
    <mergeCell ref="T36:V37"/>
    <mergeCell ref="B38:C38"/>
    <mergeCell ref="B40:C40"/>
    <mergeCell ref="I38:K38"/>
    <mergeCell ref="I35:L36"/>
    <mergeCell ref="B35:G36"/>
    <mergeCell ref="N35:P37"/>
    <mergeCell ref="T31:T34"/>
    <mergeCell ref="V31:V32"/>
    <mergeCell ref="R31:R32"/>
    <mergeCell ref="B33:C33"/>
    <mergeCell ref="B31:C3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A00A8-7906-4E9E-9142-E2BF9C30EEE4}">
  <sheetPr codeName="Sheet26"/>
  <dimension ref="A4:AW135"/>
  <sheetViews>
    <sheetView tabSelected="1" topLeftCell="J37" zoomScale="55" zoomScaleNormal="55" workbookViewId="0">
      <selection activeCell="AN86" sqref="AN86"/>
    </sheetView>
  </sheetViews>
  <sheetFormatPr defaultRowHeight="15.5"/>
  <cols>
    <col min="1" max="1" width="1.9140625" style="280" customWidth="1"/>
    <col min="2" max="4" width="5.25" style="280" customWidth="1"/>
    <col min="5" max="5" width="10.25" style="280" customWidth="1"/>
    <col min="6" max="6" width="38.83203125" style="280" customWidth="1"/>
    <col min="7" max="7" width="11.58203125" style="280" bestFit="1" customWidth="1"/>
    <col min="8" max="8" width="5.58203125" style="280" customWidth="1"/>
    <col min="9" max="15" width="5.25" style="280" customWidth="1"/>
    <col min="16" max="18" width="8.6640625" style="280"/>
    <col min="19" max="19" width="25.9140625" style="280" customWidth="1"/>
    <col min="20" max="20" width="16.58203125" style="280" customWidth="1"/>
    <col min="21" max="21" width="18" style="280" customWidth="1"/>
    <col min="22" max="22" width="8.6640625" style="280" customWidth="1"/>
    <col min="23" max="23" width="8.6640625" style="282" customWidth="1"/>
    <col min="24" max="24" width="17.58203125" style="282" customWidth="1"/>
    <col min="25" max="25" width="8.6640625" style="282" customWidth="1"/>
    <col min="26" max="26" width="61.1640625" style="282" customWidth="1"/>
    <col min="27" max="27" width="70.83203125" style="282" customWidth="1"/>
    <col min="28" max="28" width="8.6640625" style="282"/>
    <col min="29" max="29" width="28.58203125" style="282" bestFit="1" customWidth="1"/>
    <col min="30" max="31" width="27.1640625" style="282" bestFit="1" customWidth="1"/>
    <col min="32" max="32" width="12.25" style="282" bestFit="1" customWidth="1"/>
    <col min="33" max="33" width="8.1640625" style="282" bestFit="1" customWidth="1"/>
    <col min="34" max="34" width="11.25" style="282" customWidth="1"/>
    <col min="35" max="35" width="12.25" style="282" bestFit="1" customWidth="1"/>
    <col min="36" max="36" width="10.9140625" style="282" customWidth="1"/>
    <col min="37" max="37" width="13.33203125" style="282" bestFit="1" customWidth="1"/>
    <col min="38" max="38" width="6.75" style="282" customWidth="1"/>
    <col min="39" max="39" width="11" style="282" bestFit="1" customWidth="1"/>
    <col min="40" max="40" width="11" style="282" customWidth="1"/>
    <col min="41" max="41" width="19.5" style="282" customWidth="1"/>
    <col min="42" max="42" width="21.6640625" style="282" bestFit="1" customWidth="1"/>
    <col min="43" max="44" width="21.6640625" style="282" customWidth="1"/>
    <col min="45" max="45" width="45.4140625" style="282" customWidth="1"/>
    <col min="46" max="46" width="36.58203125" style="282" bestFit="1" customWidth="1"/>
    <col min="47" max="47" width="8.6640625" style="282"/>
    <col min="48" max="48" width="54.4140625" style="282" customWidth="1"/>
    <col min="49" max="16384" width="8.6640625" style="282"/>
  </cols>
  <sheetData>
    <row r="4" spans="29:29">
      <c r="AC4" s="282" t="s">
        <v>160</v>
      </c>
    </row>
    <row r="5" spans="29:29">
      <c r="AC5" s="282" t="s">
        <v>157</v>
      </c>
    </row>
    <row r="6" spans="29:29">
      <c r="AC6" s="282" t="s">
        <v>69</v>
      </c>
    </row>
    <row r="7" spans="29:29">
      <c r="AC7" s="282" t="s">
        <v>73</v>
      </c>
    </row>
    <row r="8" spans="29:29">
      <c r="AC8" s="282" t="s">
        <v>122</v>
      </c>
    </row>
    <row r="9" spans="29:29">
      <c r="AC9" s="282" t="s">
        <v>123</v>
      </c>
    </row>
    <row r="10" spans="29:29">
      <c r="AC10" s="282" t="s">
        <v>68</v>
      </c>
    </row>
    <row r="11" spans="29:29">
      <c r="AC11" s="282" t="s">
        <v>86</v>
      </c>
    </row>
    <row r="12" spans="29:29">
      <c r="AC12" s="282" t="s">
        <v>146</v>
      </c>
    </row>
    <row r="13" spans="29:29">
      <c r="AC13" s="282" t="s">
        <v>136</v>
      </c>
    </row>
    <row r="14" spans="29:29">
      <c r="AC14" s="282" t="s">
        <v>138</v>
      </c>
    </row>
    <row r="15" spans="29:29">
      <c r="AC15" s="29" t="s">
        <v>147</v>
      </c>
    </row>
    <row r="16" spans="29:29">
      <c r="AC16" s="282" t="s">
        <v>140</v>
      </c>
    </row>
    <row r="17" spans="2:45">
      <c r="AC17" s="282" t="s">
        <v>67</v>
      </c>
    </row>
    <row r="18" spans="2:45">
      <c r="AC18" s="282" t="s">
        <v>70</v>
      </c>
    </row>
    <row r="19" spans="2:45">
      <c r="AC19" s="282" t="s">
        <v>141</v>
      </c>
      <c r="AS19" s="27" t="s">
        <v>251</v>
      </c>
    </row>
    <row r="20" spans="2:45">
      <c r="AC20" s="282" t="s">
        <v>71</v>
      </c>
      <c r="AS20" s="282" t="s">
        <v>252</v>
      </c>
    </row>
    <row r="21" spans="2:45">
      <c r="AC21" s="282" t="s">
        <v>72</v>
      </c>
      <c r="AS21" s="282" t="s">
        <v>375</v>
      </c>
    </row>
    <row r="22" spans="2:45">
      <c r="AC22" s="282" t="s">
        <v>142</v>
      </c>
      <c r="AS22" s="282" t="s">
        <v>389</v>
      </c>
    </row>
    <row r="23" spans="2:45">
      <c r="AS23" s="282" t="s">
        <v>390</v>
      </c>
    </row>
    <row r="24" spans="2:45">
      <c r="AS24" s="282" t="s">
        <v>391</v>
      </c>
    </row>
    <row r="25" spans="2:45">
      <c r="AS25" s="282" t="s">
        <v>392</v>
      </c>
    </row>
    <row r="26" spans="2:45">
      <c r="AS26" s="282" t="s">
        <v>393</v>
      </c>
    </row>
    <row r="30" spans="2:45">
      <c r="AS30" s="27" t="s">
        <v>383</v>
      </c>
    </row>
    <row r="31" spans="2:45">
      <c r="B31" s="301"/>
      <c r="C31" s="302"/>
      <c r="P31" s="281"/>
      <c r="Q31" s="282"/>
      <c r="R31" s="301"/>
      <c r="S31" s="282"/>
      <c r="T31" s="302"/>
      <c r="U31" s="282"/>
      <c r="V31" s="301"/>
      <c r="AF31" s="27" t="s">
        <v>230</v>
      </c>
      <c r="AG31" s="27" t="s">
        <v>196</v>
      </c>
      <c r="AH31" s="27" t="s">
        <v>234</v>
      </c>
      <c r="AI31" s="27" t="s">
        <v>438</v>
      </c>
      <c r="AJ31" s="27" t="s">
        <v>436</v>
      </c>
      <c r="AK31" s="27" t="s">
        <v>247</v>
      </c>
      <c r="AS31" s="282" t="s">
        <v>384</v>
      </c>
    </row>
    <row r="32" spans="2:45">
      <c r="B32" s="282"/>
      <c r="C32" s="282"/>
      <c r="R32" s="302"/>
      <c r="T32" s="302"/>
      <c r="U32" s="282"/>
      <c r="V32" s="302"/>
      <c r="AF32" s="282" t="s">
        <v>52</v>
      </c>
      <c r="AG32" s="282" t="s">
        <v>232</v>
      </c>
      <c r="AH32" s="282" t="s">
        <v>235</v>
      </c>
      <c r="AI32" s="282" t="s">
        <v>435</v>
      </c>
      <c r="AJ32" s="282" t="s">
        <v>437</v>
      </c>
      <c r="AK32" s="282" t="s">
        <v>248</v>
      </c>
      <c r="AS32" s="282" t="s">
        <v>385</v>
      </c>
    </row>
    <row r="33" spans="1:49">
      <c r="B33" s="301"/>
      <c r="C33" s="302"/>
      <c r="J33" s="281"/>
      <c r="K33" s="282"/>
      <c r="L33" s="281"/>
      <c r="O33" s="281"/>
      <c r="R33" s="282"/>
      <c r="T33" s="302"/>
      <c r="AF33" s="282" t="s">
        <v>231</v>
      </c>
      <c r="AG33" s="282" t="s">
        <v>233</v>
      </c>
      <c r="AH33" s="282" t="s">
        <v>336</v>
      </c>
      <c r="AI33" s="282" t="s">
        <v>279</v>
      </c>
      <c r="AJ33" s="282" t="s">
        <v>237</v>
      </c>
      <c r="AK33" s="282" t="s">
        <v>249</v>
      </c>
    </row>
    <row r="34" spans="1:49">
      <c r="B34" s="282"/>
      <c r="C34" s="282"/>
      <c r="J34" s="282"/>
      <c r="L34" s="282"/>
      <c r="T34" s="302"/>
      <c r="V34" s="281"/>
      <c r="AF34" s="282" t="s">
        <v>53</v>
      </c>
      <c r="AG34" s="282" t="s">
        <v>411</v>
      </c>
      <c r="AH34" s="282" t="s">
        <v>335</v>
      </c>
      <c r="AI34" s="282" t="s">
        <v>439</v>
      </c>
      <c r="AJ34" s="11" t="str">
        <f>"Non 1.x ("&amp;$F$87&amp;":"&amp;TEXT($G$87,"0%")&amp;", "&amp;$F$88&amp;":"&amp;TEXT($G$88,"0%")&amp;", "&amp;$F$89&amp;":"&amp;TEXT($G$89,"0%")&amp;", "&amp;$F$90&amp;":"&amp;TEXT($G$90,"0%")&amp;")"</f>
        <v>Non 1.x (2.m:21%, 2.t:21%, 4.m:36%, 8.s:21%)</v>
      </c>
    </row>
    <row r="35" spans="1:49">
      <c r="B35" s="302"/>
      <c r="C35" s="302"/>
      <c r="D35" s="302"/>
      <c r="E35" s="302"/>
      <c r="F35" s="302"/>
      <c r="G35" s="302"/>
      <c r="H35" s="282"/>
      <c r="I35" s="302"/>
      <c r="J35" s="302"/>
      <c r="K35" s="302"/>
      <c r="L35" s="302"/>
      <c r="M35" s="282"/>
      <c r="N35" s="302"/>
      <c r="O35" s="302"/>
      <c r="P35" s="302"/>
      <c r="T35" s="282"/>
      <c r="V35" s="282"/>
      <c r="AF35" s="282" t="s">
        <v>3</v>
      </c>
      <c r="AH35" s="282" t="s">
        <v>337</v>
      </c>
      <c r="AI35" s="282" t="s">
        <v>466</v>
      </c>
      <c r="AJ35" s="282" t="s">
        <v>271</v>
      </c>
    </row>
    <row r="36" spans="1:49" ht="16" thickBot="1">
      <c r="B36" s="302"/>
      <c r="C36" s="302"/>
      <c r="D36" s="302"/>
      <c r="E36" s="302"/>
      <c r="F36" s="302"/>
      <c r="G36" s="302"/>
      <c r="H36" s="282"/>
      <c r="I36" s="302"/>
      <c r="J36" s="302"/>
      <c r="K36" s="302"/>
      <c r="L36" s="302"/>
      <c r="M36" s="282"/>
      <c r="N36" s="302"/>
      <c r="O36" s="302"/>
      <c r="P36" s="302"/>
      <c r="Q36" s="282"/>
      <c r="R36" s="301"/>
      <c r="S36" s="282"/>
      <c r="T36" s="302"/>
      <c r="U36" s="303"/>
      <c r="V36" s="303"/>
      <c r="AF36" s="282" t="s">
        <v>435</v>
      </c>
      <c r="AH36" s="282" t="s">
        <v>465</v>
      </c>
      <c r="AI36" s="282" t="s">
        <v>867</v>
      </c>
      <c r="AJ36" s="282" t="s">
        <v>272</v>
      </c>
    </row>
    <row r="37" spans="1:49">
      <c r="B37" s="282"/>
      <c r="C37" s="282"/>
      <c r="I37" s="282"/>
      <c r="K37" s="282"/>
      <c r="N37" s="302"/>
      <c r="O37" s="302"/>
      <c r="P37" s="302"/>
      <c r="Q37" s="282"/>
      <c r="R37" s="302"/>
      <c r="S37" s="282"/>
      <c r="T37" s="303"/>
      <c r="U37" s="303"/>
      <c r="V37" s="303"/>
      <c r="Z37" s="233" t="s">
        <v>372</v>
      </c>
      <c r="AA37" s="283"/>
      <c r="AF37" s="282" t="s">
        <v>866</v>
      </c>
      <c r="AI37" s="282" t="s">
        <v>231</v>
      </c>
      <c r="AJ37" s="282" t="s">
        <v>273</v>
      </c>
      <c r="AP37" s="288"/>
      <c r="AQ37" s="282" t="s">
        <v>628</v>
      </c>
    </row>
    <row r="38" spans="1:49">
      <c r="B38" s="301"/>
      <c r="C38" s="302"/>
      <c r="I38" s="301"/>
      <c r="J38" s="302"/>
      <c r="K38" s="302"/>
      <c r="N38" s="282"/>
      <c r="P38" s="282"/>
      <c r="V38" s="282"/>
      <c r="Z38" s="18" t="s">
        <v>359</v>
      </c>
      <c r="AA38" s="19" t="e">
        <f>LookUpConcat(_xlfn.CONCAT(AA37,"_",AA39),$AC$43:$AC$202,$AS$43:$AS$202,", ")</f>
        <v>#VALUE!</v>
      </c>
      <c r="AF38" s="282" t="s">
        <v>868</v>
      </c>
      <c r="AJ38" s="282" t="s">
        <v>274</v>
      </c>
    </row>
    <row r="39" spans="1:49">
      <c r="B39" s="282"/>
      <c r="C39" s="282"/>
      <c r="N39" s="281"/>
      <c r="P39" s="281"/>
      <c r="V39" s="281"/>
      <c r="Z39" s="18"/>
      <c r="AA39" s="19"/>
      <c r="AF39" s="282" t="s">
        <v>183</v>
      </c>
      <c r="AJ39" s="282" t="s">
        <v>275</v>
      </c>
    </row>
    <row r="40" spans="1:49">
      <c r="B40" s="282"/>
      <c r="C40" s="282"/>
      <c r="N40" s="281"/>
      <c r="P40" s="281"/>
      <c r="V40" s="281"/>
      <c r="Z40" s="18" t="s">
        <v>370</v>
      </c>
      <c r="AA40" s="19" t="e">
        <f>LookUpConcat(_xlfn.CONCAT(AA41,"_",AA39),$AC$43:$AC$202,$AS$43:$AS$202,", ")</f>
        <v>#VALUE!</v>
      </c>
      <c r="AJ40" s="282" t="s">
        <v>276</v>
      </c>
    </row>
    <row r="41" spans="1:49">
      <c r="B41" s="282"/>
      <c r="C41" s="282"/>
      <c r="N41" s="281"/>
      <c r="P41" s="281"/>
      <c r="V41" s="281"/>
      <c r="Z41" s="18" t="s">
        <v>371</v>
      </c>
      <c r="AA41" s="19" t="e">
        <f>LookUpConcat(_xlfn.CONCAT(AC40,"_",Z41),$AC$43:$AC$202,$AS$43:$AS$202,", ")</f>
        <v>#VALUE!</v>
      </c>
      <c r="AJ41" s="282" t="s">
        <v>277</v>
      </c>
    </row>
    <row r="42" spans="1:49" ht="16" thickBot="1">
      <c r="B42" s="301"/>
      <c r="C42" s="302"/>
      <c r="Z42" s="284" t="s">
        <v>360</v>
      </c>
      <c r="AA42" s="285" t="e">
        <f>LookUpConcat(_xlfn.CONCAT(Z42,"_",AC41),$AC$43:$AC$202,$AS$43:$AS$202,", ")</f>
        <v>#VALUE!</v>
      </c>
      <c r="AJ42" s="11" t="str">
        <f>"All ("&amp;$F$56&amp;":"&amp;TEXT($G$56,"0%")&amp;", "&amp;$F$57&amp;":"&amp;TEXT($G$57,"0%")&amp;", "&amp;$F$58&amp;":"&amp;TEXT($G$58,"0%")&amp;", "&amp;$F$59&amp;":"&amp;TEXT($G$59,"0%")&amp;", "&amp;$F$60&amp;":"&amp;TEXT($G$60,"0%")&amp;", "&amp;$F$61&amp;":"&amp;TEXT($G$61,"0%")&amp;", "&amp;$F$62&amp;":"&amp;TEXT($G$62,"0%")&amp;")"</f>
        <v>All (1.s:10%, 1.m:10%, 1.t:10%, 2.m:15%, 2.t:15%, 4.m:25%, 8.s:15%)</v>
      </c>
    </row>
    <row r="43" spans="1:49">
      <c r="S43" s="271" t="s">
        <v>240</v>
      </c>
      <c r="T43" s="272" t="s">
        <v>470</v>
      </c>
      <c r="U43" s="246" t="s">
        <v>330</v>
      </c>
      <c r="V43" s="246" t="s">
        <v>358</v>
      </c>
      <c r="W43" s="271" t="s">
        <v>234</v>
      </c>
      <c r="X43" s="274" t="s">
        <v>470</v>
      </c>
      <c r="AB43" s="27" t="s">
        <v>250</v>
      </c>
      <c r="AC43" s="27" t="s">
        <v>357</v>
      </c>
      <c r="AD43" s="27" t="s">
        <v>238</v>
      </c>
      <c r="AE43" s="27" t="s">
        <v>239</v>
      </c>
      <c r="AF43" s="27" t="s">
        <v>240</v>
      </c>
      <c r="AG43" s="27" t="s">
        <v>196</v>
      </c>
      <c r="AH43" s="27" t="s">
        <v>234</v>
      </c>
      <c r="AI43" s="27" t="s">
        <v>438</v>
      </c>
      <c r="AJ43" s="27" t="s">
        <v>436</v>
      </c>
      <c r="AK43" s="27" t="s">
        <v>247</v>
      </c>
      <c r="AL43" s="27" t="s">
        <v>330</v>
      </c>
      <c r="AM43" s="27" t="s">
        <v>445</v>
      </c>
      <c r="AN43" s="27" t="s">
        <v>483</v>
      </c>
      <c r="AO43" s="27" t="s">
        <v>382</v>
      </c>
      <c r="AP43" s="27" t="s">
        <v>347</v>
      </c>
      <c r="AQ43" s="27" t="s">
        <v>471</v>
      </c>
      <c r="AR43" s="27" t="s">
        <v>472</v>
      </c>
      <c r="AS43" s="27" t="s">
        <v>369</v>
      </c>
      <c r="AT43" s="27" t="s">
        <v>394</v>
      </c>
      <c r="AU43" s="27" t="s">
        <v>405</v>
      </c>
      <c r="AV43" s="27" t="s">
        <v>406</v>
      </c>
      <c r="AW43" s="27" t="s">
        <v>407</v>
      </c>
    </row>
    <row r="44" spans="1:49">
      <c r="S44" s="225" t="s">
        <v>52</v>
      </c>
      <c r="T44" s="280" t="s">
        <v>475</v>
      </c>
      <c r="U44" s="243" t="s">
        <v>333</v>
      </c>
      <c r="V44" s="245" t="s">
        <v>245</v>
      </c>
      <c r="W44" s="225" t="s">
        <v>235</v>
      </c>
      <c r="X44" s="229" t="s">
        <v>478</v>
      </c>
      <c r="Z44" s="27" t="s">
        <v>440</v>
      </c>
      <c r="AB44" s="22">
        <v>700</v>
      </c>
      <c r="AC44" s="282" t="str">
        <f>AD44&amp;"_"&amp;AE44</f>
        <v>A_Inbound dock_A_4D rack</v>
      </c>
      <c r="AD44" s="22" t="s">
        <v>790</v>
      </c>
      <c r="AE44" s="22" t="s">
        <v>789</v>
      </c>
      <c r="AF44" s="22" t="s">
        <v>53</v>
      </c>
      <c r="AG44" s="22" t="s">
        <v>232</v>
      </c>
      <c r="AH44" s="22" t="s">
        <v>336</v>
      </c>
      <c r="AI44" s="22" t="s">
        <v>439</v>
      </c>
      <c r="AJ44" s="22" t="s">
        <v>437</v>
      </c>
      <c r="AK44" s="22" t="s">
        <v>249</v>
      </c>
      <c r="AL44" s="22" t="s">
        <v>334</v>
      </c>
      <c r="AM44" s="22">
        <v>1</v>
      </c>
      <c r="AN44" s="22" t="s">
        <v>818</v>
      </c>
      <c r="AO44" s="12"/>
      <c r="AP44" s="12">
        <f>G112*G116</f>
        <v>1.5168764467592593E-2</v>
      </c>
      <c r="AQ44" s="12" t="str">
        <f>VLOOKUP(AF44,$S$43:$T$55,2,FALSE)</f>
        <v>rgb(199,227,114)</v>
      </c>
      <c r="AR44" s="12" t="str">
        <f>VLOOKUP(AH44,$W$43:$X$53,2,FALSE)</f>
        <v>rgb(113,190,138)</v>
      </c>
      <c r="AS44" s="282" t="str">
        <f>VLOOKUP(AL44,$U$43:$V$53,2,FALSE)&amp;ROUND(AP44,2)&amp;"_"&amp;AF44&amp;"_"&amp;AG44&amp;"_"&amp;AH44&amp;"_"&amp;AK44</f>
        <v>→0.02_Pallet_Single_Full_Widthwise</v>
      </c>
      <c r="AT44" s="282" t="str">
        <f>AD44&amp;" ["&amp;ROUND(AP44,2)&amp;"] "&amp;AE44</f>
        <v>A_Inbound dock [0.02] A_4D rack</v>
      </c>
      <c r="AU44" s="22" t="s">
        <v>402</v>
      </c>
      <c r="AV44" s="282" t="str">
        <f>IF(AU44="first","","")&amp;CHAR(10)&amp;"{ from: """&amp;AD44&amp;""", to: """&amp;AE44&amp;""", long_text: """&amp;ROUND(AP44,2)&amp;"_"&amp;AF44&amp;"_"&amp;AG44&amp;""", short_text: """&amp;ROUND(AP44,2)&amp;""", fromSpot: """&amp;IF(AL44="Down","BottomSide",IF(AL44="Up","TopSide",IF(AL44="Left","LeftSide","RightSide")))&amp;""", toSpot: """&amp;IF(AL44="Down","TopSide",IF(AL44="Up","BottomSide",IF(AL44="Left","RightSide","LeftSide")))&amp;""", container: """&amp;AF44&amp;""", form: """&amp;AG44&amp;""", state: """&amp;AH44&amp;""", content: """&amp;AI44&amp;""", size: """&amp;AJ44&amp;""", flow_id: """&amp;AC44&amp;""", sequence_id: """&amp;AM44&amp;""", orientation: """&amp;AK44&amp;""", flow_color: """&amp;AQ44&amp;""", arrowhead_color: """&amp;AR44&amp;""", comments: """&amp;AN44&amp;""", containers_per_stack: """&amp;AO44&amp;""", throughput_per_minute: """&amp;AP44&amp;""" }"&amp;IF(AU44="last",CHAR(10)&amp;"]);",",")</f>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v>
      </c>
      <c r="AW44" s="282" t="str">
        <f>IF(AND(AU44&lt;&gt;"",AU44&lt;&gt;"last"),AV44,AW43&amp;AV44)</f>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v>
      </c>
    </row>
    <row r="45" spans="1:49">
      <c r="S45" s="225" t="s">
        <v>231</v>
      </c>
      <c r="T45" s="280" t="s">
        <v>474</v>
      </c>
      <c r="U45" s="243" t="s">
        <v>331</v>
      </c>
      <c r="V45" s="245" t="s">
        <v>246</v>
      </c>
      <c r="W45" s="225" t="s">
        <v>336</v>
      </c>
      <c r="X45" s="229" t="s">
        <v>481</v>
      </c>
      <c r="Z45" s="27" t="s">
        <v>209</v>
      </c>
      <c r="AA45" s="27" t="s">
        <v>208</v>
      </c>
      <c r="AB45" s="282">
        <f>AB44+1</f>
        <v>701</v>
      </c>
      <c r="AC45" s="282" t="str">
        <f t="shared" ref="AC45:AC108" si="0">AD45&amp;"_"&amp;AE45</f>
        <v>A_4D rack_C_Lite IO (PMR position)</v>
      </c>
      <c r="AD45" s="22" t="s">
        <v>789</v>
      </c>
      <c r="AE45" s="22" t="s">
        <v>803</v>
      </c>
      <c r="AF45" s="22" t="s">
        <v>53</v>
      </c>
      <c r="AG45" s="22" t="s">
        <v>232</v>
      </c>
      <c r="AH45" s="22" t="s">
        <v>336</v>
      </c>
      <c r="AI45" s="22" t="s">
        <v>439</v>
      </c>
      <c r="AJ45" s="22" t="s">
        <v>437</v>
      </c>
      <c r="AK45" s="22" t="s">
        <v>249</v>
      </c>
      <c r="AL45" s="22" t="s">
        <v>334</v>
      </c>
      <c r="AM45" s="22">
        <f>AM44+1</f>
        <v>2</v>
      </c>
      <c r="AN45" s="22" t="s">
        <v>830</v>
      </c>
      <c r="AO45" s="12"/>
      <c r="AP45" s="12">
        <f>AP44</f>
        <v>1.5168764467592593E-2</v>
      </c>
      <c r="AQ45" s="12" t="str">
        <f t="shared" ref="AQ45:AQ108" si="1">VLOOKUP(AF45,$S$43:$T$55,2,FALSE)</f>
        <v>rgb(199,227,114)</v>
      </c>
      <c r="AR45" s="12" t="str">
        <f t="shared" ref="AR45:AR108" si="2">VLOOKUP(AH45,$W$43:$X$53,2,FALSE)</f>
        <v>rgb(113,190,138)</v>
      </c>
      <c r="AS45" s="282" t="str">
        <f t="shared" ref="AS45:AS108" si="3">VLOOKUP(AL45,$U$43:$V$53,2,FALSE)&amp;ROUND(AP45,2)&amp;"_"&amp;AF45&amp;"_"&amp;AG45&amp;"_"&amp;AH45&amp;"_"&amp;AK45</f>
        <v>→0.02_Pallet_Single_Full_Widthwise</v>
      </c>
      <c r="AT45" s="282" t="str">
        <f t="shared" ref="AT45:AT108" si="4">AD45&amp;" ["&amp;ROUND(AP45,2)&amp;"] "&amp;AE45</f>
        <v>A_4D rack [0.02] C_Lite IO (PMR position)</v>
      </c>
      <c r="AU45" s="22"/>
      <c r="AV45" s="282" t="str">
        <f t="shared" ref="AV45:AV108" si="5">IF(AU45="first","","")&amp;CHAR(10)&amp;"{ from: """&amp;AD45&amp;""", to: """&amp;AE45&amp;""", long_text: """&amp;ROUND(AP45,2)&amp;"_"&amp;AF45&amp;"_"&amp;AG45&amp;""", short_text: """&amp;ROUND(AP45,2)&amp;""", fromSpot: """&amp;IF(AL45="Down","BottomSide",IF(AL45="Up","TopSide",IF(AL45="Left","LeftSide","RightSide")))&amp;""", toSpot: """&amp;IF(AL45="Down","TopSide",IF(AL45="Up","BottomSide",IF(AL45="Left","RightSide","LeftSide")))&amp;""", container: """&amp;AF45&amp;""", form: """&amp;AG45&amp;""", state: """&amp;AH45&amp;""", content: """&amp;AI45&amp;""", size: """&amp;AJ45&amp;""", flow_id: """&amp;AC45&amp;""", sequence_id: """&amp;AM45&amp;""", orientation: """&amp;AK45&amp;""", flow_color: """&amp;AQ45&amp;""", arrowhead_color: """&amp;AR45&amp;""", comments: """&amp;AN45&amp;""", containers_per_stack: """&amp;AO45&amp;""", throughput_per_minute: """&amp;AP45&amp;""" }"&amp;IF(AU45="last",CHAR(10)&amp;"]);",",")</f>
        <v xml:space="preserve">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v>
      </c>
      <c r="AW45" s="282" t="str">
        <f>IF(AND(AU45&lt;&gt;"",AU45&lt;&gt;"last"),AV45,AW44&amp;AV45)</f>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v>
      </c>
    </row>
    <row r="46" spans="1:49">
      <c r="A46" s="50" t="s">
        <v>338</v>
      </c>
      <c r="B46" s="224"/>
      <c r="C46" s="224"/>
      <c r="D46" s="224"/>
      <c r="E46" s="224"/>
      <c r="F46" s="224"/>
      <c r="G46" s="66"/>
      <c r="S46" s="225" t="s">
        <v>53</v>
      </c>
      <c r="T46" s="280" t="s">
        <v>473</v>
      </c>
      <c r="U46" s="243" t="s">
        <v>332</v>
      </c>
      <c r="V46" s="245" t="s">
        <v>254</v>
      </c>
      <c r="W46" s="225" t="s">
        <v>335</v>
      </c>
      <c r="X46" s="229" t="s">
        <v>480</v>
      </c>
      <c r="Z46" s="282" t="s">
        <v>54</v>
      </c>
      <c r="AA46" s="282" t="s">
        <v>242</v>
      </c>
      <c r="AB46" s="282">
        <f t="shared" ref="AB46:AB109" si="6">AB45+1</f>
        <v>702</v>
      </c>
      <c r="AC46" s="282" t="str">
        <f t="shared" si="0"/>
        <v>A_Inbound dock_C_Lite IO (PMR position)</v>
      </c>
      <c r="AD46" s="22" t="s">
        <v>790</v>
      </c>
      <c r="AE46" s="22" t="s">
        <v>803</v>
      </c>
      <c r="AF46" s="22" t="s">
        <v>53</v>
      </c>
      <c r="AG46" s="22" t="s">
        <v>232</v>
      </c>
      <c r="AH46" s="22" t="s">
        <v>336</v>
      </c>
      <c r="AI46" s="22" t="s">
        <v>439</v>
      </c>
      <c r="AJ46" s="22" t="s">
        <v>437</v>
      </c>
      <c r="AK46" s="22" t="s">
        <v>249</v>
      </c>
      <c r="AL46" s="22" t="s">
        <v>334</v>
      </c>
      <c r="AM46" s="22">
        <f>AM45+1</f>
        <v>3</v>
      </c>
      <c r="AN46" s="22" t="s">
        <v>827</v>
      </c>
      <c r="AP46" s="12">
        <f>(1-G112)*G116</f>
        <v>1.5168764467592593E-2</v>
      </c>
      <c r="AQ46" s="12" t="str">
        <f t="shared" si="1"/>
        <v>rgb(199,227,114)</v>
      </c>
      <c r="AR46" s="12" t="str">
        <f t="shared" si="2"/>
        <v>rgb(113,190,138)</v>
      </c>
      <c r="AS46" s="282" t="str">
        <f t="shared" si="3"/>
        <v>→0.02_Pallet_Single_Full_Widthwise</v>
      </c>
      <c r="AT46" s="282" t="str">
        <f t="shared" si="4"/>
        <v>A_Inbound dock [0.02] C_Lite IO (PMR position)</v>
      </c>
      <c r="AU46" s="22"/>
      <c r="AV46" s="282" t="str">
        <f t="shared" si="5"/>
        <v xml:space="preserve">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v>
      </c>
      <c r="AW46" s="282" t="str">
        <f t="shared" ref="AW46:AW109" si="7">IF(AND(AU46&lt;&gt;"",AU46&lt;&gt;"last"),AV46,AW45&amp;AV46)</f>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v>
      </c>
    </row>
    <row r="47" spans="1:49">
      <c r="A47" s="225"/>
      <c r="B47" s="282"/>
      <c r="C47" s="282"/>
      <c r="D47" s="282"/>
      <c r="E47" s="282"/>
      <c r="F47" s="7" t="s">
        <v>416</v>
      </c>
      <c r="G47" s="226">
        <f>Metrics!H122</f>
        <v>9.2262500000000003</v>
      </c>
      <c r="H47" s="282"/>
      <c r="I47" s="282"/>
      <c r="J47" s="282"/>
      <c r="K47" s="282"/>
      <c r="L47" s="282"/>
      <c r="M47" s="282"/>
      <c r="N47" s="282"/>
      <c r="O47" s="282"/>
      <c r="P47" s="282"/>
      <c r="Q47" s="282"/>
      <c r="R47" s="282"/>
      <c r="S47" s="144" t="s">
        <v>3</v>
      </c>
      <c r="T47" s="280" t="s">
        <v>476</v>
      </c>
      <c r="U47" s="243" t="s">
        <v>334</v>
      </c>
      <c r="V47" s="245" t="s">
        <v>253</v>
      </c>
      <c r="W47" s="144" t="s">
        <v>337</v>
      </c>
      <c r="X47" s="229" t="s">
        <v>479</v>
      </c>
      <c r="Z47" s="282" t="s">
        <v>55</v>
      </c>
      <c r="AA47" s="282" t="s">
        <v>243</v>
      </c>
      <c r="AB47" s="282">
        <f t="shared" si="6"/>
        <v>703</v>
      </c>
      <c r="AC47" s="282" t="str">
        <f t="shared" si="0"/>
        <v>C_Inbound dock_C_4D rack</v>
      </c>
      <c r="AD47" s="22" t="s">
        <v>792</v>
      </c>
      <c r="AE47" s="242" t="s">
        <v>793</v>
      </c>
      <c r="AF47" s="22" t="s">
        <v>53</v>
      </c>
      <c r="AG47" s="22" t="s">
        <v>232</v>
      </c>
      <c r="AH47" s="22" t="s">
        <v>336</v>
      </c>
      <c r="AI47" s="22" t="s">
        <v>439</v>
      </c>
      <c r="AJ47" s="22" t="s">
        <v>437</v>
      </c>
      <c r="AK47" s="22" t="s">
        <v>249</v>
      </c>
      <c r="AL47" s="22" t="s">
        <v>334</v>
      </c>
      <c r="AM47" s="22">
        <f>AM46+1</f>
        <v>4</v>
      </c>
      <c r="AN47" s="22" t="s">
        <v>828</v>
      </c>
      <c r="AP47" s="12">
        <f>G113*G117</f>
        <v>6.3312596450617294E-3</v>
      </c>
      <c r="AQ47" s="12" t="str">
        <f t="shared" si="1"/>
        <v>rgb(199,227,114)</v>
      </c>
      <c r="AR47" s="12" t="str">
        <f t="shared" si="2"/>
        <v>rgb(113,190,138)</v>
      </c>
      <c r="AS47" s="282" t="str">
        <f t="shared" si="3"/>
        <v>→0.01_Pallet_Single_Full_Widthwise</v>
      </c>
      <c r="AT47" s="282" t="str">
        <f t="shared" si="4"/>
        <v>C_Inbound dock [0.01] C_4D rack</v>
      </c>
      <c r="AU47" s="22"/>
      <c r="AV47" s="282" t="str">
        <f t="shared" si="5"/>
        <v xml:space="preserve">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v>
      </c>
      <c r="AW47"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v>
      </c>
    </row>
    <row r="48" spans="1:49">
      <c r="A48" s="144"/>
      <c r="B48" s="282"/>
      <c r="C48" s="282"/>
      <c r="D48" s="282"/>
      <c r="E48" s="282"/>
      <c r="F48" s="7" t="s">
        <v>417</v>
      </c>
      <c r="G48" s="226">
        <f>Metrics!H123</f>
        <v>0.40333333333333338</v>
      </c>
      <c r="H48" s="282"/>
      <c r="I48" s="282"/>
      <c r="J48" s="282"/>
      <c r="K48" s="282"/>
      <c r="L48" s="282"/>
      <c r="M48" s="282"/>
      <c r="N48" s="282"/>
      <c r="O48" s="282"/>
      <c r="P48" s="282"/>
      <c r="Q48" s="282"/>
      <c r="R48" s="282"/>
      <c r="S48" s="146" t="s">
        <v>435</v>
      </c>
      <c r="T48" s="231" t="s">
        <v>477</v>
      </c>
      <c r="U48" s="243" t="s">
        <v>359</v>
      </c>
      <c r="V48" s="245" t="s">
        <v>255</v>
      </c>
      <c r="W48" s="146" t="s">
        <v>465</v>
      </c>
      <c r="X48" s="232" t="s">
        <v>478</v>
      </c>
      <c r="Z48" s="282" t="s">
        <v>56</v>
      </c>
      <c r="AA48" s="282" t="s">
        <v>244</v>
      </c>
      <c r="AB48" s="282">
        <f t="shared" si="6"/>
        <v>704</v>
      </c>
      <c r="AC48" s="282" t="str">
        <f t="shared" si="0"/>
        <v>C_4D rack_C_Lite IO (PMR position)</v>
      </c>
      <c r="AD48" s="22" t="s">
        <v>793</v>
      </c>
      <c r="AE48" s="22" t="s">
        <v>803</v>
      </c>
      <c r="AF48" s="22" t="s">
        <v>53</v>
      </c>
      <c r="AG48" s="22" t="s">
        <v>232</v>
      </c>
      <c r="AH48" s="22" t="s">
        <v>336</v>
      </c>
      <c r="AI48" s="22" t="s">
        <v>439</v>
      </c>
      <c r="AJ48" s="22" t="s">
        <v>437</v>
      </c>
      <c r="AK48" s="22" t="s">
        <v>249</v>
      </c>
      <c r="AL48" s="22" t="s">
        <v>334</v>
      </c>
      <c r="AM48" s="22">
        <f>AM47+1</f>
        <v>5</v>
      </c>
      <c r="AN48" s="22" t="s">
        <v>829</v>
      </c>
      <c r="AO48" s="12"/>
      <c r="AP48" s="12">
        <f>AP47</f>
        <v>6.3312596450617294E-3</v>
      </c>
      <c r="AQ48" s="12" t="str">
        <f t="shared" si="1"/>
        <v>rgb(199,227,114)</v>
      </c>
      <c r="AR48" s="12" t="str">
        <f t="shared" si="2"/>
        <v>rgb(113,190,138)</v>
      </c>
      <c r="AS48" s="282" t="str">
        <f t="shared" si="3"/>
        <v>→0.01_Pallet_Single_Full_Widthwise</v>
      </c>
      <c r="AT48" s="282" t="str">
        <f t="shared" si="4"/>
        <v>C_4D rack [0.01] C_Lite IO (PMR position)</v>
      </c>
      <c r="AU48" s="22"/>
      <c r="AV48" s="282" t="str">
        <f t="shared" si="5"/>
        <v xml:space="preserve">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v>
      </c>
      <c r="AW48"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v>
      </c>
    </row>
    <row r="49" spans="1:49">
      <c r="A49" s="144"/>
      <c r="B49" s="282"/>
      <c r="C49" s="282"/>
      <c r="D49" s="282"/>
      <c r="E49" s="282"/>
      <c r="F49" s="7" t="s">
        <v>418</v>
      </c>
      <c r="G49" s="226">
        <f>Metrics!H124</f>
        <v>6.7222222222222239E-2</v>
      </c>
      <c r="H49" s="282"/>
      <c r="I49" s="282"/>
      <c r="J49" s="282"/>
      <c r="K49" s="282"/>
      <c r="L49" s="282"/>
      <c r="M49" s="282"/>
      <c r="N49" s="282"/>
      <c r="O49" s="282"/>
      <c r="P49" s="282"/>
      <c r="Q49" s="282"/>
      <c r="R49" s="282"/>
      <c r="S49" s="146" t="s">
        <v>561</v>
      </c>
      <c r="T49" s="232" t="s">
        <v>566</v>
      </c>
      <c r="U49" s="243" t="s">
        <v>360</v>
      </c>
      <c r="V49" s="245" t="s">
        <v>256</v>
      </c>
      <c r="AB49" s="282">
        <f t="shared" si="6"/>
        <v>705</v>
      </c>
      <c r="AC49" s="282" t="str">
        <f t="shared" si="0"/>
        <v>C_Inbound dock_C_Lite IO (PMR position)</v>
      </c>
      <c r="AD49" s="22" t="s">
        <v>792</v>
      </c>
      <c r="AE49" s="22" t="s">
        <v>803</v>
      </c>
      <c r="AF49" s="22" t="s">
        <v>53</v>
      </c>
      <c r="AG49" s="22" t="s">
        <v>232</v>
      </c>
      <c r="AH49" s="22" t="s">
        <v>336</v>
      </c>
      <c r="AI49" s="22" t="s">
        <v>439</v>
      </c>
      <c r="AJ49" s="22" t="s">
        <v>437</v>
      </c>
      <c r="AK49" s="22" t="s">
        <v>249</v>
      </c>
      <c r="AL49" s="22" t="s">
        <v>334</v>
      </c>
      <c r="AM49" s="22">
        <f>AM48+1</f>
        <v>6</v>
      </c>
      <c r="AN49" s="22" t="s">
        <v>827</v>
      </c>
      <c r="AO49" s="293"/>
      <c r="AP49" s="12">
        <f>(1-G113)*G117</f>
        <v>6.3312596450617294E-3</v>
      </c>
      <c r="AQ49" s="12" t="str">
        <f t="shared" si="1"/>
        <v>rgb(199,227,114)</v>
      </c>
      <c r="AR49" s="12" t="str">
        <f t="shared" si="2"/>
        <v>rgb(113,190,138)</v>
      </c>
      <c r="AS49" s="282" t="str">
        <f t="shared" si="3"/>
        <v>→0.01_Pallet_Single_Full_Widthwise</v>
      </c>
      <c r="AT49" s="282" t="str">
        <f t="shared" si="4"/>
        <v>C_Inbound dock [0.01] C_Lite IO (PMR position)</v>
      </c>
      <c r="AU49" s="22"/>
      <c r="AV49" s="282" t="str">
        <f t="shared" si="5"/>
        <v xml:space="preserve">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v>
      </c>
      <c r="AW49"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v>
      </c>
    </row>
    <row r="50" spans="1:49">
      <c r="A50" s="144"/>
      <c r="B50" s="282"/>
      <c r="C50" s="282"/>
      <c r="D50" s="282"/>
      <c r="E50" s="282"/>
      <c r="F50" s="7" t="s">
        <v>419</v>
      </c>
      <c r="G50" s="226">
        <f>Metrics!H125</f>
        <v>1.680555555555556E-2</v>
      </c>
      <c r="H50" s="282"/>
      <c r="I50" s="282"/>
      <c r="J50" s="282"/>
      <c r="K50" s="282"/>
      <c r="L50" s="282"/>
      <c r="M50" s="282"/>
      <c r="N50" s="282"/>
      <c r="O50" s="282"/>
      <c r="P50" s="282"/>
      <c r="Q50" s="282"/>
      <c r="R50" s="282"/>
      <c r="S50" s="146" t="s">
        <v>236</v>
      </c>
      <c r="T50" s="232" t="s">
        <v>566</v>
      </c>
      <c r="U50" s="243" t="s">
        <v>361</v>
      </c>
      <c r="V50" s="245" t="s">
        <v>366</v>
      </c>
      <c r="AB50" s="282">
        <f t="shared" si="6"/>
        <v>706</v>
      </c>
      <c r="AC50" s="282" t="str">
        <f t="shared" si="0"/>
        <v>C_Lite IO (PMR position)_C_Manual receiving frontend</v>
      </c>
      <c r="AD50" s="22" t="s">
        <v>803</v>
      </c>
      <c r="AE50" s="242" t="s">
        <v>797</v>
      </c>
      <c r="AF50" s="22" t="s">
        <v>435</v>
      </c>
      <c r="AG50" s="22" t="s">
        <v>232</v>
      </c>
      <c r="AH50" s="22" t="s">
        <v>336</v>
      </c>
      <c r="AI50" s="22" t="s">
        <v>435</v>
      </c>
      <c r="AJ50" s="275" t="str">
        <f>$AJ$42</f>
        <v>All (1.s:10%, 1.m:10%, 1.t:10%, 2.m:15%, 2.t:15%, 4.m:25%, 8.s:15%)</v>
      </c>
      <c r="AK50" s="22" t="s">
        <v>249</v>
      </c>
      <c r="AL50" s="22" t="s">
        <v>334</v>
      </c>
      <c r="AM50" s="22">
        <f>AM49+1</f>
        <v>7</v>
      </c>
      <c r="AN50" s="22" t="s">
        <v>831</v>
      </c>
      <c r="AP50" s="12">
        <f>(AP49+AP48)*G119/G120+(AP46+AP45)*G118/G120</f>
        <v>2.7997070857530884</v>
      </c>
      <c r="AQ50" s="12" t="str">
        <f t="shared" si="1"/>
        <v>rgb(212,221,218)</v>
      </c>
      <c r="AR50" s="12" t="str">
        <f t="shared" si="2"/>
        <v>rgb(113,190,138)</v>
      </c>
      <c r="AS50" s="282" t="str">
        <f t="shared" si="3"/>
        <v>→2.8_Compartment_Single_Full_Widthwise</v>
      </c>
      <c r="AT50" s="282" t="str">
        <f t="shared" si="4"/>
        <v>C_Lite IO (PMR position) [2.8] C_Manual receiving frontend</v>
      </c>
      <c r="AU50" s="22"/>
      <c r="AV50" s="282" t="str">
        <f t="shared" si="5"/>
        <v xml:space="preserve">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v>
      </c>
      <c r="AW50"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v>
      </c>
    </row>
    <row r="51" spans="1:49">
      <c r="A51" s="144"/>
      <c r="B51" s="282"/>
      <c r="C51" s="282"/>
      <c r="D51" s="282"/>
      <c r="E51" s="282"/>
      <c r="F51" s="7" t="s">
        <v>420</v>
      </c>
      <c r="G51" s="226">
        <f>Metrics!H100</f>
        <v>576</v>
      </c>
      <c r="H51" s="282"/>
      <c r="I51" s="282"/>
      <c r="J51" s="282"/>
      <c r="K51" s="282"/>
      <c r="L51" s="282"/>
      <c r="M51" s="282"/>
      <c r="N51" s="282"/>
      <c r="O51" s="282"/>
      <c r="P51" s="282"/>
      <c r="Q51" s="282"/>
      <c r="R51" s="282"/>
      <c r="S51" s="511" t="s">
        <v>866</v>
      </c>
      <c r="T51" s="292" t="s">
        <v>473</v>
      </c>
      <c r="U51" s="243" t="s">
        <v>362</v>
      </c>
      <c r="V51" s="245" t="s">
        <v>365</v>
      </c>
      <c r="AB51" s="282">
        <f t="shared" si="6"/>
        <v>707</v>
      </c>
      <c r="AC51" s="282" t="str">
        <f>AD51&amp;"_"&amp;AE51</f>
        <v>C_Manual receiving frontend_C_Manual receiving backend</v>
      </c>
      <c r="AD51" s="242" t="s">
        <v>797</v>
      </c>
      <c r="AE51" s="242" t="s">
        <v>798</v>
      </c>
      <c r="AF51" s="22" t="s">
        <v>435</v>
      </c>
      <c r="AG51" s="22" t="s">
        <v>232</v>
      </c>
      <c r="AH51" s="22" t="s">
        <v>336</v>
      </c>
      <c r="AI51" s="22" t="s">
        <v>435</v>
      </c>
      <c r="AJ51" s="275" t="str">
        <f>$AJ$42</f>
        <v>All (1.s:10%, 1.m:10%, 1.t:10%, 2.m:15%, 2.t:15%, 4.m:25%, 8.s:15%)</v>
      </c>
      <c r="AK51" s="22" t="s">
        <v>249</v>
      </c>
      <c r="AL51" s="22" t="s">
        <v>334</v>
      </c>
      <c r="AM51" s="22">
        <f>AM50+1</f>
        <v>8</v>
      </c>
      <c r="AN51" s="22" t="s">
        <v>837</v>
      </c>
      <c r="AP51" s="12">
        <f>AP50</f>
        <v>2.7997070857530884</v>
      </c>
      <c r="AQ51" s="12" t="str">
        <f t="shared" si="1"/>
        <v>rgb(212,221,218)</v>
      </c>
      <c r="AR51" s="12" t="str">
        <f t="shared" si="2"/>
        <v>rgb(113,190,138)</v>
      </c>
      <c r="AS51" s="282" t="str">
        <f t="shared" si="3"/>
        <v>→2.8_Compartment_Single_Full_Widthwise</v>
      </c>
      <c r="AT51" s="282" t="str">
        <f t="shared" si="4"/>
        <v>C_Manual receiving frontend [2.8] C_Manual receiving backend</v>
      </c>
      <c r="AU51" s="22"/>
      <c r="AV51" s="282" t="str">
        <f t="shared" si="5"/>
        <v xml:space="preserve">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v>
      </c>
      <c r="AW51"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v>
      </c>
    </row>
    <row r="52" spans="1:49">
      <c r="A52" s="144"/>
      <c r="B52" s="282"/>
      <c r="C52" s="282"/>
      <c r="D52" s="282"/>
      <c r="E52" s="282"/>
      <c r="F52" s="7" t="s">
        <v>421</v>
      </c>
      <c r="G52" s="226">
        <f>Metrics!H101</f>
        <v>48</v>
      </c>
      <c r="H52" s="282"/>
      <c r="I52" s="282"/>
      <c r="J52" s="282"/>
      <c r="K52" s="282"/>
      <c r="L52" s="282"/>
      <c r="M52" s="282"/>
      <c r="N52" s="282"/>
      <c r="O52" s="282"/>
      <c r="P52" s="282"/>
      <c r="Q52" s="282"/>
      <c r="R52" s="282"/>
      <c r="S52" s="511" t="s">
        <v>868</v>
      </c>
      <c r="T52" s="292" t="s">
        <v>476</v>
      </c>
      <c r="U52" s="243" t="s">
        <v>363</v>
      </c>
      <c r="V52" s="22" t="s">
        <v>367</v>
      </c>
      <c r="AB52" s="282">
        <f t="shared" si="6"/>
        <v>708</v>
      </c>
      <c r="AC52" s="282" t="str">
        <f t="shared" si="0"/>
        <v>C_Manual receiving backend_C_Inbound connector</v>
      </c>
      <c r="AD52" s="242" t="s">
        <v>798</v>
      </c>
      <c r="AE52" s="242" t="s">
        <v>800</v>
      </c>
      <c r="AF52" s="22" t="s">
        <v>435</v>
      </c>
      <c r="AG52" s="22" t="s">
        <v>232</v>
      </c>
      <c r="AH52" s="22" t="s">
        <v>336</v>
      </c>
      <c r="AI52" s="22" t="s">
        <v>435</v>
      </c>
      <c r="AJ52" s="275" t="str">
        <f>$AJ$42</f>
        <v>All (1.s:10%, 1.m:10%, 1.t:10%, 2.m:15%, 2.t:15%, 4.m:25%, 8.s:15%)</v>
      </c>
      <c r="AK52" s="22" t="s">
        <v>249</v>
      </c>
      <c r="AL52" s="22" t="s">
        <v>331</v>
      </c>
      <c r="AM52" s="22">
        <f>AM51+1</f>
        <v>9</v>
      </c>
      <c r="AN52" s="22" t="s">
        <v>838</v>
      </c>
      <c r="AP52" s="12">
        <f>AP51</f>
        <v>2.7997070857530884</v>
      </c>
      <c r="AQ52" s="12" t="str">
        <f t="shared" si="1"/>
        <v>rgb(212,221,218)</v>
      </c>
      <c r="AR52" s="12" t="str">
        <f t="shared" si="2"/>
        <v>rgb(113,190,138)</v>
      </c>
      <c r="AS52" s="282" t="str">
        <f t="shared" si="3"/>
        <v>↓2.8_Compartment_Single_Full_Widthwise</v>
      </c>
      <c r="AT52" s="282" t="str">
        <f t="shared" si="4"/>
        <v>C_Manual receiving backend [2.8] C_Inbound connector</v>
      </c>
      <c r="AU52" s="22"/>
      <c r="AV52" s="282" t="str">
        <f t="shared" si="5"/>
        <v xml:space="preserve">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v>
      </c>
      <c r="AW52"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v>
      </c>
    </row>
    <row r="53" spans="1:49">
      <c r="A53" s="144"/>
      <c r="B53" s="282"/>
      <c r="C53" s="282"/>
      <c r="D53" s="282"/>
      <c r="E53" s="282"/>
      <c r="F53" s="7" t="s">
        <v>422</v>
      </c>
      <c r="G53" s="226">
        <f>Metrics!H102</f>
        <v>30</v>
      </c>
      <c r="H53" s="282"/>
      <c r="I53" s="282"/>
      <c r="J53" s="282"/>
      <c r="K53" s="282"/>
      <c r="L53" s="282"/>
      <c r="M53" s="282"/>
      <c r="N53" s="282"/>
      <c r="O53" s="282"/>
      <c r="P53" s="282"/>
      <c r="Q53" s="282"/>
      <c r="R53" s="282"/>
      <c r="S53" s="511" t="s">
        <v>878</v>
      </c>
      <c r="T53" s="292" t="s">
        <v>474</v>
      </c>
      <c r="U53" s="243" t="s">
        <v>364</v>
      </c>
      <c r="V53" s="22" t="s">
        <v>368</v>
      </c>
      <c r="AB53" s="282">
        <f t="shared" si="6"/>
        <v>709</v>
      </c>
      <c r="AC53" s="282" t="str">
        <f t="shared" si="0"/>
        <v>C_Inbound connector_C_Traymaker</v>
      </c>
      <c r="AD53" s="242" t="s">
        <v>800</v>
      </c>
      <c r="AE53" s="242" t="s">
        <v>801</v>
      </c>
      <c r="AF53" s="22" t="s">
        <v>435</v>
      </c>
      <c r="AG53" s="22" t="s">
        <v>232</v>
      </c>
      <c r="AH53" s="22" t="s">
        <v>336</v>
      </c>
      <c r="AI53" s="22" t="s">
        <v>435</v>
      </c>
      <c r="AJ53" s="275" t="str">
        <f>$AJ$34</f>
        <v>Non 1.x (2.m:21%, 2.t:21%, 4.m:36%, 8.s:21%)</v>
      </c>
      <c r="AK53" s="22" t="s">
        <v>249</v>
      </c>
      <c r="AL53" s="22" t="s">
        <v>331</v>
      </c>
      <c r="AM53" s="22">
        <f>AM52+1</f>
        <v>10</v>
      </c>
      <c r="AN53" s="22" t="s">
        <v>840</v>
      </c>
      <c r="AP53" s="12">
        <f>AP52*G121</f>
        <v>1.9597949600271618</v>
      </c>
      <c r="AQ53" s="12" t="str">
        <f t="shared" si="1"/>
        <v>rgb(212,221,218)</v>
      </c>
      <c r="AR53" s="12" t="str">
        <f t="shared" si="2"/>
        <v>rgb(113,190,138)</v>
      </c>
      <c r="AS53" s="282" t="str">
        <f t="shared" si="3"/>
        <v>↓1.96_Compartment_Single_Full_Widthwise</v>
      </c>
      <c r="AT53" s="282" t="str">
        <f t="shared" si="4"/>
        <v>C_Inbound connector [1.96] C_Traymaker</v>
      </c>
      <c r="AU53" s="22"/>
      <c r="AV53" s="282" t="str">
        <f t="shared" si="5"/>
        <v xml:space="preserve">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v>
      </c>
      <c r="AW53"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v>
      </c>
    </row>
    <row r="54" spans="1:49">
      <c r="A54" s="144"/>
      <c r="B54" s="282"/>
      <c r="C54" s="282"/>
      <c r="D54" s="282"/>
      <c r="E54" s="282"/>
      <c r="F54" s="7" t="s">
        <v>423</v>
      </c>
      <c r="G54" s="226">
        <f>Metrics!H103</f>
        <v>6</v>
      </c>
      <c r="H54" s="282"/>
      <c r="I54" s="282"/>
      <c r="J54" s="282"/>
      <c r="K54" s="282"/>
      <c r="L54" s="282"/>
      <c r="M54" s="282"/>
      <c r="N54" s="282"/>
      <c r="O54" s="282"/>
      <c r="P54" s="282"/>
      <c r="Q54" s="282"/>
      <c r="R54" s="282"/>
      <c r="S54" s="511" t="s">
        <v>183</v>
      </c>
      <c r="T54" s="292" t="s">
        <v>473</v>
      </c>
      <c r="U54" s="282"/>
      <c r="V54" s="282"/>
      <c r="AB54" s="282">
        <f t="shared" si="6"/>
        <v>710</v>
      </c>
      <c r="AC54" s="282" t="str">
        <f t="shared" si="0"/>
        <v>C_Traymaker_C_Outbound connector</v>
      </c>
      <c r="AD54" s="242" t="s">
        <v>801</v>
      </c>
      <c r="AE54" s="242" t="s">
        <v>839</v>
      </c>
      <c r="AF54" s="22" t="s">
        <v>52</v>
      </c>
      <c r="AG54" s="22" t="s">
        <v>232</v>
      </c>
      <c r="AH54" s="22" t="s">
        <v>336</v>
      </c>
      <c r="AI54" s="22" t="s">
        <v>435</v>
      </c>
      <c r="AJ54" s="275" t="str">
        <f>AJ53</f>
        <v>Non 1.x (2.m:21%, 2.t:21%, 4.m:36%, 8.s:21%)</v>
      </c>
      <c r="AK54" s="22" t="s">
        <v>249</v>
      </c>
      <c r="AL54" s="22" t="s">
        <v>334</v>
      </c>
      <c r="AM54" s="22">
        <f>AM53+1</f>
        <v>11</v>
      </c>
      <c r="AN54" s="22" t="s">
        <v>840</v>
      </c>
      <c r="AP54" s="12">
        <f>AP53/G122</f>
        <v>0.48994874000679062</v>
      </c>
      <c r="AQ54" s="12" t="str">
        <f t="shared" si="1"/>
        <v>rgb(239,90,104)</v>
      </c>
      <c r="AR54" s="12" t="str">
        <f t="shared" si="2"/>
        <v>rgb(113,190,138)</v>
      </c>
      <c r="AS54" s="282" t="str">
        <f t="shared" si="3"/>
        <v>→0.49_Tray_Single_Full_Widthwise</v>
      </c>
      <c r="AT54" s="282" t="str">
        <f t="shared" si="4"/>
        <v>C_Traymaker [0.49] C_Outbound connector</v>
      </c>
      <c r="AU54" s="22"/>
      <c r="AV54" s="282" t="str">
        <f t="shared" si="5"/>
        <v xml:space="preserve">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v>
      </c>
      <c r="AW54"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v>
      </c>
    </row>
    <row r="55" spans="1:49">
      <c r="A55" s="144"/>
      <c r="B55" s="282"/>
      <c r="C55" s="282"/>
      <c r="D55" s="282"/>
      <c r="E55" s="282"/>
      <c r="F55" s="7" t="s">
        <v>427</v>
      </c>
      <c r="G55" s="173">
        <f>Metrics!H85</f>
        <v>12</v>
      </c>
      <c r="H55" s="282"/>
      <c r="I55" s="282"/>
      <c r="J55" s="282"/>
      <c r="K55" s="282"/>
      <c r="L55" s="282"/>
      <c r="M55" s="282"/>
      <c r="N55" s="282"/>
      <c r="O55" s="282"/>
      <c r="P55" s="282"/>
      <c r="Q55" s="282"/>
      <c r="R55" s="282"/>
      <c r="S55" s="282"/>
      <c r="T55" s="282"/>
      <c r="U55" s="282"/>
      <c r="V55" s="282"/>
      <c r="AB55" s="282">
        <f t="shared" si="6"/>
        <v>711</v>
      </c>
      <c r="AC55" s="282" t="str">
        <f t="shared" si="0"/>
        <v>C_Inbound connector_C_Outbound connector</v>
      </c>
      <c r="AD55" s="22" t="s">
        <v>800</v>
      </c>
      <c r="AE55" s="242" t="s">
        <v>839</v>
      </c>
      <c r="AF55" s="22" t="s">
        <v>52</v>
      </c>
      <c r="AG55" s="22" t="s">
        <v>232</v>
      </c>
      <c r="AH55" s="22" t="s">
        <v>336</v>
      </c>
      <c r="AI55" s="22" t="s">
        <v>435</v>
      </c>
      <c r="AJ55" s="22" t="s">
        <v>237</v>
      </c>
      <c r="AK55" s="22" t="s">
        <v>249</v>
      </c>
      <c r="AL55" s="22" t="s">
        <v>334</v>
      </c>
      <c r="AM55" s="22">
        <f>AM54+1</f>
        <v>12</v>
      </c>
      <c r="AN55" s="22" t="s">
        <v>843</v>
      </c>
      <c r="AP55" s="12">
        <f>AP52*(1-G121)</f>
        <v>0.83991212572592666</v>
      </c>
      <c r="AQ55" s="12" t="str">
        <f t="shared" si="1"/>
        <v>rgb(239,90,104)</v>
      </c>
      <c r="AR55" s="12" t="str">
        <f t="shared" si="2"/>
        <v>rgb(113,190,138)</v>
      </c>
      <c r="AS55" s="282" t="str">
        <f t="shared" si="3"/>
        <v>→0.84_Tray_Single_Full_Widthwise</v>
      </c>
      <c r="AT55" s="282" t="str">
        <f t="shared" si="4"/>
        <v>C_Inbound connector [0.84] C_Outbound connector</v>
      </c>
      <c r="AU55" s="22"/>
      <c r="AV55" s="282" t="str">
        <f t="shared" si="5"/>
        <v xml:space="preserve">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v>
      </c>
      <c r="AW55"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v>
      </c>
    </row>
    <row r="56" spans="1:49">
      <c r="A56" s="225"/>
      <c r="E56" s="7" t="s">
        <v>430</v>
      </c>
      <c r="F56" s="280" t="str">
        <f>Metrics!G25</f>
        <v>1.s</v>
      </c>
      <c r="G56" s="262">
        <f>Metrics!H25</f>
        <v>0.1</v>
      </c>
      <c r="H56" s="282"/>
      <c r="I56" s="282"/>
      <c r="J56" s="282"/>
      <c r="K56" s="282"/>
      <c r="L56" s="282"/>
      <c r="M56" s="282"/>
      <c r="N56" s="282"/>
      <c r="O56" s="282"/>
      <c r="P56" s="282"/>
      <c r="Q56" s="282"/>
      <c r="R56" s="282"/>
      <c r="S56" s="282" t="s">
        <v>409</v>
      </c>
      <c r="T56" s="282" t="e">
        <f>CONCATENATE("[ // node data ",CHAR(10),CLEAN(AA79),CHAR(10),"[ // link data ",CHAR(10),CLEAN(AW101))</f>
        <v>#N/A</v>
      </c>
      <c r="U56" s="282"/>
      <c r="V56" s="282"/>
      <c r="AB56" s="282">
        <f t="shared" si="6"/>
        <v>712</v>
      </c>
      <c r="AC56" s="282" t="str">
        <f t="shared" si="0"/>
        <v>C_Outbound connector_C_Stacker (stacking)</v>
      </c>
      <c r="AD56" s="22" t="s">
        <v>839</v>
      </c>
      <c r="AE56" s="242" t="s">
        <v>804</v>
      </c>
      <c r="AF56" s="22" t="s">
        <v>52</v>
      </c>
      <c r="AG56" s="22" t="s">
        <v>232</v>
      </c>
      <c r="AH56" s="22" t="s">
        <v>336</v>
      </c>
      <c r="AI56" s="22" t="s">
        <v>435</v>
      </c>
      <c r="AJ56" s="275" t="str">
        <f>AJ52</f>
        <v>All (1.s:10%, 1.m:10%, 1.t:10%, 2.m:15%, 2.t:15%, 4.m:25%, 8.s:15%)</v>
      </c>
      <c r="AK56" s="22" t="s">
        <v>249</v>
      </c>
      <c r="AL56" s="22" t="s">
        <v>334</v>
      </c>
      <c r="AM56" s="22">
        <f>AM55+1</f>
        <v>13</v>
      </c>
      <c r="AN56" s="22" t="s">
        <v>844</v>
      </c>
      <c r="AP56" s="12">
        <f>AP55+AP53</f>
        <v>2.7997070857530884</v>
      </c>
      <c r="AQ56" s="12" t="str">
        <f t="shared" si="1"/>
        <v>rgb(239,90,104)</v>
      </c>
      <c r="AR56" s="12" t="str">
        <f t="shared" si="2"/>
        <v>rgb(113,190,138)</v>
      </c>
      <c r="AS56" s="282" t="str">
        <f t="shared" si="3"/>
        <v>→2.8_Tray_Single_Full_Widthwise</v>
      </c>
      <c r="AT56" s="282" t="str">
        <f t="shared" si="4"/>
        <v>C_Outbound connector [2.8] C_Stacker (stacking)</v>
      </c>
      <c r="AU56" s="22"/>
      <c r="AV56" s="282" t="str">
        <f t="shared" si="5"/>
        <v xml:space="preserve">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v>
      </c>
      <c r="AW56"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v>
      </c>
    </row>
    <row r="57" spans="1:49">
      <c r="A57" s="225"/>
      <c r="F57" s="280" t="str">
        <f>Metrics!G26</f>
        <v>1.m</v>
      </c>
      <c r="G57" s="262">
        <f>Metrics!H26</f>
        <v>0.1</v>
      </c>
      <c r="H57" s="282"/>
      <c r="I57" s="282"/>
      <c r="J57" s="282"/>
      <c r="K57" s="282"/>
      <c r="L57" s="282"/>
      <c r="M57" s="282"/>
      <c r="N57" s="282"/>
      <c r="O57" s="282"/>
      <c r="P57" s="282"/>
      <c r="Q57" s="282"/>
      <c r="R57" s="282"/>
      <c r="S57" s="282" t="s">
        <v>513</v>
      </c>
      <c r="T57" s="282" t="str">
        <f>CONCATENATE("[  ",CLEAN(VLOOKUP("last",X:AA,4,FALSE)),"[ ",CLEAN(VLOOKUP("last",AU:AX,3,FALSE)))</f>
        <v>[  { key: "A_Inbound dock", group: "Ambient", loc: new go.Point(-175, 315), release: "Launch 1.0" },{ key: "A_4D rack", group: "Ambient", loc: new go.Point(-140, 385), release: "Launch 1.0" },{ key: "C_Inbound dock", group: "Chilled", loc: new go.Point(-175, 175), release: "Launch 1.0" },{ key: "C_4D rack", group: "Chilled", loc: new go.Point(-140, 245), release: "Launch 1.0" },{ key: "C_Lite IO (MR pad)", group: "Chilled", loc: new go.Point(-70, 245), release: "Launch 1.0" },{ key: "C_Lite IO (PMR position)", group: "Chilled", loc: new go.Point(-70, 259), release: "Launch 1.0" },{ key: "C_Stacker (stacking)", group: "Chilled", loc: new go.Point(210, 245), release: "Launch 1.0" },{ key: "C_Stacker (destacking)", group: "Chilled", loc: new go.Point(245, 245), release: "Launch 1.0" },{ key: "C_Shuffler", group: "Chilled", loc: new go.Point(280, 252), release: "Launch 1.0" },{ key: "C_Stack handler", group: "Chilled", loc: new go.Point(210, 210), release: "Launch 1.0" },{ key: "C_Master dispenser", group: "Chilled", loc: new go.Point(140, 280), release: "Launch 1.0" },{ key: "C_Manual receiving frontend", group: "Chilled", loc: new go.Point(122.5, 262.5), release: "Launch 1.0" },{ key: "C_Manual receiving backend", group: "Chilled", loc: new go.Point(157.5, 262.5), release: "Launch 1.0" },{ key: "C_Traybreaker", group: "Chilled", loc: new go.Point(210, 245), release: "Launch 1.0" },{ key: "C_Inbound connector", group: "Chilled", loc: new go.Point(175, 210), release: "Launch 1.0" },{ key: "C_Outbound connector", group: "Chilled", loc: new go.Point(175, 210), release: "Launch 1.0" },{ key: "C_Traymaker", group: "Chilled", loc: new go.Point(175, 227.5), release: "Launch 1.0" },{ key: "C_Tray wash", group: "Chilled", loc: new go.Point(210, 175), release: "Launch 1.0" },{ key: "Ambient", isGroup: true},{ key: "Chilled", isGroup: true},{ key: "Frozen", isGroup: true},{ key: "F_Shelves", group: "Frozen", loc: new go.Point(-140, 70), release: "Launch 1.0" },{ key: "A_TS_Rack", group: "Ambient", loc: new go.Point(350, 315), release: "Launch 1.0" },{ key: "C_TS_Rack", group: "Chilled", loc: new go.Point(350, 175), release: "Launch 1.0" },{ key: "A_MPP_TrayXL", group: "Ambient", loc: new go.Point(560, 210), release: "Launch 1.0" },{ key: "A_MPP_Putwall", group: "Ambient", loc: new go.Point(595, 210), release: "Launch 1.1" },{ key: "A_MPP_Tote cart", group: "Ambient", loc: new go.Point(630, 210), release: "Launch 1.2" },{ key: "C_MPP_TrayXL", group: "Chilled", loc: new go.Point(420, 140), release: "Launch 1.3" },{ key: "C_MPP_Putwall", group: "Chilled", loc: new go.Point(455, 140), release: "Launch 1.4" },{ key: "C_MPP_Tote cart", group: "Chilled", loc: new go.Point(490, 140), release: "Launch 1.5" },{ key: "A_CS_Cart position", group: "Ambient", loc: new go.Point(560, 210), release: "Launch 1.6" },{ key: "A_OS_Oversize rack", group: "Ambient", loc: new go.Point(560, 175), release: "Launch 1.7" },{ key: "Van rack", group: "Cool", loc: new go.Point(770, 245), release: "Launch 1.8" },{ key: "Van", group: "Cool", loc: new go.Point(910, 245), release: "Launch 1.9" },{ key: "Cool", isGroup: true}],[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 from: "A_TS_Rack", to: "A_MPP_TrayXL", long_text: "4.64_Tray_Stacks", short_text: "4.64",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"4.64131773399015" },{ from: "C_MPP_TrayXL", to: "C_MPP_Putwall", long_text: "7.55_Item_Single", short_text: "7.55", fromSpot: "RightSide", toSpot: "LeftSide",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"7.55" },{ from: "A_MPP_TrayXL", to: "A_MPP_Putwall", long_text: "15.08_Item_Single", short_text: "15.08", fromSpot: "RightSide", toSpot: "LeftSide",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"15.075" },{ from: "C_MPP_Putwall", to: "C_MPP_Tote cart", long_text: "0.94_PW cubby_Single", short_text: "0.94", fromSpot: "RightSide", toSpot: "LeftSide",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"8.00220750551876", throughput_per_minute: "0.943489655172414" },{ from: "A_MPP_Putwall", to: "A_MPP_Tote cart", long_text: "1.9_PW cubby_Single", short_text: "1.9", fromSpot: "RightSide", toSpot: "LeftSide",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"7.93585526315789", throughput_per_minute: "1.89960621761658" },{ from: "C_MPP_Tote cart", to: "Van rack", long_text: "0.12_Tote cart_Single", short_text: "0.12",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"0.117936206896552" },{ from: "A_MPP_Tote cart", to: "Van rack", long_text: "0.24_Tote cart_Single", short_text: "0.24", fromSpot: "RightSide", toSpot: "LeftSide", container: "Tote cart", form: "Single", state: "Full", content: "Tote", size: "Standard", flow_id: "A_MPP_Tote cart_Van rack", sequence_id: "24", orientation: "Widthwise", flow_color: "rgb(255,199,1)", arrowhead_color: "rgb(113,190,138)", comments: "There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 containers_per_stack: "8", throughput_per_minute: "0.237450777202072" },{ from: "Van rack", to: "Van", long_text: "0.01_Van rack_Single", short_text: "0.01", fromSpot: "RightSide", toSpot: "LeftSide", container: "Van rack", form: "Single", state: "Full", content: "Tote", size: "Standard", flow_id: "Van rack_Van", sequence_id: "25", orientation: "Widthwise", flow_color: "rgb(199,227,114)", arrowhead_color: "rgb(113,190,138)", comments: "Once a van rack is completed - meaning it has all the order totes associated with orders which are part of the van route, it is loaded into a van and dispatched to the route for delivery", containers_per_stack: "", throughput_per_minute: "0.0118462328032875" }]);</v>
      </c>
      <c r="U57" s="282"/>
      <c r="V57" s="282"/>
      <c r="AB57" s="282">
        <f t="shared" si="6"/>
        <v>713</v>
      </c>
      <c r="AC57" s="282" t="str">
        <f t="shared" si="0"/>
        <v>C_Stacker (stacking)_C_Stack handler</v>
      </c>
      <c r="AD57" s="242" t="s">
        <v>804</v>
      </c>
      <c r="AE57" s="22" t="s">
        <v>795</v>
      </c>
      <c r="AF57" s="22" t="s">
        <v>52</v>
      </c>
      <c r="AG57" s="22" t="s">
        <v>233</v>
      </c>
      <c r="AH57" s="22" t="s">
        <v>336</v>
      </c>
      <c r="AI57" s="22" t="s">
        <v>435</v>
      </c>
      <c r="AJ57" s="275" t="str">
        <f>AJ56</f>
        <v>All (1.s:10%, 1.m:10%, 1.t:10%, 2.m:15%, 2.t:15%, 4.m:25%, 8.s:15%)</v>
      </c>
      <c r="AK57" s="22" t="s">
        <v>249</v>
      </c>
      <c r="AL57" s="22" t="s">
        <v>334</v>
      </c>
      <c r="AM57" s="22">
        <f>AM56+1</f>
        <v>14</v>
      </c>
      <c r="AN57" s="22" t="s">
        <v>845</v>
      </c>
      <c r="AO57" s="12">
        <f>$G$79</f>
        <v>2</v>
      </c>
      <c r="AP57" s="10">
        <f>AP56/G123</f>
        <v>1.3998535428765442</v>
      </c>
      <c r="AQ57" s="12" t="str">
        <f t="shared" si="1"/>
        <v>rgb(239,90,104)</v>
      </c>
      <c r="AR57" s="12" t="str">
        <f t="shared" si="2"/>
        <v>rgb(113,190,138)</v>
      </c>
      <c r="AS57" s="282" t="str">
        <f t="shared" si="3"/>
        <v>→1.4_Tray_Stacks_Full_Widthwise</v>
      </c>
      <c r="AT57" s="282" t="str">
        <f t="shared" si="4"/>
        <v>C_Stacker (stacking) [1.4] C_Stack handler</v>
      </c>
      <c r="AU57" s="22"/>
      <c r="AV57" s="282" t="str">
        <f t="shared" si="5"/>
        <v xml:space="preserve">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v>
      </c>
      <c r="AW57"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v>
      </c>
    </row>
    <row r="58" spans="1:49" ht="16" thickBot="1">
      <c r="A58" s="225"/>
      <c r="F58" s="280" t="str">
        <f>Metrics!G27</f>
        <v>1.t</v>
      </c>
      <c r="G58" s="262">
        <f>Metrics!H27</f>
        <v>0.1</v>
      </c>
      <c r="H58" s="282"/>
      <c r="I58" s="282"/>
      <c r="J58" s="282"/>
      <c r="K58" s="282"/>
      <c r="L58" s="282"/>
      <c r="M58" s="282"/>
      <c r="N58" s="282"/>
      <c r="O58" s="282"/>
      <c r="P58" s="282"/>
      <c r="Q58" s="282"/>
      <c r="R58" s="282"/>
      <c r="S58" s="282" t="s">
        <v>408</v>
      </c>
      <c r="T58" s="282" t="str">
        <f>CONCATENATE("[  ",CLEAN(VLOOKUP("last",X:AA,4,FALSE)),"[ ",CLEAN(AW59))</f>
        <v>[  { key: "A_Inbound dock", group: "Ambient", loc: new go.Point(-175, 315), release: "Launch 1.0" },{ key: "A_4D rack", group: "Ambient", loc: new go.Point(-140, 385), release: "Launch 1.0" },{ key: "C_Inbound dock", group: "Chilled", loc: new go.Point(-175, 175), release: "Launch 1.0" },{ key: "C_4D rack", group: "Chilled", loc: new go.Point(-140, 245), release: "Launch 1.0" },{ key: "C_Lite IO (MR pad)", group: "Chilled", loc: new go.Point(-70, 245), release: "Launch 1.0" },{ key: "C_Lite IO (PMR position)", group: "Chilled", loc: new go.Point(-70, 259), release: "Launch 1.0" },{ key: "C_Stacker (stacking)", group: "Chilled", loc: new go.Point(210, 245), release: "Launch 1.0" },{ key: "C_Stacker (destacking)", group: "Chilled", loc: new go.Point(245, 245), release: "Launch 1.0" },{ key: "C_Shuffler", group: "Chilled", loc: new go.Point(280, 252), release: "Launch 1.0" },{ key: "C_Stack handler", group: "Chilled", loc: new go.Point(210, 210), release: "Launch 1.0" },{ key: "C_Master dispenser", group: "Chilled", loc: new go.Point(140, 280), release: "Launch 1.0" },{ key: "C_Manual receiving frontend", group: "Chilled", loc: new go.Point(122.5, 262.5), release: "Launch 1.0" },{ key: "C_Manual receiving backend", group: "Chilled", loc: new go.Point(157.5, 262.5), release: "Launch 1.0" },{ key: "C_Traybreaker", group: "Chilled", loc: new go.Point(210, 245), release: "Launch 1.0" },{ key: "C_Inbound connector", group: "Chilled", loc: new go.Point(175, 210), release: "Launch 1.0" },{ key: "C_Outbound connector", group: "Chilled", loc: new go.Point(175, 210), release: "Launch 1.0" },{ key: "C_Traymaker", group: "Chilled", loc: new go.Point(175, 227.5), release: "Launch 1.0" },{ key: "C_Tray wash", group: "Chilled", loc: new go.Point(210, 175), release: "Launch 1.0" },{ key: "Ambient", isGroup: true},{ key: "Chilled", isGroup: true},{ key: "Frozen", isGroup: true},{ key: "F_Shelves", group: "Frozen", loc: new go.Point(-140, 70), release: "Launch 1.0" },{ key: "A_TS_Rack", group: "Ambient", loc: new go.Point(350, 315), release: "Launch 1.0" },{ key: "C_TS_Rack", group: "Chilled", loc: new go.Point(350, 175), release: "Launch 1.0" },{ key: "A_MPP_TrayXL", group: "Ambient", loc: new go.Point(560, 210), release: "Launch 1.0" },{ key: "A_MPP_Putwall", group: "Ambient", loc: new go.Point(595, 210), release: "Launch 1.1" },{ key: "A_MPP_Tote cart", group: "Ambient", loc: new go.Point(630, 210), release: "Launch 1.2" },{ key: "C_MPP_TrayXL", group: "Chilled", loc: new go.Point(420, 140), release: "Launch 1.3" },{ key: "C_MPP_Putwall", group: "Chilled", loc: new go.Point(455, 140), release: "Launch 1.4" },{ key: "C_MPP_Tote cart", group: "Chilled", loc: new go.Point(490, 140), release: "Launch 1.5" },{ key: "A_CS_Cart position", group: "Ambient", loc: new go.Point(560, 210), release: "Launch 1.6" },{ key: "A_OS_Oversize rack", group: "Ambient", loc: new go.Point(560, 175), release: "Launch 1.7" },{ key: "Van rack", group: "Cool", loc: new go.Point(770, 245), release: "Launch 1.8" },{ key: "Van", group: "Cool", loc: new go.Point(910, 245), release: "Launch 1.9" },{ key: "Cool", isGroup: true}],[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v>
      </c>
      <c r="U58" s="282" t="e">
        <f>CLEAN(AW78)</f>
        <v>#N/A</v>
      </c>
      <c r="V58" s="282" t="str">
        <f>CLEAN(VLOOKUP("last",AU:AW,3,FALSE))</f>
        <v>{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 from: "A_TS_Rack", to: "A_MPP_TrayXL", long_text: "4.64_Tray_Stacks", short_text: "4.64",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"4.64131773399015" },{ from: "C_MPP_TrayXL", to: "C_MPP_Putwall", long_text: "7.55_Item_Single", short_text: "7.55", fromSpot: "RightSide", toSpot: "LeftSide",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"7.55" },{ from: "A_MPP_TrayXL", to: "A_MPP_Putwall", long_text: "15.08_Item_Single", short_text: "15.08", fromSpot: "RightSide", toSpot: "LeftSide",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"15.075" },{ from: "C_MPP_Putwall", to: "C_MPP_Tote cart", long_text: "0.94_PW cubby_Single", short_text: "0.94", fromSpot: "RightSide", toSpot: "LeftSide",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"8.00220750551876", throughput_per_minute: "0.943489655172414" },{ from: "A_MPP_Putwall", to: "A_MPP_Tote cart", long_text: "1.9_PW cubby_Single", short_text: "1.9", fromSpot: "RightSide", toSpot: "LeftSide",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"7.93585526315789", throughput_per_minute: "1.89960621761658" },{ from: "C_MPP_Tote cart", to: "Van rack", long_text: "0.12_Tote cart_Single", short_text: "0.12",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"0.117936206896552" },{ from: "A_MPP_Tote cart", to: "Van rack", long_text: "0.24_Tote cart_Single", short_text: "0.24", fromSpot: "RightSide", toSpot: "LeftSide", container: "Tote cart", form: "Single", state: "Full", content: "Tote", size: "Standard", flow_id: "A_MPP_Tote cart_Van rack", sequence_id: "24", orientation: "Widthwise", flow_color: "rgb(255,199,1)", arrowhead_color: "rgb(113,190,138)", comments: "There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 containers_per_stack: "8", throughput_per_minute: "0.237450777202072" },{ from: "Van rack", to: "Van", long_text: "0.01_Van rack_Single", short_text: "0.01", fromSpot: "RightSide", toSpot: "LeftSide", container: "Van rack", form: "Single", state: "Full", content: "Tote", size: "Standard", flow_id: "Van rack_Van", sequence_id: "25", orientation: "Widthwise", flow_color: "rgb(199,227,114)", arrowhead_color: "rgb(113,190,138)", comments: "Once a van rack is completed - meaning it has all the order totes associated with orders which are part of the van route, it is loaded into a van and dispatched to the route for delivery", containers_per_stack: "", throughput_per_minute: "0.0118462328032875" }]);</v>
      </c>
      <c r="AB58" s="282">
        <f t="shared" si="6"/>
        <v>714</v>
      </c>
      <c r="AC58" s="282" t="str">
        <f t="shared" si="0"/>
        <v>C_Stack hander_C_TS_Rack</v>
      </c>
      <c r="AD58" s="22" t="s">
        <v>856</v>
      </c>
      <c r="AE58" s="22" t="s">
        <v>847</v>
      </c>
      <c r="AF58" s="22" t="s">
        <v>52</v>
      </c>
      <c r="AG58" s="22" t="s">
        <v>233</v>
      </c>
      <c r="AH58" s="22" t="s">
        <v>336</v>
      </c>
      <c r="AI58" s="22" t="s">
        <v>435</v>
      </c>
      <c r="AJ58" s="275" t="str">
        <f>AJ57</f>
        <v>All (1.s:10%, 1.m:10%, 1.t:10%, 2.m:15%, 2.t:15%, 4.m:25%, 8.s:15%)</v>
      </c>
      <c r="AK58" s="22" t="s">
        <v>249</v>
      </c>
      <c r="AL58" s="22" t="s">
        <v>334</v>
      </c>
      <c r="AM58" s="22">
        <f>AM57+1</f>
        <v>15</v>
      </c>
      <c r="AN58" s="22" t="s">
        <v>857</v>
      </c>
      <c r="AO58" s="12">
        <f>$G$79</f>
        <v>2</v>
      </c>
      <c r="AP58" s="12">
        <f>AP57*G124</f>
        <v>0.46713344745714519</v>
      </c>
      <c r="AQ58" s="12" t="str">
        <f t="shared" si="1"/>
        <v>rgb(239,90,104)</v>
      </c>
      <c r="AR58" s="12" t="str">
        <f t="shared" si="2"/>
        <v>rgb(113,190,138)</v>
      </c>
      <c r="AS58" s="282" t="str">
        <f t="shared" si="3"/>
        <v>→0.47_Tray_Stacks_Full_Widthwise</v>
      </c>
      <c r="AT58" s="282" t="str">
        <f t="shared" si="4"/>
        <v>C_Stack hander [0.47] C_TS_Rack</v>
      </c>
      <c r="AU58" s="22"/>
      <c r="AV58" s="282" t="str">
        <f t="shared" si="5"/>
        <v xml:space="preserve">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v>
      </c>
      <c r="AW58"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v>
      </c>
    </row>
    <row r="59" spans="1:49" ht="16" thickBot="1">
      <c r="A59" s="225"/>
      <c r="F59" s="280" t="str">
        <f>Metrics!G28</f>
        <v>2.m</v>
      </c>
      <c r="G59" s="262">
        <f>Metrics!H28</f>
        <v>0.15</v>
      </c>
      <c r="H59" s="282"/>
      <c r="I59" s="282"/>
      <c r="J59" s="282"/>
      <c r="K59" s="282"/>
      <c r="L59" s="282"/>
      <c r="M59" s="282"/>
      <c r="N59" s="282"/>
      <c r="O59" s="282"/>
      <c r="P59" s="282"/>
      <c r="Q59" s="282"/>
      <c r="R59" s="282"/>
      <c r="S59" s="282"/>
      <c r="T59" s="282"/>
      <c r="U59" s="282"/>
      <c r="V59" s="27" t="s">
        <v>398</v>
      </c>
      <c r="W59" s="240" t="s">
        <v>410</v>
      </c>
      <c r="X59" s="241">
        <v>0.7</v>
      </c>
      <c r="Y59" s="27"/>
      <c r="AB59" s="282">
        <f t="shared" si="6"/>
        <v>715</v>
      </c>
      <c r="AC59" s="282" t="str">
        <f t="shared" si="0"/>
        <v>C_Stack hander_A_TS_Rack</v>
      </c>
      <c r="AD59" s="22" t="s">
        <v>856</v>
      </c>
      <c r="AE59" s="22" t="s">
        <v>846</v>
      </c>
      <c r="AF59" s="22" t="s">
        <v>52</v>
      </c>
      <c r="AG59" s="22" t="s">
        <v>233</v>
      </c>
      <c r="AH59" s="22" t="s">
        <v>336</v>
      </c>
      <c r="AI59" s="22" t="s">
        <v>435</v>
      </c>
      <c r="AJ59" s="275" t="str">
        <f>AJ58</f>
        <v>All (1.s:10%, 1.m:10%, 1.t:10%, 2.m:15%, 2.t:15%, 4.m:25%, 8.s:15%)</v>
      </c>
      <c r="AK59" s="22" t="s">
        <v>249</v>
      </c>
      <c r="AL59" s="22" t="s">
        <v>334</v>
      </c>
      <c r="AM59" s="22">
        <f>AM58+1</f>
        <v>16</v>
      </c>
      <c r="AN59" s="22" t="s">
        <v>858</v>
      </c>
      <c r="AO59" s="12">
        <f>$G$79</f>
        <v>2</v>
      </c>
      <c r="AP59" s="12">
        <f>AP57*(1-G124)</f>
        <v>0.93272009541939893</v>
      </c>
      <c r="AQ59" s="12" t="str">
        <f t="shared" si="1"/>
        <v>rgb(239,90,104)</v>
      </c>
      <c r="AR59" s="12" t="str">
        <f t="shared" si="2"/>
        <v>rgb(113,190,138)</v>
      </c>
      <c r="AS59" s="282" t="str">
        <f t="shared" si="3"/>
        <v>→0.93_Tray_Stacks_Full_Widthwise</v>
      </c>
      <c r="AT59" s="282" t="str">
        <f t="shared" si="4"/>
        <v>C_Stack hander [0.93] A_TS_Rack</v>
      </c>
      <c r="AU59" s="22"/>
      <c r="AV59" s="282" t="str">
        <f t="shared" si="5"/>
        <v xml:space="preserve">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v>
      </c>
      <c r="AW59"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v>
      </c>
    </row>
    <row r="60" spans="1:49">
      <c r="A60" s="225"/>
      <c r="F60" s="280" t="str">
        <f>Metrics!G29</f>
        <v>2.t</v>
      </c>
      <c r="G60" s="262">
        <f>Metrics!H29</f>
        <v>0.15</v>
      </c>
      <c r="H60" s="282"/>
      <c r="I60" s="282"/>
      <c r="J60" s="282"/>
      <c r="K60" s="282"/>
      <c r="L60" s="282"/>
      <c r="M60" s="282"/>
      <c r="N60" s="282"/>
      <c r="O60" s="282"/>
      <c r="P60" s="282"/>
      <c r="Q60" s="282"/>
      <c r="R60" s="282"/>
      <c r="S60" s="27" t="s">
        <v>105</v>
      </c>
      <c r="T60" s="27" t="s">
        <v>395</v>
      </c>
      <c r="U60" s="27" t="s">
        <v>396</v>
      </c>
      <c r="V60" s="239" t="s">
        <v>199</v>
      </c>
      <c r="W60" s="27" t="s">
        <v>397</v>
      </c>
      <c r="X60" s="27" t="s">
        <v>401</v>
      </c>
      <c r="Y60" s="27" t="s">
        <v>469</v>
      </c>
      <c r="Z60" s="27" t="s">
        <v>400</v>
      </c>
      <c r="AA60" s="27" t="s">
        <v>404</v>
      </c>
      <c r="AB60" s="282">
        <f t="shared" si="6"/>
        <v>716</v>
      </c>
      <c r="AC60" s="282" t="str">
        <f t="shared" si="0"/>
        <v>C_TS_Rack_C_MPP_TrayXL</v>
      </c>
      <c r="AD60" s="22" t="s">
        <v>847</v>
      </c>
      <c r="AE60" s="22" t="s">
        <v>851</v>
      </c>
      <c r="AF60" s="22" t="s">
        <v>52</v>
      </c>
      <c r="AG60" s="22" t="s">
        <v>233</v>
      </c>
      <c r="AH60" s="22" t="s">
        <v>336</v>
      </c>
      <c r="AI60" s="22" t="s">
        <v>435</v>
      </c>
      <c r="AJ60" s="275" t="str">
        <f t="shared" ref="AJ60:AJ61" si="8">AJ59</f>
        <v>All (1.s:10%, 1.m:10%, 1.t:10%, 2.m:15%, 2.t:15%, 4.m:25%, 8.s:15%)</v>
      </c>
      <c r="AK60" s="22" t="s">
        <v>249</v>
      </c>
      <c r="AL60" s="22" t="s">
        <v>334</v>
      </c>
      <c r="AM60" s="22">
        <f t="shared" ref="AM60:AM63" si="9">AM59+1</f>
        <v>17</v>
      </c>
      <c r="AN60" s="22" t="s">
        <v>860</v>
      </c>
      <c r="AO60" s="12">
        <f>$G$79</f>
        <v>2</v>
      </c>
      <c r="AP60" s="12">
        <f>G127/G125</f>
        <v>2.3245073891625623</v>
      </c>
      <c r="AQ60" s="12" t="str">
        <f t="shared" si="1"/>
        <v>rgb(239,90,104)</v>
      </c>
      <c r="AR60" s="12" t="str">
        <f t="shared" si="2"/>
        <v>rgb(113,190,138)</v>
      </c>
      <c r="AS60" s="282" t="str">
        <f t="shared" si="3"/>
        <v>→2.32_Tray_Stacks_Full_Widthwise</v>
      </c>
      <c r="AT60" s="282" t="str">
        <f t="shared" si="4"/>
        <v>C_TS_Rack [2.32] C_MPP_TrayXL</v>
      </c>
      <c r="AU60" s="22"/>
      <c r="AV60" s="282" t="str">
        <f t="shared" si="5"/>
        <v xml:space="preserve">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v>
      </c>
      <c r="AW60"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v>
      </c>
    </row>
    <row r="61" spans="1:49">
      <c r="A61" s="225"/>
      <c r="F61" s="280" t="str">
        <f>Metrics!G30</f>
        <v>4.m</v>
      </c>
      <c r="G61" s="262">
        <f>Metrics!H30</f>
        <v>0.25</v>
      </c>
      <c r="H61" s="282"/>
      <c r="I61" s="282"/>
      <c r="J61" s="282"/>
      <c r="K61" s="282"/>
      <c r="L61" s="282"/>
      <c r="M61" s="282"/>
      <c r="N61" s="282"/>
      <c r="O61" s="282"/>
      <c r="P61" s="282"/>
      <c r="Q61" s="282"/>
      <c r="R61" s="282"/>
      <c r="S61" s="242" t="s">
        <v>790</v>
      </c>
      <c r="T61" s="22"/>
      <c r="U61" s="22" t="s">
        <v>242</v>
      </c>
      <c r="V61" s="22">
        <v>-250</v>
      </c>
      <c r="W61" s="22">
        <v>450</v>
      </c>
      <c r="X61" s="22" t="s">
        <v>402</v>
      </c>
      <c r="Y61" s="22" t="s">
        <v>791</v>
      </c>
      <c r="Z61" s="282" t="str">
        <f>IF(X61="first","","")&amp;CHAR(10)&amp;"{ key: """&amp;S61&amp;""""&amp;IF(T61&lt;&gt;"",", isGroup: true","")&amp;IF(U61&lt;&gt;"",", group: """&amp;U61&amp;"""","")&amp;IF(T61&lt;&gt;"","}",", loc: new go.Point("&amp;V61*$X$59&amp;", "&amp;W61*$X$59&amp;"), release: """&amp;Y61&amp;""" }")&amp;IF(X61="last","],",",")</f>
        <v xml:space="preserve">
{ key: "A_Inbound dock", group: "Ambient", loc: new go.Point(-175, 315), release: "Launch 1.0" },</v>
      </c>
      <c r="AA61" s="282" t="str">
        <f>Z61</f>
        <v xml:space="preserve">
{ key: "A_Inbound dock", group: "Ambient", loc: new go.Point(-175, 315), release: "Launch 1.0" },</v>
      </c>
      <c r="AB61" s="282">
        <f t="shared" si="6"/>
        <v>717</v>
      </c>
      <c r="AC61" s="282" t="str">
        <f t="shared" si="0"/>
        <v>A_TS_Rack_A_MPP_TrayXL</v>
      </c>
      <c r="AD61" s="242" t="s">
        <v>846</v>
      </c>
      <c r="AE61" s="242" t="s">
        <v>848</v>
      </c>
      <c r="AF61" s="22" t="s">
        <v>52</v>
      </c>
      <c r="AG61" s="22" t="s">
        <v>233</v>
      </c>
      <c r="AH61" s="22" t="s">
        <v>336</v>
      </c>
      <c r="AI61" s="22" t="s">
        <v>435</v>
      </c>
      <c r="AJ61" s="275" t="str">
        <f t="shared" si="8"/>
        <v>All (1.s:10%, 1.m:10%, 1.t:10%, 2.m:15%, 2.t:15%, 4.m:25%, 8.s:15%)</v>
      </c>
      <c r="AK61" s="22" t="s">
        <v>249</v>
      </c>
      <c r="AL61" s="22" t="s">
        <v>334</v>
      </c>
      <c r="AM61" s="22">
        <f t="shared" si="9"/>
        <v>18</v>
      </c>
      <c r="AN61" s="22" t="s">
        <v>861</v>
      </c>
      <c r="AO61" s="12">
        <f>$G$79</f>
        <v>2</v>
      </c>
      <c r="AP61" s="12">
        <f>G126/G125</f>
        <v>4.6413177339901477</v>
      </c>
      <c r="AQ61" s="12" t="str">
        <f t="shared" si="1"/>
        <v>rgb(239,90,104)</v>
      </c>
      <c r="AR61" s="12" t="str">
        <f t="shared" si="2"/>
        <v>rgb(113,190,138)</v>
      </c>
      <c r="AS61" s="282" t="str">
        <f t="shared" si="3"/>
        <v>→4.64_Tray_Stacks_Full_Widthwise</v>
      </c>
      <c r="AT61" s="282" t="str">
        <f t="shared" si="4"/>
        <v>A_TS_Rack [4.64] A_MPP_TrayXL</v>
      </c>
      <c r="AU61" s="22"/>
      <c r="AV61" s="282" t="str">
        <f t="shared" si="5"/>
        <v xml:space="preserve">
{ from: "A_TS_Rack", to: "A_MPP_TrayXL", long_text: "4.64_Tray_Stacks", short_text: "4.64",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"4.64131773399015" },</v>
      </c>
      <c r="AW61"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
{ from: "A_TS_Rack", to: "A_MPP_TrayXL", long_text: "4.64_Tray_Stacks", short_text: "4.64",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"4.64131773399015" },</v>
      </c>
    </row>
    <row r="62" spans="1:49">
      <c r="A62" s="225"/>
      <c r="F62" s="280" t="str">
        <f>Metrics!G31</f>
        <v>8.s</v>
      </c>
      <c r="G62" s="262">
        <f>Metrics!H31</f>
        <v>0.14999999999999991</v>
      </c>
      <c r="H62" s="282"/>
      <c r="I62" s="282"/>
      <c r="J62" s="282"/>
      <c r="K62" s="282"/>
      <c r="L62" s="282"/>
      <c r="M62" s="282"/>
      <c r="N62" s="282"/>
      <c r="O62" s="282"/>
      <c r="P62" s="282"/>
      <c r="Q62" s="282"/>
      <c r="R62" s="282"/>
      <c r="S62" s="242" t="s">
        <v>789</v>
      </c>
      <c r="T62" s="22"/>
      <c r="U62" s="22" t="s">
        <v>242</v>
      </c>
      <c r="V62" s="22">
        <v>-200</v>
      </c>
      <c r="W62" s="22">
        <v>550</v>
      </c>
      <c r="X62" s="22"/>
      <c r="Y62" s="22" t="s">
        <v>791</v>
      </c>
      <c r="Z62" s="282" t="str">
        <f t="shared" ref="Z62:Z84" si="10">IF(X62="first","","")&amp;CHAR(10)&amp;"{ key: """&amp;S62&amp;""""&amp;IF(T62&lt;&gt;"",", isGroup: true","")&amp;IF(U62&lt;&gt;"",", group: """&amp;U62&amp;"""","")&amp;IF(T62&lt;&gt;"","}",", loc: new go.Point("&amp;V62*$X$59&amp;", "&amp;W62*$X$59&amp;"), release: """&amp;Y62&amp;""" }")&amp;IF(X62="last","],",",")</f>
        <v xml:space="preserve">
{ key: "A_4D rack", group: "Ambient", loc: new go.Point(-140, 385), release: "Launch 1.0" },</v>
      </c>
      <c r="AA62" s="282" t="str">
        <f>AA61&amp;Z62</f>
        <v xml:space="preserve">
{ key: "A_Inbound dock", group: "Ambient", loc: new go.Point(-175, 315), release: "Launch 1.0" },
{ key: "A_4D rack", group: "Ambient", loc: new go.Point(-140, 385), release: "Launch 1.0" },</v>
      </c>
      <c r="AB62" s="282">
        <f t="shared" si="6"/>
        <v>718</v>
      </c>
      <c r="AC62" s="282" t="str">
        <f t="shared" si="0"/>
        <v>C_MPP_TrayXL_C_MPP_Putwall</v>
      </c>
      <c r="AD62" s="22" t="s">
        <v>851</v>
      </c>
      <c r="AE62" s="22" t="s">
        <v>852</v>
      </c>
      <c r="AF62" s="22" t="s">
        <v>866</v>
      </c>
      <c r="AG62" s="22" t="s">
        <v>232</v>
      </c>
      <c r="AH62" s="22" t="s">
        <v>336</v>
      </c>
      <c r="AI62" s="22" t="s">
        <v>867</v>
      </c>
      <c r="AJ62" s="22" t="s">
        <v>437</v>
      </c>
      <c r="AK62" s="22" t="s">
        <v>249</v>
      </c>
      <c r="AL62" s="22" t="s">
        <v>334</v>
      </c>
      <c r="AM62" s="22">
        <f t="shared" si="9"/>
        <v>19</v>
      </c>
      <c r="AN62" s="22" t="s">
        <v>870</v>
      </c>
      <c r="AO62" s="12"/>
      <c r="AP62" s="12">
        <f>G129</f>
        <v>7.55</v>
      </c>
      <c r="AQ62" s="12" t="str">
        <f t="shared" si="1"/>
        <v>rgb(199,227,114)</v>
      </c>
      <c r="AR62" s="12" t="str">
        <f t="shared" si="2"/>
        <v>rgb(113,190,138)</v>
      </c>
      <c r="AS62" s="282" t="str">
        <f t="shared" si="3"/>
        <v>→7.55_Item_Single_Full_Widthwise</v>
      </c>
      <c r="AT62" s="282" t="str">
        <f t="shared" si="4"/>
        <v>C_MPP_TrayXL [7.55] C_MPP_Putwall</v>
      </c>
      <c r="AU62" s="22"/>
      <c r="AV62" s="282" t="str">
        <f t="shared" si="5"/>
        <v xml:space="preserve">
{ from: "C_MPP_TrayXL", to: "C_MPP_Putwall", long_text: "7.55_Item_Single", short_text: "7.55", fromSpot: "RightSide", toSpot: "LeftSide",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"7.55" },</v>
      </c>
      <c r="AW62"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
{ from: "A_TS_Rack", to: "A_MPP_TrayXL", long_text: "4.64_Tray_Stacks", short_text: "4.64",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"4.64131773399015" },
{ from: "C_MPP_TrayXL", to: "C_MPP_Putwall", long_text: "7.55_Item_Single", short_text: "7.55", fromSpot: "RightSide", toSpot: "LeftSide",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"7.55" },</v>
      </c>
    </row>
    <row r="63" spans="1:49">
      <c r="A63" s="225"/>
      <c r="F63" s="280" t="str">
        <f>Metrics!G32</f>
        <v>Total</v>
      </c>
      <c r="G63" s="262">
        <f>Metrics!H32</f>
        <v>1</v>
      </c>
      <c r="H63" s="282"/>
      <c r="I63" s="282"/>
      <c r="J63" s="282"/>
      <c r="K63" s="282"/>
      <c r="L63" s="282"/>
      <c r="M63" s="282"/>
      <c r="N63" s="282"/>
      <c r="O63" s="282"/>
      <c r="P63" s="282"/>
      <c r="Q63" s="282"/>
      <c r="R63" s="282"/>
      <c r="S63" s="242" t="s">
        <v>792</v>
      </c>
      <c r="T63" s="22"/>
      <c r="U63" s="243" t="s">
        <v>243</v>
      </c>
      <c r="V63" s="22">
        <v>-250</v>
      </c>
      <c r="W63" s="22">
        <v>250</v>
      </c>
      <c r="X63" s="22"/>
      <c r="Y63" s="22" t="s">
        <v>791</v>
      </c>
      <c r="Z63" s="282" t="str">
        <f t="shared" si="10"/>
        <v xml:space="preserve">
{ key: "C_Inbound dock", group: "Chilled", loc: new go.Point(-175, 175), release: "Launch 1.0" },</v>
      </c>
      <c r="AA63" s="282" t="str">
        <f t="shared" ref="AA63:AA84" si="11">AA62&amp;Z63</f>
        <v xml:space="preserve">
{ key: "A_Inbound dock", group: "Ambient", loc: new go.Point(-175, 315), release: "Launch 1.0" },
{ key: "A_4D rack", group: "Ambient", loc: new go.Point(-140, 385), release: "Launch 1.0" },
{ key: "C_Inbound dock", group: "Chilled", loc: new go.Point(-175, 175), release: "Launch 1.0" },</v>
      </c>
      <c r="AB63" s="282">
        <f t="shared" si="6"/>
        <v>719</v>
      </c>
      <c r="AC63" s="282" t="str">
        <f t="shared" si="0"/>
        <v>A_MPP_TrayXL_A_MPP_Putwall</v>
      </c>
      <c r="AD63" s="22" t="s">
        <v>848</v>
      </c>
      <c r="AE63" s="22" t="s">
        <v>849</v>
      </c>
      <c r="AF63" s="22" t="s">
        <v>866</v>
      </c>
      <c r="AG63" s="22" t="s">
        <v>232</v>
      </c>
      <c r="AH63" s="22" t="s">
        <v>336</v>
      </c>
      <c r="AI63" s="22" t="s">
        <v>867</v>
      </c>
      <c r="AJ63" s="22" t="s">
        <v>437</v>
      </c>
      <c r="AK63" s="22" t="s">
        <v>249</v>
      </c>
      <c r="AL63" s="22" t="s">
        <v>334</v>
      </c>
      <c r="AM63" s="22">
        <f t="shared" si="9"/>
        <v>20</v>
      </c>
      <c r="AN63" s="22" t="s">
        <v>871</v>
      </c>
      <c r="AO63" s="12"/>
      <c r="AP63" s="12">
        <f>G128</f>
        <v>15.074999999999998</v>
      </c>
      <c r="AQ63" s="12" t="str">
        <f t="shared" si="1"/>
        <v>rgb(199,227,114)</v>
      </c>
      <c r="AR63" s="12" t="str">
        <f t="shared" si="2"/>
        <v>rgb(113,190,138)</v>
      </c>
      <c r="AS63" s="282" t="str">
        <f t="shared" si="3"/>
        <v>→15.08_Item_Single_Full_Widthwise</v>
      </c>
      <c r="AT63" s="282" t="str">
        <f t="shared" si="4"/>
        <v>A_MPP_TrayXL [15.08] A_MPP_Putwall</v>
      </c>
      <c r="AU63" s="22"/>
      <c r="AV63" s="282" t="str">
        <f t="shared" si="5"/>
        <v xml:space="preserve">
{ from: "A_MPP_TrayXL", to: "A_MPP_Putwall", long_text: "15.08_Item_Single", short_text: "15.08", fromSpot: "RightSide", toSpot: "LeftSide",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"15.075" },</v>
      </c>
      <c r="AW63"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
{ from: "A_TS_Rack", to: "A_MPP_TrayXL", long_text: "4.64_Tray_Stacks", short_text: "4.64",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"4.64131773399015" },
{ from: "C_MPP_TrayXL", to: "C_MPP_Putwall", long_text: "7.55_Item_Single", short_text: "7.55", fromSpot: "RightSide", toSpot: "LeftSide",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"7.55" },
{ from: "A_MPP_TrayXL", to: "A_MPP_Putwall", long_text: "15.08_Item_Single", short_text: "15.08", fromSpot: "RightSide", toSpot: "LeftSide",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"15.075" },</v>
      </c>
    </row>
    <row r="64" spans="1:49">
      <c r="A64" s="225"/>
      <c r="E64" s="7" t="s">
        <v>431</v>
      </c>
      <c r="F64" s="280" t="str">
        <f>Metrics!G25</f>
        <v>1.s</v>
      </c>
      <c r="G64" s="229">
        <f>Metrics!I25</f>
        <v>12</v>
      </c>
      <c r="H64" s="282"/>
      <c r="I64" s="282"/>
      <c r="J64" s="282"/>
      <c r="K64" s="282"/>
      <c r="L64" s="282"/>
      <c r="M64" s="282"/>
      <c r="N64" s="282"/>
      <c r="O64" s="282"/>
      <c r="P64" s="282"/>
      <c r="Q64" s="282"/>
      <c r="R64" s="282"/>
      <c r="S64" s="243" t="s">
        <v>793</v>
      </c>
      <c r="T64" s="243"/>
      <c r="U64" s="243" t="s">
        <v>243</v>
      </c>
      <c r="V64" s="22">
        <v>-200</v>
      </c>
      <c r="W64" s="22">
        <v>350</v>
      </c>
      <c r="X64" s="22"/>
      <c r="Y64" s="22" t="s">
        <v>791</v>
      </c>
      <c r="Z64" s="282" t="str">
        <f t="shared" si="10"/>
        <v xml:space="preserve">
{ key: "C_4D rack", group: "Chilled", loc: new go.Point(-140, 245), release: "Launch 1.0" },</v>
      </c>
      <c r="AA64"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v>
      </c>
      <c r="AB64" s="282">
        <f t="shared" si="6"/>
        <v>720</v>
      </c>
      <c r="AC64" s="282" t="str">
        <f t="shared" si="0"/>
        <v>C_MPP_Putwall_C_MPP_Tote cart</v>
      </c>
      <c r="AD64" s="22" t="s">
        <v>852</v>
      </c>
      <c r="AE64" s="22" t="s">
        <v>853</v>
      </c>
      <c r="AF64" s="22" t="s">
        <v>868</v>
      </c>
      <c r="AG64" s="22" t="s">
        <v>232</v>
      </c>
      <c r="AH64" s="22" t="s">
        <v>336</v>
      </c>
      <c r="AI64" s="22" t="s">
        <v>867</v>
      </c>
      <c r="AJ64" s="22" t="s">
        <v>437</v>
      </c>
      <c r="AK64" s="22" t="s">
        <v>249</v>
      </c>
      <c r="AL64" s="22" t="s">
        <v>334</v>
      </c>
      <c r="AM64" s="22">
        <f t="shared" ref="AM64:AM65" si="12">AM63+1</f>
        <v>21</v>
      </c>
      <c r="AN64" s="22" t="s">
        <v>869</v>
      </c>
      <c r="AO64" s="12">
        <f>G131</f>
        <v>8.0022075055187631</v>
      </c>
      <c r="AP64" s="12">
        <f>AP62/G131</f>
        <v>0.9434896551724139</v>
      </c>
      <c r="AQ64" s="12" t="str">
        <f t="shared" si="1"/>
        <v>rgb(154,208,220)</v>
      </c>
      <c r="AR64" s="12" t="str">
        <f t="shared" si="2"/>
        <v>rgb(113,190,138)</v>
      </c>
      <c r="AS64" s="282" t="str">
        <f t="shared" si="3"/>
        <v>→0.94_PW cubby_Single_Full_Widthwise</v>
      </c>
      <c r="AT64" s="282" t="str">
        <f t="shared" si="4"/>
        <v>C_MPP_Putwall [0.94] C_MPP_Tote cart</v>
      </c>
      <c r="AU64" s="22"/>
      <c r="AV64" s="282" t="str">
        <f t="shared" si="5"/>
        <v xml:space="preserve">
{ from: "C_MPP_Putwall", to: "C_MPP_Tote cart", long_text: "0.94_PW cubby_Single", short_text: "0.94", fromSpot: "RightSide", toSpot: "LeftSide",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"8.00220750551876", throughput_per_minute: "0.943489655172414" },</v>
      </c>
      <c r="AW64"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
{ from: "A_TS_Rack", to: "A_MPP_TrayXL", long_text: "4.64_Tray_Stacks", short_text: "4.64",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"4.64131773399015" },
{ from: "C_MPP_TrayXL", to: "C_MPP_Putwall", long_text: "7.55_Item_Single", short_text: "7.55", fromSpot: "RightSide", toSpot: "LeftSide",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"7.55" },
{ from: "A_MPP_TrayXL", to: "A_MPP_Putwall", long_text: "15.08_Item_Single", short_text: "15.08", fromSpot: "RightSide", toSpot: "LeftSide",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"15.075" },
{ from: "C_MPP_Putwall", to: "C_MPP_Tote cart", long_text: "0.94_PW cubby_Single", short_text: "0.94", fromSpot: "RightSide", toSpot: "LeftSide",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"8.00220750551876", throughput_per_minute: "0.943489655172414" },</v>
      </c>
    </row>
    <row r="65" spans="1:49">
      <c r="A65" s="225"/>
      <c r="F65" s="280" t="str">
        <f>Metrics!G26</f>
        <v>1.m</v>
      </c>
      <c r="G65" s="229">
        <f>Metrics!I26</f>
        <v>12</v>
      </c>
      <c r="H65" s="282"/>
      <c r="I65" s="282"/>
      <c r="J65" s="282"/>
      <c r="K65" s="282"/>
      <c r="L65" s="282"/>
      <c r="M65" s="282"/>
      <c r="N65" s="282"/>
      <c r="O65" s="282"/>
      <c r="P65" s="282"/>
      <c r="Q65" s="282"/>
      <c r="R65" s="282"/>
      <c r="S65" s="243" t="s">
        <v>806</v>
      </c>
      <c r="T65" s="243"/>
      <c r="U65" s="243" t="s">
        <v>243</v>
      </c>
      <c r="V65" s="22">
        <v>-100</v>
      </c>
      <c r="W65" s="22">
        <v>350</v>
      </c>
      <c r="X65" s="22"/>
      <c r="Y65" s="22" t="s">
        <v>791</v>
      </c>
      <c r="Z65" s="282" t="str">
        <f t="shared" si="10"/>
        <v xml:space="preserve">
{ key: "C_Lite IO (MR pad)", group: "Chilled", loc: new go.Point(-70, 245), release: "Launch 1.0" },</v>
      </c>
      <c r="AA65"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v>
      </c>
      <c r="AB65" s="282">
        <f t="shared" si="6"/>
        <v>721</v>
      </c>
      <c r="AC65" s="282" t="str">
        <f t="shared" si="0"/>
        <v>A_MPP_Putwall_A_MPP_Tote cart</v>
      </c>
      <c r="AD65" s="22" t="s">
        <v>849</v>
      </c>
      <c r="AE65" s="22" t="s">
        <v>850</v>
      </c>
      <c r="AF65" s="22" t="s">
        <v>868</v>
      </c>
      <c r="AG65" s="22" t="s">
        <v>232</v>
      </c>
      <c r="AH65" s="22" t="s">
        <v>336</v>
      </c>
      <c r="AI65" s="22" t="s">
        <v>867</v>
      </c>
      <c r="AJ65" s="22" t="s">
        <v>437</v>
      </c>
      <c r="AK65" s="22" t="s">
        <v>249</v>
      </c>
      <c r="AL65" s="22" t="s">
        <v>334</v>
      </c>
      <c r="AM65" s="22">
        <f t="shared" si="12"/>
        <v>22</v>
      </c>
      <c r="AN65" s="22" t="s">
        <v>869</v>
      </c>
      <c r="AO65" s="10">
        <f>G130</f>
        <v>7.9358552631578947</v>
      </c>
      <c r="AP65" s="12">
        <f>AP63/G130</f>
        <v>1.89960621761658</v>
      </c>
      <c r="AQ65" s="12" t="str">
        <f t="shared" si="1"/>
        <v>rgb(154,208,220)</v>
      </c>
      <c r="AR65" s="12" t="str">
        <f t="shared" si="2"/>
        <v>rgb(113,190,138)</v>
      </c>
      <c r="AS65" s="282" t="str">
        <f t="shared" si="3"/>
        <v>→1.9_PW cubby_Single_Full_Widthwise</v>
      </c>
      <c r="AT65" s="282" t="str">
        <f t="shared" si="4"/>
        <v>A_MPP_Putwall [1.9] A_MPP_Tote cart</v>
      </c>
      <c r="AU65" s="22"/>
      <c r="AV65" s="282" t="str">
        <f t="shared" si="5"/>
        <v xml:space="preserve">
{ from: "A_MPP_Putwall", to: "A_MPP_Tote cart", long_text: "1.9_PW cubby_Single", short_text: "1.9", fromSpot: "RightSide", toSpot: "LeftSide",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"7.93585526315789", throughput_per_minute: "1.89960621761658" },</v>
      </c>
      <c r="AW65"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
{ from: "A_TS_Rack", to: "A_MPP_TrayXL", long_text: "4.64_Tray_Stacks", short_text: "4.64",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"4.64131773399015" },
{ from: "C_MPP_TrayXL", to: "C_MPP_Putwall", long_text: "7.55_Item_Single", short_text: "7.55", fromSpot: "RightSide", toSpot: "LeftSide",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"7.55" },
{ from: "A_MPP_TrayXL", to: "A_MPP_Putwall", long_text: "15.08_Item_Single", short_text: "15.08", fromSpot: "RightSide", toSpot: "LeftSide",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"15.075" },
{ from: "C_MPP_Putwall", to: "C_MPP_Tote cart", long_text: "0.94_PW cubby_Single", short_text: "0.94", fromSpot: "RightSide", toSpot: "LeftSide",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"8.00220750551876", throughput_per_minute: "0.943489655172414" },
{ from: "A_MPP_Putwall", to: "A_MPP_Tote cart", long_text: "1.9_PW cubby_Single", short_text: "1.9", fromSpot: "RightSide", toSpot: "LeftSide",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"7.93585526315789", throughput_per_minute: "1.89960621761658" },</v>
      </c>
    </row>
    <row r="66" spans="1:49">
      <c r="A66" s="225"/>
      <c r="F66" s="280" t="str">
        <f>Metrics!G27</f>
        <v>1.t</v>
      </c>
      <c r="G66" s="229">
        <f>Metrics!I27</f>
        <v>12</v>
      </c>
      <c r="H66" s="282"/>
      <c r="I66" s="282"/>
      <c r="J66" s="282"/>
      <c r="K66" s="282"/>
      <c r="L66" s="282"/>
      <c r="M66" s="282"/>
      <c r="N66" s="282"/>
      <c r="O66" s="282"/>
      <c r="P66" s="282"/>
      <c r="Q66" s="282"/>
      <c r="R66" s="293"/>
      <c r="S66" s="243" t="s">
        <v>803</v>
      </c>
      <c r="T66" s="22"/>
      <c r="U66" s="243" t="s">
        <v>243</v>
      </c>
      <c r="V66" s="22">
        <v>-100</v>
      </c>
      <c r="W66" s="22">
        <v>370</v>
      </c>
      <c r="X66" s="22"/>
      <c r="Y66" s="22" t="s">
        <v>791</v>
      </c>
      <c r="Z66" s="282" t="str">
        <f t="shared" si="10"/>
        <v xml:space="preserve">
{ key: "C_Lite IO (PMR position)", group: "Chilled", loc: new go.Point(-70, 259), release: "Launch 1.0" },</v>
      </c>
      <c r="AA66"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v>
      </c>
      <c r="AB66" s="282">
        <f t="shared" si="6"/>
        <v>722</v>
      </c>
      <c r="AC66" s="282" t="str">
        <f t="shared" si="0"/>
        <v>C_MPP_Tote cart_Van rack</v>
      </c>
      <c r="AD66" s="22" t="s">
        <v>853</v>
      </c>
      <c r="AE66" s="22" t="s">
        <v>183</v>
      </c>
      <c r="AF66" s="22" t="s">
        <v>878</v>
      </c>
      <c r="AG66" s="22" t="s">
        <v>232</v>
      </c>
      <c r="AH66" s="22" t="s">
        <v>336</v>
      </c>
      <c r="AI66" s="22" t="s">
        <v>231</v>
      </c>
      <c r="AJ66" s="22" t="s">
        <v>437</v>
      </c>
      <c r="AK66" s="22" t="s">
        <v>249</v>
      </c>
      <c r="AL66" s="22" t="s">
        <v>334</v>
      </c>
      <c r="AM66" s="22">
        <f t="shared" ref="AM66:AM67" si="13">AM65+1</f>
        <v>23</v>
      </c>
      <c r="AN66" s="22" t="s">
        <v>872</v>
      </c>
      <c r="AO66" s="10">
        <f>G133</f>
        <v>8</v>
      </c>
      <c r="AP66" s="12">
        <f>AP64/G133</f>
        <v>0.11793620689655174</v>
      </c>
      <c r="AQ66" s="12" t="str">
        <f t="shared" si="1"/>
        <v>rgb(255,199,1)</v>
      </c>
      <c r="AR66" s="12" t="str">
        <f t="shared" si="2"/>
        <v>rgb(113,190,138)</v>
      </c>
      <c r="AS66" s="282" t="str">
        <f t="shared" si="3"/>
        <v>→0.12_Tote cart_Single_Full_Widthwise</v>
      </c>
      <c r="AT66" s="282" t="str">
        <f t="shared" si="4"/>
        <v>C_MPP_Tote cart [0.12] Van rack</v>
      </c>
      <c r="AU66" s="22"/>
      <c r="AV66" s="282" t="str">
        <f t="shared" si="5"/>
        <v xml:space="preserve">
{ from: "C_MPP_Tote cart", to: "Van rack", long_text: "0.12_Tote cart_Single", short_text: "0.12",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"0.117936206896552" },</v>
      </c>
      <c r="AW66"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
{ from: "A_TS_Rack", to: "A_MPP_TrayXL", long_text: "4.64_Tray_Stacks", short_text: "4.64",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"4.64131773399015" },
{ from: "C_MPP_TrayXL", to: "C_MPP_Putwall", long_text: "7.55_Item_Single", short_text: "7.55", fromSpot: "RightSide", toSpot: "LeftSide",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"7.55" },
{ from: "A_MPP_TrayXL", to: "A_MPP_Putwall", long_text: "15.08_Item_Single", short_text: "15.08", fromSpot: "RightSide", toSpot: "LeftSide",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"15.075" },
{ from: "C_MPP_Putwall", to: "C_MPP_Tote cart", long_text: "0.94_PW cubby_Single", short_text: "0.94", fromSpot: "RightSide", toSpot: "LeftSide",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"8.00220750551876", throughput_per_minute: "0.943489655172414" },
{ from: "A_MPP_Putwall", to: "A_MPP_Tote cart", long_text: "1.9_PW cubby_Single", short_text: "1.9", fromSpot: "RightSide", toSpot: "LeftSide",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"7.93585526315789", throughput_per_minute: "1.89960621761658" },
{ from: "C_MPP_Tote cart", to: "Van rack", long_text: "0.12_Tote cart_Single", short_text: "0.12",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"0.117936206896552" },</v>
      </c>
    </row>
    <row r="67" spans="1:49">
      <c r="A67" s="225"/>
      <c r="F67" s="280" t="str">
        <f>Metrics!G28</f>
        <v>2.m</v>
      </c>
      <c r="G67" s="229">
        <f>Metrics!I28</f>
        <v>8</v>
      </c>
      <c r="H67" s="282"/>
      <c r="I67" s="282"/>
      <c r="J67" s="282"/>
      <c r="K67" s="282"/>
      <c r="L67" s="282"/>
      <c r="M67" s="282"/>
      <c r="N67" s="282"/>
      <c r="O67" s="282"/>
      <c r="P67" s="282"/>
      <c r="Q67" s="282"/>
      <c r="R67" s="293"/>
      <c r="S67" s="242" t="s">
        <v>804</v>
      </c>
      <c r="T67" s="22"/>
      <c r="U67" s="243" t="s">
        <v>243</v>
      </c>
      <c r="V67" s="22">
        <v>300</v>
      </c>
      <c r="W67" s="22">
        <v>350</v>
      </c>
      <c r="X67" s="22"/>
      <c r="Y67" s="22" t="s">
        <v>791</v>
      </c>
      <c r="Z67" s="282" t="str">
        <f>IF(X67="first","","")&amp;CHAR(10)&amp;"{ key: """&amp;S67&amp;""""&amp;IF(T67&lt;&gt;"",", isGroup: true","")&amp;IF(U67&lt;&gt;"",", group: """&amp;U67&amp;"""","")&amp;IF(T67&lt;&gt;"","}",", loc: new go.Point("&amp;V67*$X$59&amp;", "&amp;W67*$X$59&amp;"), release: """&amp;Y67&amp;""" }")&amp;IF(X67="last","],",",")</f>
        <v xml:space="preserve">
{ key: "C_Stacker (stacking)", group: "Chilled", loc: new go.Point(210, 245), release: "Launch 1.0" },</v>
      </c>
      <c r="AA67"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v>
      </c>
      <c r="AB67" s="282">
        <f t="shared" si="6"/>
        <v>723</v>
      </c>
      <c r="AC67" s="282" t="str">
        <f t="shared" si="0"/>
        <v>A_MPP_Tote cart_Van rack</v>
      </c>
      <c r="AD67" s="22" t="s">
        <v>850</v>
      </c>
      <c r="AE67" s="22" t="s">
        <v>183</v>
      </c>
      <c r="AF67" s="22" t="s">
        <v>878</v>
      </c>
      <c r="AG67" s="22" t="s">
        <v>232</v>
      </c>
      <c r="AH67" s="22" t="s">
        <v>336</v>
      </c>
      <c r="AI67" s="22" t="s">
        <v>231</v>
      </c>
      <c r="AJ67" s="22" t="s">
        <v>437</v>
      </c>
      <c r="AK67" s="22" t="s">
        <v>249</v>
      </c>
      <c r="AL67" s="22" t="s">
        <v>334</v>
      </c>
      <c r="AM67" s="22">
        <f t="shared" si="13"/>
        <v>24</v>
      </c>
      <c r="AN67" s="22" t="s">
        <v>873</v>
      </c>
      <c r="AO67" s="10">
        <f>G133</f>
        <v>8</v>
      </c>
      <c r="AP67" s="12">
        <f>AP65/G133</f>
        <v>0.2374507772020725</v>
      </c>
      <c r="AQ67" s="12" t="str">
        <f t="shared" si="1"/>
        <v>rgb(255,199,1)</v>
      </c>
      <c r="AR67" s="12" t="str">
        <f t="shared" si="2"/>
        <v>rgb(113,190,138)</v>
      </c>
      <c r="AS67" s="282" t="str">
        <f t="shared" si="3"/>
        <v>→0.24_Tote cart_Single_Full_Widthwise</v>
      </c>
      <c r="AT67" s="282" t="str">
        <f t="shared" si="4"/>
        <v>A_MPP_Tote cart [0.24] Van rack</v>
      </c>
      <c r="AU67" s="22"/>
      <c r="AV67" s="282" t="str">
        <f t="shared" si="5"/>
        <v xml:space="preserve">
{ from: "A_MPP_Tote cart", to: "Van rack", long_text: "0.24_Tote cart_Single", short_text: "0.24", fromSpot: "RightSide", toSpot: "LeftSide", container: "Tote cart", form: "Single", state: "Full", content: "Tote", size: "Standard", flow_id: "A_MPP_Tote cart_Van rack", sequence_id: "24", orientation: "Widthwise", flow_color: "rgb(255,199,1)", arrowhead_color: "rgb(113,190,138)", comments: "There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 containers_per_stack: "8", throughput_per_minute: "0.237450777202072" },</v>
      </c>
      <c r="AW67"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
{ from: "A_TS_Rack", to: "A_MPP_TrayXL", long_text: "4.64_Tray_Stacks", short_text: "4.64",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"4.64131773399015" },
{ from: "C_MPP_TrayXL", to: "C_MPP_Putwall", long_text: "7.55_Item_Single", short_text: "7.55", fromSpot: "RightSide", toSpot: "LeftSide",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"7.55" },
{ from: "A_MPP_TrayXL", to: "A_MPP_Putwall", long_text: "15.08_Item_Single", short_text: "15.08", fromSpot: "RightSide", toSpot: "LeftSide",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"15.075" },
{ from: "C_MPP_Putwall", to: "C_MPP_Tote cart", long_text: "0.94_PW cubby_Single", short_text: "0.94", fromSpot: "RightSide", toSpot: "LeftSide",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"8.00220750551876", throughput_per_minute: "0.943489655172414" },
{ from: "A_MPP_Putwall", to: "A_MPP_Tote cart", long_text: "1.9_PW cubby_Single", short_text: "1.9", fromSpot: "RightSide", toSpot: "LeftSide",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"7.93585526315789", throughput_per_minute: "1.89960621761658" },
{ from: "C_MPP_Tote cart", to: "Van rack", long_text: "0.12_Tote cart_Single", short_text: "0.12",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"0.117936206896552" },
{ from: "A_MPP_Tote cart", to: "Van rack", long_text: "0.24_Tote cart_Single", short_text: "0.24", fromSpot: "RightSide", toSpot: "LeftSide", container: "Tote cart", form: "Single", state: "Full", content: "Tote", size: "Standard", flow_id: "A_MPP_Tote cart_Van rack", sequence_id: "24", orientation: "Widthwise", flow_color: "rgb(255,199,1)", arrowhead_color: "rgb(113,190,138)", comments: "There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 containers_per_stack: "8", throughput_per_minute: "0.237450777202072" },</v>
      </c>
    </row>
    <row r="68" spans="1:49">
      <c r="A68" s="225"/>
      <c r="F68" s="280" t="str">
        <f>Metrics!G29</f>
        <v>2.t</v>
      </c>
      <c r="G68" s="229">
        <f>Metrics!I29</f>
        <v>8</v>
      </c>
      <c r="H68" s="282"/>
      <c r="I68" s="282"/>
      <c r="J68" s="282"/>
      <c r="K68" s="282"/>
      <c r="L68" s="282"/>
      <c r="M68" s="282"/>
      <c r="N68" s="282"/>
      <c r="O68" s="282"/>
      <c r="P68" s="282"/>
      <c r="Q68" s="282"/>
      <c r="R68" s="293"/>
      <c r="S68" s="242" t="s">
        <v>805</v>
      </c>
      <c r="T68" s="22"/>
      <c r="U68" s="243" t="s">
        <v>243</v>
      </c>
      <c r="V68" s="22">
        <v>350</v>
      </c>
      <c r="W68" s="22">
        <v>350</v>
      </c>
      <c r="X68" s="22"/>
      <c r="Y68" s="22" t="s">
        <v>791</v>
      </c>
      <c r="Z68" s="282" t="str">
        <f>IF(X68="first","","")&amp;CHAR(10)&amp;"{ key: """&amp;S68&amp;""""&amp;IF(T68&lt;&gt;"",", isGroup: true","")&amp;IF(U68&lt;&gt;"",", group: """&amp;U68&amp;"""","")&amp;IF(T68&lt;&gt;"","}",", loc: new go.Point("&amp;V68*$X$59&amp;", "&amp;W68*$X$59&amp;"), release: """&amp;Y68&amp;""" }")&amp;IF(X68="last","],",",")</f>
        <v xml:space="preserve">
{ key: "C_Stacker (destacking)", group: "Chilled", loc: new go.Point(245, 245), release: "Launch 1.0" },</v>
      </c>
      <c r="AA68"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v>
      </c>
      <c r="AB68" s="282">
        <f t="shared" si="6"/>
        <v>724</v>
      </c>
      <c r="AC68" s="282" t="str">
        <f t="shared" si="0"/>
        <v>Van rack_Van</v>
      </c>
      <c r="AD68" s="22" t="s">
        <v>183</v>
      </c>
      <c r="AE68" s="22" t="s">
        <v>181</v>
      </c>
      <c r="AF68" s="22" t="s">
        <v>183</v>
      </c>
      <c r="AG68" s="22" t="s">
        <v>232</v>
      </c>
      <c r="AH68" s="22" t="s">
        <v>336</v>
      </c>
      <c r="AI68" s="22" t="s">
        <v>231</v>
      </c>
      <c r="AJ68" s="22" t="s">
        <v>437</v>
      </c>
      <c r="AK68" s="22" t="s">
        <v>249</v>
      </c>
      <c r="AL68" s="22" t="s">
        <v>334</v>
      </c>
      <c r="AM68" s="22">
        <f t="shared" ref="AM68" si="14">AM67+1</f>
        <v>25</v>
      </c>
      <c r="AN68" s="22" t="s">
        <v>879</v>
      </c>
      <c r="AP68" s="12">
        <f>(AP66+AP67)/G134/G135</f>
        <v>1.1846232803287475E-2</v>
      </c>
      <c r="AQ68" s="12" t="str">
        <f t="shared" si="1"/>
        <v>rgb(199,227,114)</v>
      </c>
      <c r="AR68" s="12" t="str">
        <f t="shared" si="2"/>
        <v>rgb(113,190,138)</v>
      </c>
      <c r="AS68" s="282" t="str">
        <f t="shared" si="3"/>
        <v>→0.01_Van rack_Single_Full_Widthwise</v>
      </c>
      <c r="AT68" s="282" t="str">
        <f t="shared" si="4"/>
        <v>Van rack [0.01] Van</v>
      </c>
      <c r="AU68" s="22" t="s">
        <v>403</v>
      </c>
      <c r="AV68" s="282" t="str">
        <f t="shared" si="5"/>
        <v xml:space="preserve">
{ from: "Van rack", to: "Van", long_text: "0.01_Van rack_Single", short_text: "0.01", fromSpot: "RightSide", toSpot: "LeftSide", container: "Van rack", form: "Single", state: "Full", content: "Tote", size: "Standard", flow_id: "Van rack_Van", sequence_id: "25", orientation: "Widthwise", flow_color: "rgb(199,227,114)", arrowhead_color: "rgb(113,190,138)", comments: "Once a van rack is completed - meaning it has all the order totes associated with orders which are part of the van route, it is loaded into a van and dispatched to the route for delivery", containers_per_stack: "", throughput_per_minute: "0.0118462328032875" }
]);</v>
      </c>
      <c r="AW68" s="282" t="str">
        <f t="shared" si="7"/>
        <v xml:space="preserve">
{ from: "A_Inbound dock", to: "A_4D rack", long_text: "0.02_Pallet_Single", short_text: "0.02", fromSpot: "RightSide", toSpot: "LeftSide", container: "Pallet", form: "Single", state: "Full", content: "Layer", size: "Standard", flow_id: "A_Inbound dock_A_4D rack", sequence_id: "1", orientation: "Widthwise", flow_color: "rgb(199,227,114)", arrowhead_color: "rgb(113,190,138)", comments: "A certain portion of pallets are brought into the ambient area from the inbound dock to the pallet storage area using PMRs. Each PMR is capable of transporting 1 pallet at a time. This only applies to some of the pallets because most of the pallets will go directly to the receiving module", containers_per_stack: "", throughput_per_minute: "0.0151687644675926" },
{ from: "A_4D rack", to: "C_Lite IO (PMR position)", long_text: "0.02_Pallet_Single", short_text: "0.02", fromSpot: "RightSide", toSpot: "LeftSide", container: "Pallet", form: "Single", state: "Full", content: "Layer", size: "Standard", flow_id: "A_4D rack_C_Lite IO (PMR position)", sequence_id: "2", orientation: "Widthwise", flow_color: "rgb(199,227,114)", arrowhead_color: "rgb(113,190,138)", comments: "Pallets which are sent to the 4D rack temporarily and brought back to the PMR position in the receiving area as time permits. Other than that some of the ambient SKUs will end up being in pallets", containers_per_stack: "", throughput_per_minute: "0.0151687644675926" },
{ from: "A_Inbound dock", to: "C_Lite IO (PMR position)", long_text: "0.02_Pallet_Single", short_text: "0.02", fromSpot: "RightSide", toSpot: "LeftSide", container: "Pallet", form: "Single", state: "Full", content: "Layer", size: "Standard", flow_id: "A_Inbound dock_C_Lite IO (PMR position)", sequence_id: "3", orientation: "Widthwise", flow_color: "rgb(199,227,114)", arrowhead_color: "rgb(113,190,138)", comments: "A certain portion of pallets are taken directly from the dock to the receiving stations", containers_per_stack: "", throughput_per_minute: "0.0151687644675926" },
{ from: "C_Inbound dock", to: "C_4D rack", long_text: "0.01_Pallet_Single", short_text: "0.01", fromSpot: "RightSide", toSpot: "LeftSide", container: "Pallet", form: "Single", state: "Full", content: "Layer", size: "Standard", flow_id: "C_Inbound dock_C_4D rack", sequence_id: "4", orientation: "Widthwise", flow_color: "rgb(199,227,114)", arrowhead_color: "rgb(113,190,138)", comments: "A certain portion of pallets are brought into the chilled area from the inbound dock to the pallet storage area using PMRs. Each PMR is capable of transporting 1 pallet at a time. This only applies to some of the pallets because most of the pallets will go directly to the receiving module", containers_per_stack: "", throughput_per_minute: "0.00633125964506173" },
{ from: "C_4D rack", to: "C_Lite IO (PMR position)", long_text: "0.01_Pallet_Single", short_text: "0.01", fromSpot: "RightSide", toSpot: "LeftSide", container: "Pallet", form: "Single", state: "Full", content: "Layer", size: "Standard", flow_id: "C_4D rack_C_Lite IO (PMR position)", sequence_id: "5", orientation: "Widthwise", flow_color: "rgb(199,227,114)", arrowhead_color: "rgb(113,190,138)", comments: "Pallets which are sent to the 4D rack temporarily and brought back to the PMR position in the receiving area as time permits. Other than that some of the chilled SKUs will end up being in pallets", containers_per_stack: "", throughput_per_minute: "0.00633125964506173" },
{ from: "C_Inbound dock", to: "C_Lite IO (PMR position)", long_text: "0.01_Pallet_Single", short_text: "0.01", fromSpot: "RightSide", toSpot: "LeftSide", container: "Pallet", form: "Single", state: "Full", content: "Layer", size: "Standard", flow_id: "C_Inbound dock_C_Lite IO (PMR position)", sequence_id: "6", orientation: "Widthwise", flow_color: "rgb(199,227,114)", arrowhead_color: "rgb(113,190,138)", comments: "A certain portion of pallets are taken directly from the dock to the receiving stations", containers_per_stack: "", throughput_per_minute: "0.00633125964506173" },
{ from: "C_Lite IO (PMR position)", to: "C_Manual receiving frontend", long_text: "2.8_Compartment_Single", short_text: "2.8", fromSpot: "RightSide", toSpot: "LeftSide", container: "Compartment", form: "Single", state: "Full", content: "Compartment", size: "All (1.s:10%, 1.m:10%, 1.t:10%, 2.m:15%, 2.t:15%, 4.m:25%, 8.s:15%)", flow_id: "C_Lite IO (PMR position)_C_Manual receiving frontend", sequence_id: "7", orientation: "Widthwise", flow_color: "rgb(212,221,218)", arrowhead_color: "rgb(113,190,138)", comments: "Manual operator receives individual items into compartments of appropriate sizes", containers_per_stack: "", throughput_per_minute: "2.79970708575309" },
{ from: "C_Manual receiving frontend", to: "C_Manual receiving backend", long_text: "2.8_Compartment_Single", short_text: "2.8", fromSpot: "RightSide", toSpot: "LeftSide", container: "Compartment", form: "Single", state: "Full", content: "Compartment", size: "All (1.s:10%, 1.m:10%, 1.t:10%, 2.m:15%, 2.t:15%, 4.m:25%, 8.s:15%)", flow_id: "C_Manual receiving frontend_C_Manual receiving backend", sequence_id: "8", orientation: "Widthwise", flow_color: "rgb(212,221,218)", arrowhead_color: "rgb(113,190,138)", comments: "Compartments move from the frontend to the backend of the receiving cell to merge with the outfeed lane", containers_per_stack: "", throughput_per_minute: "2.79970708575309" },
{ from: "C_Manual receiving backend", to: "C_Inbound connector", long_text: "2.8_Compartment_Single", short_text: "2.8", fromSpot: "BottomSide", toSpot: "TopSide", container: "Compartment", form: "Single", state: "Full", content: "Compartment", size: "All (1.s:10%, 1.m:10%, 1.t:10%, 2.m:15%, 2.t:15%, 4.m:25%, 8.s:15%)", flow_id: "C_Manual receiving backend_C_Inbound connector", sequence_id: "9", orientation: "Widthwise", flow_color: "rgb(212,221,218)", arrowhead_color: "rgb(113,190,138)", comments: "Compartments use the outfeed of the manual receiving cell to reach the receiving conector to get split into 1.x and non 1.x's for appropriate diverts to the traymaker", containers_per_stack: "", throughput_per_minute: "2.79970708575309" },
{ from: "C_Inbound connector", to: "C_Traymaker", long_text: "1.96_Compartment_Single", short_text: "1.96", fromSpot: "BottomSide", toSpot: "TopSide", container: "Compartment", form: "Single", state: "Full", content: "Compartment", size: "Non 1.x (2.m:21%, 2.t:21%, 4.m:36%, 8.s:21%)", flow_id: "C_Inbound connector_C_Traymaker", sequence_id: "10", orientation: "Widthwise", flow_color: "rgb(212,221,218)", arrowhead_color: "rgb(113,190,138)", comments: "Only the non 1.x compartments go to the traymaker", containers_per_stack: "", throughput_per_minute: "1.95979496002716" },
{ from: "C_Traymaker", to: "C_Outbound connector", long_text: "0.49_Tray_Single", short_text: "0.49", fromSpot: "RightSide", toSpot: "LeftSide", container: "Tray", form: "Single", state: "Full", content: "Compartment", size: "Non 1.x (2.m:21%, 2.t:21%, 4.m:36%, 8.s:21%)", flow_id: "C_Traymaker_C_Outbound connector", sequence_id: "11", orientation: "Widthwise", flow_color: "rgb(239,90,104)", arrowhead_color: "rgb(113,190,138)", comments: "Only the non 1.x compartments go to the traymaker", containers_per_stack: "", throughput_per_minute: "0.489948740006791" },
{ from: "C_Inbound connector", to: "C_Outbound connector", long_text: "0.84_Tray_Single", short_text: "0.84", fromSpot: "RightSide", toSpot: "LeftSide", container: "Tray", form: "Single", state: "Full", content: "Compartment", size: "1.x", flow_id: "C_Inbound connector_C_Outbound connector", sequence_id: "12", orientation: "Widthwise", flow_color: "rgb(239,90,104)", arrowhead_color: "rgb(113,190,138)", comments: "The 1.x trays directly go from inbound to outbound connector", containers_per_stack: "", throughput_per_minute: "0.839912125725927" },
{ from: "C_Outbound connector", to: "C_Stacker (stacking)", long_text: "2.8_Tray_Single", short_text: "2.8", fromSpot: "RightSide", toSpot: "LeftSide", container: "Tray", form: "Single", state: "Full", content: "Compartment", size: "All (1.s:10%, 1.m:10%, 1.t:10%, 2.m:15%, 2.t:15%, 4.m:25%, 8.s:15%)", flow_id: "C_Outbound connector_C_Stacker (stacking)", sequence_id: "13", orientation: "Widthwise", flow_color: "rgb(239,90,104)", arrowhead_color: "rgb(113,190,138)", comments: "All inventory trays head towards the stacker for stacking", containers_per_stack: "", throughput_per_minute: "2.79970708575309" },
{ from: "C_Stacker (stacking)", to: "C_Stack handler", long_text: "1.4_Tray_Stacks", short_text: "1.4", fromSpot: "RightSide", toSpot: "LeftSide", container: "Tray", form: "Stacks", state: "Full", content: "Compartment", size: "All (1.s:10%, 1.m:10%, 1.t:10%, 2.m:15%, 2.t:15%, 4.m:25%, 8.s:15%)", flow_id: "C_Stacker (stacking)_C_Stack handler", sequence_id: "14", orientation: "Widthwise", flow_color: "rgb(239,90,104)", arrowhead_color: "rgb(113,190,138)", comments: "Inventory trays get stacked and then head towards the stack handler to be transferred onto a MR", containers_per_stack: "2", throughput_per_minute: "1.39985354287654" },
{ from: "C_Stack hander", to: "C_TS_Rack", long_text: "0.47_Tray_Stacks", short_text: "0.47", fromSpot: "RightSide", toSpot: "LeftSide", container: "Tray", form: "Stacks", state: "Full", content: "Compartment", size: "All (1.s:10%, 1.m:10%, 1.t:10%, 2.m:15%, 2.t:15%, 4.m:25%, 8.s:15%)", flow_id: "C_Stack hander_C_TS_Rack", sequence_id: "15", orientation: "Widthwise", flow_color: "rgb(239,90,104)", arrowhead_color: "rgb(113,190,138)", comments: "Chilled SKUs go to the tray storage in the chilled section", containers_per_stack: "2", throughput_per_minute: "0.467133447457145" },
{ from: "C_Stack hander", to: "A_TS_Rack", long_text: "0.93_Tray_Stacks", short_text: "0.93", fromSpot: "RightSide", toSpot: "LeftSide", container: "Tray", form: "Stacks", state: "Full", content: "Compartment", size: "All (1.s:10%, 1.m:10%, 1.t:10%, 2.m:15%, 2.t:15%, 4.m:25%, 8.s:15%)", flow_id: "C_Stack hander_A_TS_Rack", sequence_id: "16", orientation: "Widthwise", flow_color: "rgb(239,90,104)", arrowhead_color: "rgb(113,190,138)", comments: "Ambient SKUs go to the tray storage in the chilled section", containers_per_stack: "2", throughput_per_minute: "0.932720095419399" },
{ from: "C_TS_Rack", to: "C_MPP_TrayXL", long_text: "2.32_Tray_Stacks", short_text: "2.32", fromSpot: "RightSide", toSpot: "LeftSide", container: "Tray", form: "Stacks", state: "Full", content: "Compartment", size: "All (1.s:10%, 1.m:10%, 1.t:10%, 2.m:15%, 2.t:15%, 4.m:25%, 8.s:15%)", flow_id: "C_TS_Rack_C_MPP_TrayXL", sequence_id: "17", orientation: "Widthwise", flow_color: "rgb(239,90,104)", arrowhead_color: "rgb(113,190,138)", comments: "Chilled SKUs are retrieved from the chilled tray storage to the manual pick pack TrayXL interface", containers_per_stack: "2", throughput_per_minute: "2.32450738916256" },
{ from: "A_TS_Rack", to: "A_MPP_TrayXL", long_text: "4.64_Tray_Stacks", short_text: "4.64", fromSpot: "RightSide", toSpot: "LeftSide", container: "Tray", form: "Stacks", state: "Full", content: "Compartment", size: "All (1.s:10%, 1.m:10%, 1.t:10%, 2.m:15%, 2.t:15%, 4.m:25%, 8.s:15%)", flow_id: "A_TS_Rack_A_MPP_TrayXL", sequence_id: "18", orientation: "Widthwise", flow_color: "rgb(239,90,104)", arrowhead_color: "rgb(113,190,138)", comments: "Ambient SKUs are retrieved from the ambient tray storage to the manual pick pack TrayXL interface", containers_per_stack: "2", throughput_per_minute: "4.64131773399015" },
{ from: "C_MPP_TrayXL", to: "C_MPP_Putwall", long_text: "7.55_Item_Single", short_text: "7.55", fromSpot: "RightSide", toSpot: "LeftSide", container: "Item", form: "Single", state: "Full", content: "Eaches", size: "Standard", flow_id: "C_MPP_TrayXL_C_MPP_Putwall", sequence_id: "19", orientation: "Widthwise", flow_color: "rgb(199,227,114)", arrowhead_color: "rgb(113,190,138)", comments: "Manual operator singulates eaches from the chilled inventory tray as he/she destacks them and transfer them into a cubby on the putwall. There is a 1:1 association between a cubby and an order tote", containers_per_stack: "", throughput_per_minute: "7.55" },
{ from: "A_MPP_TrayXL", to: "A_MPP_Putwall", long_text: "15.08_Item_Single", short_text: "15.08", fromSpot: "RightSide", toSpot: "LeftSide", container: "Item", form: "Single", state: "Full", content: "Eaches", size: "Standard", flow_id: "A_MPP_TrayXL_A_MPP_Putwall", sequence_id: "20", orientation: "Widthwise", flow_color: "rgb(199,227,114)", arrowhead_color: "rgb(113,190,138)", comments: "Manual operator singulates eaches from the ambit inventory tray as he/she destacks them and transfer them into a cubby on the putwall. There is a 1:1 association between a cubby and an order tote", containers_per_stack: "", throughput_per_minute: "15.075" },
{ from: "C_MPP_Putwall", to: "C_MPP_Tote cart", long_text: "0.94_PW cubby_Single", short_text: "0.94", fromSpot: "RightSide", toSpot: "LeftSide", container: "PW cubby", form: "Single", state: "Full", content: "Eaches", size: "Standard", flow_id: "C_MPP_Putwall_C_MPP_Tote cart", sequence_id: "21",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"8.00220750551876", throughput_per_minute: "0.943489655172414" },
{ from: "A_MPP_Putwall", to: "A_MPP_Tote cart", long_text: "1.9_PW cubby_Single", short_text: "1.9", fromSpot: "RightSide", toSpot: "LeftSide", container: "PW cubby", form: "Single", state: "Full", content: "Eaches", size: "Standard", flow_id: "A_MPP_Putwall_A_MPP_Tote cart", sequence_id: "22", orientation: "Widthwise", flow_color: "rgb(154,208,220)", arrowhead_color: "rgb(113,190,138)", comments: "Once a cubby has all the required eaches associated with a particular order tote, the operator takes the cubby from the putwall location and assembles the items nicely into an order tote close to their workstation", containers_per_stack: "7.93585526315789", throughput_per_minute: "1.89960621761658" },
{ from: "C_MPP_Tote cart", to: "Van rack", long_text: "0.12_Tote cart_Single", short_text: "0.12", fromSpot: "RightSide", toSpot: "LeftSide", container: "Tote cart", form: "Single", state: "Full", content: "Tote", size: "Standard", flow_id: "C_MPP_Tote cart_Van rack", sequence_id: "23", orientation: "Widthwise", flow_color: "rgb(255,199,1)", arrowhead_color: "rgb(113,190,138)", comments: "There is 1:1 association between totes on a tote cart and a van rack. There can be multiple tote carts associated with a van rack. Once all the order totes are fulfillment with the required SKUs, the chilled totes are released to go to the associated van rack. The timing of the tote cart travel needs to be such that they are released to the van rack area in the order of reverse oder tote dropoff for the corresponding route grouping", containers_per_stack: "8", throughput_per_minute: "0.117936206896552" },
{ from: "A_MPP_Tote cart", to: "Van rack", long_text: "0.24_Tote cart_Single", short_text: "0.24", fromSpot: "RightSide", toSpot: "LeftSide", container: "Tote cart", form: "Single", state: "Full", content: "Tote", size: "Standard", flow_id: "A_MPP_Tote cart_Van rack", sequence_id: "24", orientation: "Widthwise", flow_color: "rgb(255,199,1)", arrowhead_color: "rgb(113,190,138)", comments: "There is 1:1 association between totes on a tote cart and a van rack. There can be multiple tote carts associated with a van rack. Once all the order totes are fulfillment with the required SKUs, the ambient totes are released to go to the associated van rack. The timing of the tote cart travel needs to be such that they are released to the van rack area in the order of reverse oder tote dropoff for the corresponding route grouping", containers_per_stack: "8", throughput_per_minute: "0.237450777202072" },
{ from: "Van rack", to: "Van", long_text: "0.01_Van rack_Single", short_text: "0.01", fromSpot: "RightSide", toSpot: "LeftSide", container: "Van rack", form: "Single", state: "Full", content: "Tote", size: "Standard", flow_id: "Van rack_Van", sequence_id: "25", orientation: "Widthwise", flow_color: "rgb(199,227,114)", arrowhead_color: "rgb(113,190,138)", comments: "Once a van rack is completed - meaning it has all the order totes associated with orders which are part of the van route, it is loaded into a van and dispatched to the route for delivery", containers_per_stack: "", throughput_per_minute: "0.0118462328032875" }
]);</v>
      </c>
    </row>
    <row r="69" spans="1:49">
      <c r="A69" s="225"/>
      <c r="F69" s="280" t="str">
        <f>Metrics!G30</f>
        <v>4.m</v>
      </c>
      <c r="G69" s="229">
        <f>Metrics!I30</f>
        <v>6</v>
      </c>
      <c r="H69" s="282"/>
      <c r="I69" s="282"/>
      <c r="J69" s="282"/>
      <c r="K69" s="282"/>
      <c r="L69" s="282"/>
      <c r="M69" s="282"/>
      <c r="N69" s="282"/>
      <c r="O69" s="282"/>
      <c r="P69" s="282"/>
      <c r="Q69" s="282"/>
      <c r="R69" s="293"/>
      <c r="S69" s="242" t="s">
        <v>794</v>
      </c>
      <c r="T69" s="22"/>
      <c r="U69" s="243" t="s">
        <v>243</v>
      </c>
      <c r="V69" s="22">
        <v>400</v>
      </c>
      <c r="W69" s="22">
        <v>360</v>
      </c>
      <c r="X69" s="22"/>
      <c r="Y69" s="22" t="s">
        <v>791</v>
      </c>
      <c r="Z69" s="282" t="str">
        <f>IF(X69="first","","")&amp;CHAR(10)&amp;"{ key: """&amp;S69&amp;""""&amp;IF(T69&lt;&gt;"",", isGroup: true","")&amp;IF(U69&lt;&gt;"",", group: """&amp;U69&amp;"""","")&amp;IF(T69&lt;&gt;"","}",", loc: new go.Point("&amp;V69*$X$59&amp;", "&amp;W69*$X$59&amp;"), release: """&amp;Y69&amp;""" }")&amp;IF(X69="last","],",",")</f>
        <v xml:space="preserve">
{ key: "C_Shuffler", group: "Chilled", loc: new go.Point(280, 252), release: "Launch 1.0" },</v>
      </c>
      <c r="AA69"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v>
      </c>
      <c r="AB69" s="282">
        <f t="shared" si="6"/>
        <v>725</v>
      </c>
      <c r="AC69" s="282" t="str">
        <f t="shared" si="0"/>
        <v>_</v>
      </c>
      <c r="AD69" s="22"/>
      <c r="AE69" s="22"/>
      <c r="AF69" s="22"/>
      <c r="AG69" s="22"/>
      <c r="AH69" s="22"/>
      <c r="AI69" s="22"/>
      <c r="AJ69" s="22"/>
      <c r="AK69" s="22"/>
      <c r="AL69" s="22"/>
      <c r="AM69" s="22"/>
      <c r="AN69" s="22"/>
      <c r="AP69" s="12">
        <f>AP65*AO65</f>
        <v>15.074999999999998</v>
      </c>
      <c r="AQ69" s="12" t="e">
        <f t="shared" si="1"/>
        <v>#N/A</v>
      </c>
      <c r="AR69" s="12" t="e">
        <f t="shared" si="2"/>
        <v>#N/A</v>
      </c>
      <c r="AS69" s="282" t="e">
        <f t="shared" si="3"/>
        <v>#N/A</v>
      </c>
      <c r="AT69" s="282" t="str">
        <f t="shared" si="4"/>
        <v xml:space="preserve"> [15.08] </v>
      </c>
      <c r="AU69" s="22" t="s">
        <v>512</v>
      </c>
      <c r="AV69" s="282" t="e">
        <f t="shared" si="5"/>
        <v>#N/A</v>
      </c>
      <c r="AW69" s="282" t="e">
        <f t="shared" si="7"/>
        <v>#N/A</v>
      </c>
    </row>
    <row r="70" spans="1:49">
      <c r="A70" s="225"/>
      <c r="F70" s="280" t="str">
        <f>Metrics!G31</f>
        <v>8.s</v>
      </c>
      <c r="G70" s="229">
        <f>Metrics!I31</f>
        <v>6</v>
      </c>
      <c r="H70" s="282"/>
      <c r="I70" s="282"/>
      <c r="J70" s="282"/>
      <c r="K70" s="282"/>
      <c r="L70" s="282"/>
      <c r="M70" s="282"/>
      <c r="N70" s="282"/>
      <c r="O70" s="282"/>
      <c r="P70" s="282"/>
      <c r="Q70" s="282"/>
      <c r="R70" s="293"/>
      <c r="S70" s="242" t="s">
        <v>795</v>
      </c>
      <c r="T70" s="22"/>
      <c r="U70" s="243" t="s">
        <v>243</v>
      </c>
      <c r="V70" s="22">
        <v>300</v>
      </c>
      <c r="W70" s="22">
        <v>300</v>
      </c>
      <c r="X70" s="22"/>
      <c r="Y70" s="22" t="s">
        <v>791</v>
      </c>
      <c r="Z70" s="282" t="str">
        <f>IF(X70="first","","")&amp;CHAR(10)&amp;"{ key: """&amp;S70&amp;""""&amp;IF(T70&lt;&gt;"",", isGroup: true","")&amp;IF(U70&lt;&gt;"",", group: """&amp;U70&amp;"""","")&amp;IF(T70&lt;&gt;"","}",", loc: new go.Point("&amp;V70*$X$59&amp;", "&amp;W70*$X$59&amp;"), release: """&amp;Y70&amp;""" }")&amp;IF(X70="last","],",",")</f>
        <v xml:space="preserve">
{ key: "C_Stack handler", group: "Chilled", loc: new go.Point(210, 210), release: "Launch 1.0" },</v>
      </c>
      <c r="AA70"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v>
      </c>
      <c r="AB70" s="282">
        <f t="shared" si="6"/>
        <v>726</v>
      </c>
      <c r="AC70" s="282" t="str">
        <f t="shared" si="0"/>
        <v>_</v>
      </c>
      <c r="AD70" s="22"/>
      <c r="AE70" s="22"/>
      <c r="AF70" s="22"/>
      <c r="AG70" s="22"/>
      <c r="AH70" s="22"/>
      <c r="AI70" s="22"/>
      <c r="AJ70" s="22"/>
      <c r="AK70" s="22"/>
      <c r="AL70" s="22"/>
      <c r="AM70" s="22"/>
      <c r="AN70" s="22"/>
      <c r="AP70" s="10">
        <f>AP66*AO66</f>
        <v>0.9434896551724139</v>
      </c>
      <c r="AQ70" s="12" t="e">
        <f t="shared" si="1"/>
        <v>#N/A</v>
      </c>
      <c r="AR70" s="12" t="e">
        <f t="shared" si="2"/>
        <v>#N/A</v>
      </c>
      <c r="AS70" s="282" t="e">
        <f t="shared" si="3"/>
        <v>#N/A</v>
      </c>
      <c r="AT70" s="282" t="str">
        <f t="shared" si="4"/>
        <v xml:space="preserve"> [0.94] </v>
      </c>
      <c r="AU70" s="22"/>
      <c r="AV70" s="282" t="e">
        <f t="shared" si="5"/>
        <v>#N/A</v>
      </c>
      <c r="AW70" s="282" t="e">
        <f t="shared" si="7"/>
        <v>#N/A</v>
      </c>
    </row>
    <row r="71" spans="1:49">
      <c r="A71" s="225"/>
      <c r="F71" s="280" t="str">
        <f>Metrics!G32</f>
        <v>Total</v>
      </c>
      <c r="G71" s="229">
        <f>Metrics!I32</f>
        <v>8.4</v>
      </c>
      <c r="H71" s="282"/>
      <c r="I71" s="282"/>
      <c r="J71" s="282"/>
      <c r="K71" s="282"/>
      <c r="L71" s="282"/>
      <c r="M71" s="282"/>
      <c r="N71" s="282"/>
      <c r="O71" s="282"/>
      <c r="P71" s="282"/>
      <c r="Q71" s="282"/>
      <c r="R71" s="293"/>
      <c r="S71" s="242" t="s">
        <v>796</v>
      </c>
      <c r="T71" s="22"/>
      <c r="U71" s="243" t="s">
        <v>243</v>
      </c>
      <c r="V71" s="22">
        <v>200</v>
      </c>
      <c r="W71" s="22">
        <v>400</v>
      </c>
      <c r="X71" s="22"/>
      <c r="Y71" s="22" t="s">
        <v>791</v>
      </c>
      <c r="Z71" s="282" t="str">
        <f>IF(X71="first","","")&amp;CHAR(10)&amp;"{ key: """&amp;S71&amp;""""&amp;IF(T71&lt;&gt;"",", isGroup: true","")&amp;IF(U71&lt;&gt;"",", group: """&amp;U71&amp;"""","")&amp;IF(T71&lt;&gt;"","}",", loc: new go.Point("&amp;V71*$X$59&amp;", "&amp;W71*$X$59&amp;"), release: """&amp;Y71&amp;""" }")&amp;IF(X71="last","],",",")</f>
        <v xml:space="preserve">
{ key: "C_Master dispenser", group: "Chilled", loc: new go.Point(140, 280), release: "Launch 1.0" },</v>
      </c>
      <c r="AA71"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v>
      </c>
      <c r="AB71" s="282">
        <f t="shared" si="6"/>
        <v>727</v>
      </c>
      <c r="AC71" s="282" t="str">
        <f t="shared" si="0"/>
        <v>_</v>
      </c>
      <c r="AD71" s="22"/>
      <c r="AE71" s="22"/>
      <c r="AF71" s="22"/>
      <c r="AG71" s="22"/>
      <c r="AH71" s="22"/>
      <c r="AI71" s="22"/>
      <c r="AJ71" s="22"/>
      <c r="AK71" s="22"/>
      <c r="AL71" s="22"/>
      <c r="AM71" s="22"/>
      <c r="AN71" s="22"/>
      <c r="AP71" s="10">
        <f>AP67</f>
        <v>0.2374507772020725</v>
      </c>
      <c r="AQ71" s="12" t="e">
        <f t="shared" si="1"/>
        <v>#N/A</v>
      </c>
      <c r="AR71" s="12" t="e">
        <f t="shared" si="2"/>
        <v>#N/A</v>
      </c>
      <c r="AS71" s="282" t="e">
        <f t="shared" si="3"/>
        <v>#N/A</v>
      </c>
      <c r="AT71" s="282" t="str">
        <f t="shared" si="4"/>
        <v xml:space="preserve"> [0.24] </v>
      </c>
      <c r="AU71" s="22"/>
      <c r="AV71" s="282" t="e">
        <f t="shared" si="5"/>
        <v>#N/A</v>
      </c>
      <c r="AW71" s="282" t="e">
        <f t="shared" si="7"/>
        <v>#N/A</v>
      </c>
    </row>
    <row r="72" spans="1:49">
      <c r="A72" s="225"/>
      <c r="F72" s="280" t="str">
        <f>Metrics!G34</f>
        <v># of compartments per tray (non 1.x)</v>
      </c>
      <c r="G72" s="265">
        <f>Metrics!H34</f>
        <v>3.9999999999999987</v>
      </c>
      <c r="H72" s="282"/>
      <c r="I72" s="282"/>
      <c r="J72" s="282"/>
      <c r="K72" s="282"/>
      <c r="L72" s="282"/>
      <c r="M72" s="282"/>
      <c r="N72" s="282"/>
      <c r="O72" s="282"/>
      <c r="P72" s="282"/>
      <c r="Q72" s="282"/>
      <c r="R72" s="293"/>
      <c r="S72" s="242" t="s">
        <v>797</v>
      </c>
      <c r="T72" s="22"/>
      <c r="U72" s="243" t="s">
        <v>243</v>
      </c>
      <c r="V72" s="22">
        <v>175</v>
      </c>
      <c r="W72" s="22">
        <v>375</v>
      </c>
      <c r="X72" s="22"/>
      <c r="Y72" s="22" t="s">
        <v>791</v>
      </c>
      <c r="Z72" s="282" t="str">
        <f>IF(X72="first","","")&amp;CHAR(10)&amp;"{ key: """&amp;S72&amp;""""&amp;IF(T72&lt;&gt;"",", isGroup: true","")&amp;IF(U72&lt;&gt;"",", group: """&amp;U72&amp;"""","")&amp;IF(T72&lt;&gt;"","}",", loc: new go.Point("&amp;V72*$X$59&amp;", "&amp;W72*$X$59&amp;"), release: """&amp;Y72&amp;""" }")&amp;IF(X72="last","],",",")</f>
        <v xml:space="preserve">
{ key: "C_Manual receiving frontend", group: "Chilled", loc: new go.Point(122.5, 262.5), release: "Launch 1.0" },</v>
      </c>
      <c r="AA72"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v>
      </c>
      <c r="AB72" s="282">
        <f t="shared" si="6"/>
        <v>728</v>
      </c>
      <c r="AC72" s="282" t="str">
        <f t="shared" si="0"/>
        <v>_</v>
      </c>
      <c r="AD72" s="22"/>
      <c r="AE72" s="22"/>
      <c r="AF72" s="22"/>
      <c r="AG72" s="22"/>
      <c r="AH72" s="22"/>
      <c r="AI72" s="22"/>
      <c r="AJ72" s="22"/>
      <c r="AK72" s="22"/>
      <c r="AL72" s="22"/>
      <c r="AM72" s="22"/>
      <c r="AN72" s="22"/>
      <c r="AP72" s="10">
        <f>AP68</f>
        <v>1.1846232803287475E-2</v>
      </c>
      <c r="AQ72" s="12" t="e">
        <f t="shared" si="1"/>
        <v>#N/A</v>
      </c>
      <c r="AR72" s="12" t="e">
        <f t="shared" si="2"/>
        <v>#N/A</v>
      </c>
      <c r="AS72" s="282" t="e">
        <f t="shared" si="3"/>
        <v>#N/A</v>
      </c>
      <c r="AT72" s="282" t="str">
        <f t="shared" si="4"/>
        <v xml:space="preserve"> [0.01] </v>
      </c>
      <c r="AU72" s="22"/>
      <c r="AV72" s="282" t="e">
        <f t="shared" si="5"/>
        <v>#N/A</v>
      </c>
      <c r="AW72" s="282" t="e">
        <f t="shared" si="7"/>
        <v>#N/A</v>
      </c>
    </row>
    <row r="73" spans="1:49">
      <c r="A73" s="225"/>
      <c r="F73" s="280" t="str">
        <f>Metrics!G35</f>
        <v># of compartments per tray (all)</v>
      </c>
      <c r="G73" s="265">
        <f>Metrics!H35</f>
        <v>2.9</v>
      </c>
      <c r="H73" s="282"/>
      <c r="I73" s="282"/>
      <c r="J73" s="282"/>
      <c r="K73" s="282"/>
      <c r="L73" s="282"/>
      <c r="M73" s="282"/>
      <c r="N73" s="282"/>
      <c r="O73" s="282"/>
      <c r="P73" s="282"/>
      <c r="Q73" s="282"/>
      <c r="R73" s="293"/>
      <c r="S73" s="242" t="s">
        <v>798</v>
      </c>
      <c r="T73" s="243"/>
      <c r="U73" s="243" t="s">
        <v>243</v>
      </c>
      <c r="V73" s="243">
        <v>225</v>
      </c>
      <c r="W73" s="22">
        <v>375</v>
      </c>
      <c r="X73" s="22"/>
      <c r="Y73" s="22" t="s">
        <v>791</v>
      </c>
      <c r="Z73" s="282" t="str">
        <f>IF(X73="first","","")&amp;CHAR(10)&amp;"{ key: """&amp;S73&amp;""""&amp;IF(T73&lt;&gt;"",", isGroup: true","")&amp;IF(U73&lt;&gt;"",", group: """&amp;U73&amp;"""","")&amp;IF(T73&lt;&gt;"","}",", loc: new go.Point("&amp;V73*$X$59&amp;", "&amp;W73*$X$59&amp;"), release: """&amp;Y73&amp;""" }")&amp;IF(X73="last","],",",")</f>
        <v xml:space="preserve">
{ key: "C_Manual receiving backend", group: "Chilled", loc: new go.Point(157.5, 262.5), release: "Launch 1.0" },</v>
      </c>
      <c r="AA73"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v>
      </c>
      <c r="AB73" s="282">
        <f t="shared" si="6"/>
        <v>729</v>
      </c>
      <c r="AC73" s="282" t="str">
        <f t="shared" si="0"/>
        <v>_</v>
      </c>
      <c r="AD73" s="22"/>
      <c r="AE73" s="22"/>
      <c r="AF73" s="22"/>
      <c r="AG73" s="22"/>
      <c r="AH73" s="22"/>
      <c r="AI73" s="22"/>
      <c r="AJ73" s="22"/>
      <c r="AK73" s="22"/>
      <c r="AL73" s="22"/>
      <c r="AM73" s="22"/>
      <c r="AN73" s="22"/>
      <c r="AP73" s="10">
        <f>AP69*G72</f>
        <v>60.299999999999969</v>
      </c>
      <c r="AQ73" s="12" t="e">
        <f t="shared" si="1"/>
        <v>#N/A</v>
      </c>
      <c r="AR73" s="12" t="e">
        <f t="shared" si="2"/>
        <v>#N/A</v>
      </c>
      <c r="AS73" s="282" t="e">
        <f t="shared" si="3"/>
        <v>#N/A</v>
      </c>
      <c r="AT73" s="282" t="str">
        <f t="shared" si="4"/>
        <v xml:space="preserve"> [60.3] </v>
      </c>
      <c r="AU73" s="22"/>
      <c r="AV73" s="282" t="e">
        <f t="shared" si="5"/>
        <v>#N/A</v>
      </c>
      <c r="AW73" s="282" t="e">
        <f t="shared" si="7"/>
        <v>#N/A</v>
      </c>
    </row>
    <row r="74" spans="1:49">
      <c r="A74" s="225"/>
      <c r="F74" s="280" t="s">
        <v>432</v>
      </c>
      <c r="G74" s="229">
        <f>SUMPRODUCT(G64:G66,G56:G58)/SUM(G56:G58)</f>
        <v>12</v>
      </c>
      <c r="R74" s="293"/>
      <c r="S74" s="243" t="s">
        <v>799</v>
      </c>
      <c r="T74" s="243"/>
      <c r="U74" s="243" t="s">
        <v>243</v>
      </c>
      <c r="V74" s="243">
        <v>300</v>
      </c>
      <c r="W74" s="22">
        <v>350</v>
      </c>
      <c r="X74" s="22"/>
      <c r="Y74" s="22" t="s">
        <v>791</v>
      </c>
      <c r="Z74" s="282" t="str">
        <f>IF(X74="first","","")&amp;CHAR(10)&amp;"{ key: """&amp;S74&amp;""""&amp;IF(T74&lt;&gt;"",", isGroup: true","")&amp;IF(U74&lt;&gt;"",", group: """&amp;U74&amp;"""","")&amp;IF(T74&lt;&gt;"","}",", loc: new go.Point("&amp;V74*$X$59&amp;", "&amp;W74*$X$59&amp;"), release: """&amp;Y74&amp;""" }")&amp;IF(X74="last","],",",")</f>
        <v xml:space="preserve">
{ key: "C_Traybreaker", group: "Chilled", loc: new go.Point(210, 245), release: "Launch 1.0" },</v>
      </c>
      <c r="AA74"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v>
      </c>
      <c r="AB74" s="282">
        <f t="shared" si="6"/>
        <v>730</v>
      </c>
      <c r="AC74" s="282" t="str">
        <f t="shared" si="0"/>
        <v>_</v>
      </c>
      <c r="AD74" s="22"/>
      <c r="AE74" s="22"/>
      <c r="AF74" s="22"/>
      <c r="AG74" s="22"/>
      <c r="AH74" s="22"/>
      <c r="AI74" s="22"/>
      <c r="AJ74" s="22"/>
      <c r="AK74" s="22"/>
      <c r="AL74" s="22"/>
      <c r="AM74" s="22"/>
      <c r="AN74" s="22"/>
      <c r="AP74" s="10">
        <f>AP70*G72</f>
        <v>3.7739586206896543</v>
      </c>
      <c r="AQ74" s="12" t="e">
        <f t="shared" si="1"/>
        <v>#N/A</v>
      </c>
      <c r="AR74" s="12" t="e">
        <f t="shared" si="2"/>
        <v>#N/A</v>
      </c>
      <c r="AS74" s="282" t="e">
        <f t="shared" si="3"/>
        <v>#N/A</v>
      </c>
      <c r="AT74" s="282" t="str">
        <f t="shared" si="4"/>
        <v xml:space="preserve"> [3.77] </v>
      </c>
      <c r="AU74" s="22"/>
      <c r="AV74" s="282" t="e">
        <f t="shared" si="5"/>
        <v>#N/A</v>
      </c>
      <c r="AW74" s="282" t="e">
        <f t="shared" si="7"/>
        <v>#N/A</v>
      </c>
    </row>
    <row r="75" spans="1:49">
      <c r="A75" s="225"/>
      <c r="F75" s="280" t="s">
        <v>454</v>
      </c>
      <c r="G75" s="263">
        <f>Metrics!H46</f>
        <v>6350</v>
      </c>
      <c r="H75" s="261"/>
      <c r="R75" s="293"/>
      <c r="S75" s="242" t="s">
        <v>800</v>
      </c>
      <c r="T75" s="243"/>
      <c r="U75" s="243" t="s">
        <v>243</v>
      </c>
      <c r="V75" s="243">
        <v>250</v>
      </c>
      <c r="W75" s="22">
        <v>300</v>
      </c>
      <c r="X75" s="22"/>
      <c r="Y75" s="22" t="s">
        <v>791</v>
      </c>
      <c r="Z75" s="282" t="str">
        <f>IF(X75="first","","")&amp;CHAR(10)&amp;"{ key: """&amp;S75&amp;""""&amp;IF(T75&lt;&gt;"",", isGroup: true","")&amp;IF(U75&lt;&gt;"",", group: """&amp;U75&amp;"""","")&amp;IF(T75&lt;&gt;"","}",", loc: new go.Point("&amp;V75*$X$59&amp;", "&amp;W75*$X$59&amp;"), release: """&amp;Y75&amp;""" }")&amp;IF(X75="last","],",",")</f>
        <v xml:space="preserve">
{ key: "C_Inbound connector", group: "Chilled", loc: new go.Point(175, 210), release: "Launch 1.0" },</v>
      </c>
      <c r="AA75"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v>
      </c>
      <c r="AB75" s="282">
        <f t="shared" si="6"/>
        <v>731</v>
      </c>
      <c r="AC75" s="282" t="str">
        <f t="shared" si="0"/>
        <v>_</v>
      </c>
      <c r="AD75" s="22"/>
      <c r="AE75" s="242"/>
      <c r="AF75" s="22"/>
      <c r="AG75" s="22"/>
      <c r="AH75" s="22"/>
      <c r="AI75" s="22"/>
      <c r="AJ75" s="22"/>
      <c r="AK75" s="22"/>
      <c r="AL75" s="22"/>
      <c r="AM75" s="22"/>
      <c r="AN75" s="22"/>
      <c r="AP75" s="12">
        <f>AP53</f>
        <v>1.9597949600271618</v>
      </c>
      <c r="AQ75" s="12" t="e">
        <f t="shared" si="1"/>
        <v>#N/A</v>
      </c>
      <c r="AR75" s="12" t="e">
        <f t="shared" si="2"/>
        <v>#N/A</v>
      </c>
      <c r="AS75" s="282" t="e">
        <f t="shared" si="3"/>
        <v>#N/A</v>
      </c>
      <c r="AT75" s="282" t="str">
        <f t="shared" si="4"/>
        <v xml:space="preserve"> [1.96] </v>
      </c>
      <c r="AU75" s="22"/>
      <c r="AV75" s="282" t="e">
        <f t="shared" si="5"/>
        <v>#N/A</v>
      </c>
      <c r="AW75" s="282" t="e">
        <f t="shared" si="7"/>
        <v>#N/A</v>
      </c>
    </row>
    <row r="76" spans="1:49">
      <c r="A76" s="230"/>
      <c r="B76" s="231"/>
      <c r="C76" s="231"/>
      <c r="D76" s="231"/>
      <c r="E76" s="231"/>
      <c r="F76" s="231" t="s">
        <v>458</v>
      </c>
      <c r="G76" s="232">
        <f>Metrics!H39</f>
        <v>15</v>
      </c>
      <c r="R76" s="293"/>
      <c r="S76" s="242" t="s">
        <v>839</v>
      </c>
      <c r="T76" s="243"/>
      <c r="U76" s="243" t="s">
        <v>243</v>
      </c>
      <c r="V76" s="243">
        <v>250</v>
      </c>
      <c r="W76" s="22">
        <v>300</v>
      </c>
      <c r="X76" s="22"/>
      <c r="Y76" s="22" t="s">
        <v>791</v>
      </c>
      <c r="Z76" s="282" t="str">
        <f>IF(X76="first","","")&amp;CHAR(10)&amp;"{ key: """&amp;S76&amp;""""&amp;IF(T76&lt;&gt;"",", isGroup: true","")&amp;IF(U76&lt;&gt;"",", group: """&amp;U76&amp;"""","")&amp;IF(T76&lt;&gt;"","}",", loc: new go.Point("&amp;V76*$X$59&amp;", "&amp;W76*$X$59&amp;"), release: """&amp;Y76&amp;""" }")&amp;IF(X76="last","],",",")</f>
        <v xml:space="preserve">
{ key: "C_Outbound connector", group: "Chilled", loc: new go.Point(175, 210), release: "Launch 1.0" },</v>
      </c>
      <c r="AA76"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v>
      </c>
      <c r="AB76" s="282">
        <f t="shared" si="6"/>
        <v>732</v>
      </c>
      <c r="AC76" s="282" t="str">
        <f t="shared" si="0"/>
        <v>_</v>
      </c>
      <c r="AD76" s="22"/>
      <c r="AE76" s="22"/>
      <c r="AF76" s="22"/>
      <c r="AG76" s="22"/>
      <c r="AH76" s="22"/>
      <c r="AI76" s="22"/>
      <c r="AJ76" s="22"/>
      <c r="AK76" s="22"/>
      <c r="AL76" s="22"/>
      <c r="AM76" s="22"/>
      <c r="AN76" s="22"/>
      <c r="AP76" s="12">
        <f>AP71+AP69+AP70</f>
        <v>16.255940432374484</v>
      </c>
      <c r="AQ76" s="12" t="e">
        <f t="shared" si="1"/>
        <v>#N/A</v>
      </c>
      <c r="AR76" s="12" t="e">
        <f t="shared" si="2"/>
        <v>#N/A</v>
      </c>
      <c r="AS76" s="282" t="e">
        <f t="shared" si="3"/>
        <v>#N/A</v>
      </c>
      <c r="AT76" s="282" t="str">
        <f t="shared" si="4"/>
        <v xml:space="preserve"> [16.26] </v>
      </c>
      <c r="AU76" s="22"/>
      <c r="AV76" s="282" t="e">
        <f t="shared" si="5"/>
        <v>#N/A</v>
      </c>
      <c r="AW76" s="282" t="e">
        <f t="shared" si="7"/>
        <v>#N/A</v>
      </c>
    </row>
    <row r="77" spans="1:49">
      <c r="R77" s="293"/>
      <c r="S77" s="242" t="s">
        <v>801</v>
      </c>
      <c r="T77" s="243"/>
      <c r="U77" s="243" t="s">
        <v>243</v>
      </c>
      <c r="V77" s="243">
        <v>250</v>
      </c>
      <c r="W77" s="22">
        <v>325</v>
      </c>
      <c r="X77" s="22"/>
      <c r="Y77" s="22" t="s">
        <v>791</v>
      </c>
      <c r="Z77" s="282" t="str">
        <f>IF(X77="first","","")&amp;CHAR(10)&amp;"{ key: """&amp;S77&amp;""""&amp;IF(T77&lt;&gt;"",", isGroup: true","")&amp;IF(U77&lt;&gt;"",", group: """&amp;U77&amp;"""","")&amp;IF(T77&lt;&gt;"","}",", loc: new go.Point("&amp;V77*$X$59&amp;", "&amp;W77*$X$59&amp;"), release: """&amp;Y77&amp;""" }")&amp;IF(X77="last","],",",")</f>
        <v xml:space="preserve">
{ key: "C_Traymaker", group: "Chilled", loc: new go.Point(175, 227.5), release: "Launch 1.0" },</v>
      </c>
      <c r="AA77"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v>
      </c>
      <c r="AB77" s="282">
        <f t="shared" si="6"/>
        <v>733</v>
      </c>
      <c r="AC77" s="282" t="str">
        <f t="shared" si="0"/>
        <v>_</v>
      </c>
      <c r="AD77" s="22"/>
      <c r="AE77" s="22"/>
      <c r="AF77" s="22"/>
      <c r="AG77" s="22"/>
      <c r="AH77" s="22"/>
      <c r="AI77" s="22"/>
      <c r="AJ77" s="22"/>
      <c r="AK77" s="22"/>
      <c r="AL77" s="22"/>
      <c r="AM77" s="22"/>
      <c r="AN77" s="22"/>
      <c r="AP77" s="287">
        <f>AP73+AP74-(AP69)*G92</f>
        <v>47.491458620689627</v>
      </c>
      <c r="AQ77" s="12" t="e">
        <f t="shared" si="1"/>
        <v>#N/A</v>
      </c>
      <c r="AR77" s="12" t="e">
        <f t="shared" si="2"/>
        <v>#N/A</v>
      </c>
      <c r="AS77" s="282" t="e">
        <f t="shared" si="3"/>
        <v>#N/A</v>
      </c>
      <c r="AT77" s="282" t="str">
        <f t="shared" si="4"/>
        <v xml:space="preserve"> [47.49] </v>
      </c>
      <c r="AU77" s="22"/>
      <c r="AV77" s="282" t="e">
        <f t="shared" si="5"/>
        <v>#N/A</v>
      </c>
      <c r="AW77" s="282" t="e">
        <f t="shared" si="7"/>
        <v>#N/A</v>
      </c>
    </row>
    <row r="78" spans="1:49">
      <c r="A78" s="50" t="s">
        <v>355</v>
      </c>
      <c r="B78" s="29"/>
      <c r="C78" s="29"/>
      <c r="D78" s="29"/>
      <c r="E78" s="29"/>
      <c r="F78" s="46"/>
      <c r="G78" s="227"/>
      <c r="R78" s="293"/>
      <c r="S78" s="242" t="s">
        <v>802</v>
      </c>
      <c r="T78" s="243"/>
      <c r="U78" s="243" t="s">
        <v>243</v>
      </c>
      <c r="V78" s="243">
        <v>300</v>
      </c>
      <c r="W78" s="22">
        <v>250</v>
      </c>
      <c r="X78" s="22"/>
      <c r="Y78" s="22" t="s">
        <v>791</v>
      </c>
      <c r="Z78" s="282" t="str">
        <f>IF(X78="first","","")&amp;CHAR(10)&amp;"{ key: """&amp;S78&amp;""""&amp;IF(T78&lt;&gt;"",", isGroup: true","")&amp;IF(U78&lt;&gt;"",", group: """&amp;U78&amp;"""","")&amp;IF(T78&lt;&gt;"","}",", loc: new go.Point("&amp;V78*$X$59&amp;", "&amp;W78*$X$59&amp;"), release: """&amp;Y78&amp;""" }")&amp;IF(X78="last","],",",")</f>
        <v xml:space="preserve">
{ key: "C_Tray wash", group: "Chilled", loc: new go.Point(210, 175), release: "Launch 1.0" },</v>
      </c>
      <c r="AA78"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v>
      </c>
      <c r="AB78" s="282">
        <f t="shared" si="6"/>
        <v>734</v>
      </c>
      <c r="AC78" s="282" t="str">
        <f t="shared" si="0"/>
        <v>_</v>
      </c>
      <c r="AD78" s="22"/>
      <c r="AE78" s="22"/>
      <c r="AF78" s="22"/>
      <c r="AG78" s="22"/>
      <c r="AH78" s="22"/>
      <c r="AI78" s="22"/>
      <c r="AJ78" s="22"/>
      <c r="AK78" s="22"/>
      <c r="AL78" s="22"/>
      <c r="AM78" s="22"/>
      <c r="AN78" s="22"/>
      <c r="AP78" s="10">
        <f>AP76-AP71</f>
        <v>16.018489655172409</v>
      </c>
      <c r="AQ78" s="12" t="e">
        <f t="shared" si="1"/>
        <v>#N/A</v>
      </c>
      <c r="AR78" s="12" t="e">
        <f t="shared" si="2"/>
        <v>#N/A</v>
      </c>
      <c r="AS78" s="282" t="e">
        <f t="shared" si="3"/>
        <v>#N/A</v>
      </c>
      <c r="AT78" s="282" t="str">
        <f t="shared" si="4"/>
        <v xml:space="preserve"> [16.02] </v>
      </c>
      <c r="AU78" s="22"/>
      <c r="AV78" s="282" t="e">
        <f t="shared" si="5"/>
        <v>#N/A</v>
      </c>
      <c r="AW78" s="282" t="e">
        <f t="shared" si="7"/>
        <v>#N/A</v>
      </c>
    </row>
    <row r="79" spans="1:49">
      <c r="A79" s="144"/>
      <c r="B79" s="282"/>
      <c r="C79" s="282"/>
      <c r="D79" s="282"/>
      <c r="E79" s="282"/>
      <c r="F79" s="7" t="s">
        <v>464</v>
      </c>
      <c r="G79" s="228">
        <v>2</v>
      </c>
      <c r="R79" s="293"/>
      <c r="S79" s="243" t="s">
        <v>242</v>
      </c>
      <c r="T79" s="243" t="s">
        <v>397</v>
      </c>
      <c r="U79" s="243"/>
      <c r="V79" s="243"/>
      <c r="W79" s="22"/>
      <c r="X79" s="22"/>
      <c r="Y79" s="22" t="s">
        <v>791</v>
      </c>
      <c r="Z79" s="282" t="str">
        <f>IF(X79="first","","")&amp;CHAR(10)&amp;"{ key: """&amp;S79&amp;""""&amp;IF(T79&lt;&gt;"",", isGroup: true","")&amp;IF(U79&lt;&gt;"",", group: """&amp;U79&amp;"""","")&amp;IF(T79&lt;&gt;"","}",", loc: new go.Point("&amp;V79*$X$59&amp;", "&amp;W79*$X$59&amp;"), release: """&amp;Y79&amp;""" }")&amp;IF(X79="last","],",",")</f>
        <v xml:space="preserve">
{ key: "Ambient", isGroup: true},</v>
      </c>
      <c r="AA79"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v>
      </c>
      <c r="AB79" s="282">
        <f t="shared" si="6"/>
        <v>735</v>
      </c>
      <c r="AC79" s="282" t="str">
        <f t="shared" si="0"/>
        <v>_</v>
      </c>
      <c r="AD79" s="22"/>
      <c r="AE79" s="22"/>
      <c r="AF79" s="22"/>
      <c r="AG79" s="22"/>
      <c r="AH79" s="22"/>
      <c r="AI79" s="22"/>
      <c r="AJ79" s="22"/>
      <c r="AK79" s="22"/>
      <c r="AL79" s="22"/>
      <c r="AM79" s="22"/>
      <c r="AN79" s="22"/>
      <c r="AP79" s="12">
        <f>(AP77+AP58)/G72</f>
        <v>11.989648017036696</v>
      </c>
      <c r="AQ79" s="12" t="e">
        <f t="shared" si="1"/>
        <v>#N/A</v>
      </c>
      <c r="AR79" s="12" t="e">
        <f t="shared" si="2"/>
        <v>#N/A</v>
      </c>
      <c r="AS79" s="282" t="e">
        <f t="shared" si="3"/>
        <v>#N/A</v>
      </c>
      <c r="AT79" s="282" t="str">
        <f t="shared" si="4"/>
        <v xml:space="preserve"> [11.99] </v>
      </c>
      <c r="AU79" s="22" t="s">
        <v>512</v>
      </c>
      <c r="AV79" s="282" t="e">
        <f t="shared" si="5"/>
        <v>#N/A</v>
      </c>
      <c r="AW79" s="282" t="e">
        <f t="shared" si="7"/>
        <v>#N/A</v>
      </c>
    </row>
    <row r="80" spans="1:49">
      <c r="A80" s="144"/>
      <c r="B80" s="282"/>
      <c r="C80" s="282"/>
      <c r="D80" s="282"/>
      <c r="E80" s="282"/>
      <c r="F80" s="7" t="s">
        <v>424</v>
      </c>
      <c r="G80" s="226">
        <f>G47/G51+G48/G52</f>
        <v>2.4420572916666668E-2</v>
      </c>
      <c r="R80" s="293"/>
      <c r="S80" s="243" t="s">
        <v>243</v>
      </c>
      <c r="T80" s="243" t="s">
        <v>397</v>
      </c>
      <c r="U80" s="243"/>
      <c r="V80" s="243"/>
      <c r="W80" s="22"/>
      <c r="X80" s="22"/>
      <c r="Y80" s="22" t="s">
        <v>791</v>
      </c>
      <c r="Z80" s="282" t="str">
        <f>IF(X80="first","","")&amp;CHAR(10)&amp;"{ key: """&amp;S80&amp;""""&amp;IF(T80&lt;&gt;"",", isGroup: true","")&amp;IF(U80&lt;&gt;"",", group: """&amp;U80&amp;"""","")&amp;IF(T80&lt;&gt;"","}",", loc: new go.Point("&amp;V80*$X$59&amp;", "&amp;W80*$X$59&amp;"), release: """&amp;Y80&amp;""" }")&amp;IF(X80="last","],",",")</f>
        <v xml:space="preserve">
{ key: "Chilled", isGroup: true},</v>
      </c>
      <c r="AA80"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v>
      </c>
      <c r="AB80" s="282">
        <f t="shared" si="6"/>
        <v>736</v>
      </c>
      <c r="AC80" s="282" t="str">
        <f t="shared" si="0"/>
        <v>_</v>
      </c>
      <c r="AD80" s="22"/>
      <c r="AE80" s="22"/>
      <c r="AF80" s="22"/>
      <c r="AG80" s="22"/>
      <c r="AH80" s="22"/>
      <c r="AI80" s="22"/>
      <c r="AJ80" s="22"/>
      <c r="AK80" s="22"/>
      <c r="AL80" s="22"/>
      <c r="AM80" s="22"/>
      <c r="AN80" s="22"/>
      <c r="AO80" s="10"/>
      <c r="AP80" s="12">
        <f>AP56</f>
        <v>2.7997070857530884</v>
      </c>
      <c r="AQ80" s="12" t="e">
        <f t="shared" si="1"/>
        <v>#N/A</v>
      </c>
      <c r="AR80" s="12" t="e">
        <f t="shared" si="2"/>
        <v>#N/A</v>
      </c>
      <c r="AS80" s="282" t="e">
        <f t="shared" si="3"/>
        <v>#N/A</v>
      </c>
      <c r="AT80" s="282" t="str">
        <f t="shared" si="4"/>
        <v xml:space="preserve"> [2.8] </v>
      </c>
      <c r="AU80" s="22"/>
      <c r="AV80" s="282" t="e">
        <f t="shared" si="5"/>
        <v>#N/A</v>
      </c>
      <c r="AW80" s="282" t="e">
        <f t="shared" si="7"/>
        <v>#N/A</v>
      </c>
    </row>
    <row r="81" spans="1:49">
      <c r="A81" s="144"/>
      <c r="B81" s="282"/>
      <c r="C81" s="282"/>
      <c r="D81" s="282"/>
      <c r="E81" s="282"/>
      <c r="F81" s="7" t="s">
        <v>425</v>
      </c>
      <c r="G81" s="257">
        <v>0.9</v>
      </c>
      <c r="R81" s="293"/>
      <c r="S81" s="243" t="s">
        <v>244</v>
      </c>
      <c r="T81" s="243" t="s">
        <v>397</v>
      </c>
      <c r="U81" s="243"/>
      <c r="V81" s="243"/>
      <c r="W81" s="22"/>
      <c r="X81" s="243"/>
      <c r="Y81" s="22" t="s">
        <v>791</v>
      </c>
      <c r="Z81" s="282" t="str">
        <f>IF(X81="first","","")&amp;CHAR(10)&amp;"{ key: """&amp;S81&amp;""""&amp;IF(T81&lt;&gt;"",", isGroup: true","")&amp;IF(U81&lt;&gt;"",", group: """&amp;U81&amp;"""","")&amp;IF(T81&lt;&gt;"","}",", loc: new go.Point("&amp;V81*$X$59&amp;", "&amp;W81*$X$59&amp;"), release: """&amp;Y81&amp;""" }")&amp;IF(X81="last","],",",")</f>
        <v xml:space="preserve">
{ key: "Frozen", isGroup: true},</v>
      </c>
      <c r="AA81"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v>
      </c>
      <c r="AB81" s="282">
        <f t="shared" si="6"/>
        <v>737</v>
      </c>
      <c r="AC81" s="282" t="str">
        <f t="shared" si="0"/>
        <v>_</v>
      </c>
      <c r="AD81" s="22"/>
      <c r="AE81" s="22"/>
      <c r="AF81" s="22"/>
      <c r="AG81" s="22"/>
      <c r="AH81" s="22"/>
      <c r="AI81" s="22"/>
      <c r="AJ81" s="22"/>
      <c r="AK81" s="22"/>
      <c r="AL81" s="22"/>
      <c r="AM81" s="22"/>
      <c r="AN81" s="22"/>
      <c r="AO81" s="10"/>
      <c r="AP81" s="12">
        <f>AP57</f>
        <v>1.3998535428765442</v>
      </c>
      <c r="AQ81" s="12" t="e">
        <f t="shared" si="1"/>
        <v>#N/A</v>
      </c>
      <c r="AR81" s="12" t="e">
        <f t="shared" si="2"/>
        <v>#N/A</v>
      </c>
      <c r="AS81" s="282" t="e">
        <f t="shared" si="3"/>
        <v>#N/A</v>
      </c>
      <c r="AT81" s="282" t="str">
        <f t="shared" si="4"/>
        <v xml:space="preserve"> [1.4] </v>
      </c>
      <c r="AU81" s="22"/>
      <c r="AV81" s="282" t="e">
        <f t="shared" si="5"/>
        <v>#N/A</v>
      </c>
      <c r="AW81" s="282" t="e">
        <f t="shared" si="7"/>
        <v>#N/A</v>
      </c>
    </row>
    <row r="82" spans="1:49">
      <c r="A82" s="144"/>
      <c r="B82" s="282"/>
      <c r="C82" s="282"/>
      <c r="D82" s="282"/>
      <c r="E82" s="282"/>
      <c r="F82" s="7" t="s">
        <v>428</v>
      </c>
      <c r="G82" s="256">
        <f>SUM(G56:G58)</f>
        <v>0.30000000000000004</v>
      </c>
      <c r="R82" s="293"/>
      <c r="S82" s="243" t="s">
        <v>807</v>
      </c>
      <c r="T82" s="243"/>
      <c r="U82" s="243" t="s">
        <v>244</v>
      </c>
      <c r="V82" s="243">
        <v>-200</v>
      </c>
      <c r="W82" s="22">
        <v>100</v>
      </c>
      <c r="X82" s="243"/>
      <c r="Y82" s="22" t="s">
        <v>791</v>
      </c>
      <c r="Z82" s="282" t="str">
        <f>IF(X82="first","","")&amp;CHAR(10)&amp;"{ key: """&amp;S82&amp;""""&amp;IF(T82&lt;&gt;"",", isGroup: true","")&amp;IF(U82&lt;&gt;"",", group: """&amp;U82&amp;"""","")&amp;IF(T82&lt;&gt;"","}",", loc: new go.Point("&amp;V82*$X$59&amp;", "&amp;W82*$X$59&amp;"), release: """&amp;Y82&amp;""" }")&amp;IF(X82="last","],",",")</f>
        <v xml:space="preserve">
{ key: "F_Shelves", group: "Frozen", loc: new go.Point(-140, 70), release: "Launch 1.0" },</v>
      </c>
      <c r="AA82"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v>
      </c>
      <c r="AB82" s="282">
        <f t="shared" si="6"/>
        <v>738</v>
      </c>
      <c r="AC82" s="282" t="str">
        <f t="shared" si="0"/>
        <v>_</v>
      </c>
      <c r="AD82" s="22"/>
      <c r="AE82" s="22"/>
      <c r="AF82" s="22"/>
      <c r="AG82" s="22"/>
      <c r="AH82" s="22"/>
      <c r="AI82" s="22"/>
      <c r="AJ82" s="22"/>
      <c r="AK82" s="22"/>
      <c r="AL82" s="22"/>
      <c r="AM82" s="22"/>
      <c r="AN82" s="22"/>
      <c r="AP82" s="12">
        <f>SUM(AP79:AP81)*G103</f>
        <v>4.8567625936998988</v>
      </c>
      <c r="AQ82" s="12" t="e">
        <f t="shared" si="1"/>
        <v>#N/A</v>
      </c>
      <c r="AR82" s="12" t="e">
        <f t="shared" si="2"/>
        <v>#N/A</v>
      </c>
      <c r="AS82" s="282" t="e">
        <f t="shared" si="3"/>
        <v>#N/A</v>
      </c>
      <c r="AT82" s="282" t="str">
        <f t="shared" si="4"/>
        <v xml:space="preserve"> [4.86] </v>
      </c>
      <c r="AU82" s="22"/>
      <c r="AV82" s="282" t="e">
        <f t="shared" si="5"/>
        <v>#N/A</v>
      </c>
      <c r="AW82" s="282" t="e">
        <f t="shared" si="7"/>
        <v>#N/A</v>
      </c>
    </row>
    <row r="83" spans="1:49">
      <c r="A83" s="144"/>
      <c r="C83" s="282"/>
      <c r="D83" s="282"/>
      <c r="E83" s="282"/>
      <c r="F83" s="7" t="s">
        <v>429</v>
      </c>
      <c r="G83" s="256">
        <f>1-G82</f>
        <v>0.7</v>
      </c>
      <c r="R83" s="293"/>
      <c r="S83" s="243" t="s">
        <v>846</v>
      </c>
      <c r="T83" s="243"/>
      <c r="U83" s="243" t="s">
        <v>242</v>
      </c>
      <c r="V83" s="243">
        <v>500</v>
      </c>
      <c r="W83" s="22">
        <v>450</v>
      </c>
      <c r="X83" s="22"/>
      <c r="Y83" s="22" t="s">
        <v>791</v>
      </c>
      <c r="Z83" s="282" t="str">
        <f t="shared" si="10"/>
        <v xml:space="preserve">
{ key: "A_TS_Rack", group: "Ambient", loc: new go.Point(350, 315), release: "Launch 1.0" },</v>
      </c>
      <c r="AA83"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v>
      </c>
      <c r="AB83" s="282">
        <f t="shared" si="6"/>
        <v>739</v>
      </c>
      <c r="AC83" s="282" t="str">
        <f t="shared" si="0"/>
        <v>_</v>
      </c>
      <c r="AD83" s="22"/>
      <c r="AE83" s="22"/>
      <c r="AF83" s="22"/>
      <c r="AG83" s="22"/>
      <c r="AH83" s="22"/>
      <c r="AI83" s="22"/>
      <c r="AJ83" s="22"/>
      <c r="AK83" s="22"/>
      <c r="AL83" s="22"/>
      <c r="AM83" s="22"/>
      <c r="AN83" s="22"/>
      <c r="AP83" s="12">
        <f>AP82</f>
        <v>4.8567625936998988</v>
      </c>
      <c r="AQ83" s="12" t="e">
        <f t="shared" si="1"/>
        <v>#N/A</v>
      </c>
      <c r="AR83" s="12" t="e">
        <f t="shared" si="2"/>
        <v>#N/A</v>
      </c>
      <c r="AS83" s="282" t="e">
        <f t="shared" si="3"/>
        <v>#N/A</v>
      </c>
      <c r="AT83" s="282" t="str">
        <f t="shared" si="4"/>
        <v xml:space="preserve"> [4.86] </v>
      </c>
      <c r="AU83" s="22"/>
      <c r="AV83" s="282" t="e">
        <f t="shared" si="5"/>
        <v>#N/A</v>
      </c>
      <c r="AW83" s="282" t="e">
        <f t="shared" si="7"/>
        <v>#N/A</v>
      </c>
    </row>
    <row r="84" spans="1:49">
      <c r="A84" s="144"/>
      <c r="C84" s="282"/>
      <c r="D84" s="282"/>
      <c r="E84" s="282"/>
      <c r="F84" s="7" t="s">
        <v>433</v>
      </c>
      <c r="G84" s="258">
        <f>G47/G71</f>
        <v>1.0983630952380952</v>
      </c>
      <c r="R84" s="293"/>
      <c r="S84" s="243" t="s">
        <v>847</v>
      </c>
      <c r="T84" s="243"/>
      <c r="U84" s="243" t="s">
        <v>243</v>
      </c>
      <c r="V84" s="243">
        <v>500</v>
      </c>
      <c r="W84" s="22">
        <v>250</v>
      </c>
      <c r="X84" s="22"/>
      <c r="Y84" s="22" t="s">
        <v>791</v>
      </c>
      <c r="Z84" s="282" t="str">
        <f t="shared" si="10"/>
        <v xml:space="preserve">
{ key: "C_TS_Rack", group: "Chilled", loc: new go.Point(350, 175), release: "Launch 1.0" },</v>
      </c>
      <c r="AA84" s="282" t="str">
        <f t="shared" si="11"/>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v>
      </c>
      <c r="AB84" s="282">
        <f t="shared" si="6"/>
        <v>740</v>
      </c>
      <c r="AC84" s="282" t="str">
        <f t="shared" si="0"/>
        <v>_</v>
      </c>
      <c r="AD84" s="22"/>
      <c r="AE84" s="22"/>
      <c r="AF84" s="22"/>
      <c r="AG84" s="22"/>
      <c r="AH84" s="22"/>
      <c r="AI84" s="22"/>
      <c r="AJ84" s="22"/>
      <c r="AK84" s="22"/>
      <c r="AL84" s="22"/>
      <c r="AM84" s="22"/>
      <c r="AN84" s="22"/>
      <c r="AP84" s="12">
        <f>SUM(AP79:AP81)</f>
        <v>16.18920864566633</v>
      </c>
      <c r="AQ84" s="12" t="e">
        <f t="shared" si="1"/>
        <v>#N/A</v>
      </c>
      <c r="AR84" s="12" t="e">
        <f t="shared" si="2"/>
        <v>#N/A</v>
      </c>
      <c r="AS84" s="282" t="e">
        <f t="shared" si="3"/>
        <v>#N/A</v>
      </c>
      <c r="AT84" s="282" t="str">
        <f t="shared" si="4"/>
        <v xml:space="preserve"> [16.19] </v>
      </c>
      <c r="AU84" s="22"/>
      <c r="AV84" s="282" t="e">
        <f t="shared" si="5"/>
        <v>#N/A</v>
      </c>
      <c r="AW84" s="282" t="e">
        <f t="shared" si="7"/>
        <v>#N/A</v>
      </c>
    </row>
    <row r="85" spans="1:49">
      <c r="A85" s="144"/>
      <c r="B85" s="282"/>
      <c r="C85" s="282"/>
      <c r="D85" s="282"/>
      <c r="E85" s="282"/>
      <c r="F85" s="7" t="s">
        <v>446</v>
      </c>
      <c r="G85" s="258">
        <f>G84*G82</f>
        <v>0.32950892857142861</v>
      </c>
      <c r="R85" s="293"/>
      <c r="S85" s="243" t="s">
        <v>848</v>
      </c>
      <c r="T85" s="243"/>
      <c r="U85" s="243" t="s">
        <v>242</v>
      </c>
      <c r="V85" s="243">
        <v>800</v>
      </c>
      <c r="W85" s="22">
        <v>300</v>
      </c>
      <c r="X85" s="22"/>
      <c r="Y85" s="22" t="s">
        <v>791</v>
      </c>
      <c r="Z85" s="293" t="str">
        <f t="shared" ref="Z85:Z111" si="15">IF(X85="first","","")&amp;CHAR(10)&amp;"{ key: """&amp;S85&amp;""""&amp;IF(T85&lt;&gt;"",", isGroup: true","")&amp;IF(U85&lt;&gt;"",", group: """&amp;U85&amp;"""","")&amp;IF(T85&lt;&gt;"","}",", loc: new go.Point("&amp;V85*$X$59&amp;", "&amp;W85*$X$59&amp;"), release: """&amp;Y85&amp;""" }")&amp;IF(X85="last","],",",")</f>
        <v xml:space="preserve">
{ key: "A_MPP_TrayXL", group: "Ambient", loc: new go.Point(560, 210), release: "Launch 1.0" },</v>
      </c>
      <c r="AA85" s="293" t="str">
        <f t="shared" ref="AA85:AA111" si="16">AA84&amp;Z85</f>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v>
      </c>
      <c r="AB85" s="282">
        <f t="shared" si="6"/>
        <v>741</v>
      </c>
      <c r="AC85" s="282" t="str">
        <f t="shared" si="0"/>
        <v>_</v>
      </c>
      <c r="AD85" s="22"/>
      <c r="AE85" s="22"/>
      <c r="AF85" s="22"/>
      <c r="AG85" s="22"/>
      <c r="AH85" s="22"/>
      <c r="AI85" s="22"/>
      <c r="AJ85" s="22"/>
      <c r="AK85" s="22"/>
      <c r="AL85" s="22"/>
      <c r="AM85" s="22"/>
      <c r="AN85" s="22"/>
      <c r="AO85" s="10">
        <f>$G$79</f>
        <v>2</v>
      </c>
      <c r="AP85" s="12">
        <f>AP84/G79</f>
        <v>8.094604322833165</v>
      </c>
      <c r="AQ85" s="12" t="e">
        <f t="shared" si="1"/>
        <v>#N/A</v>
      </c>
      <c r="AR85" s="12" t="e">
        <f t="shared" si="2"/>
        <v>#N/A</v>
      </c>
      <c r="AS85" s="282" t="e">
        <f t="shared" si="3"/>
        <v>#N/A</v>
      </c>
      <c r="AT85" s="282" t="str">
        <f t="shared" si="4"/>
        <v xml:space="preserve"> [8.09] </v>
      </c>
      <c r="AU85" s="22"/>
      <c r="AV85" s="282" t="e">
        <f t="shared" si="5"/>
        <v>#N/A</v>
      </c>
      <c r="AW85" s="282" t="e">
        <f t="shared" si="7"/>
        <v>#N/A</v>
      </c>
    </row>
    <row r="86" spans="1:49">
      <c r="A86" s="144"/>
      <c r="B86" s="282"/>
      <c r="C86" s="282"/>
      <c r="D86" s="282"/>
      <c r="E86" s="282"/>
      <c r="F86" s="7" t="s">
        <v>434</v>
      </c>
      <c r="G86" s="258">
        <f>G84-G85</f>
        <v>0.76885416666666662</v>
      </c>
      <c r="R86" s="293"/>
      <c r="S86" s="243" t="s">
        <v>849</v>
      </c>
      <c r="T86" s="243"/>
      <c r="U86" s="243" t="s">
        <v>242</v>
      </c>
      <c r="V86" s="243">
        <v>850</v>
      </c>
      <c r="W86" s="22">
        <v>300</v>
      </c>
      <c r="X86" s="22"/>
      <c r="Y86" s="22" t="s">
        <v>808</v>
      </c>
      <c r="Z86" s="293" t="str">
        <f t="shared" si="15"/>
        <v xml:space="preserve">
{ key: "A_MPP_Putwall", group: "Ambient", loc: new go.Point(595, 210), release: "Launch 1.1" },</v>
      </c>
      <c r="AA86"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v>
      </c>
      <c r="AB86" s="282">
        <f t="shared" si="6"/>
        <v>742</v>
      </c>
      <c r="AC86" s="282" t="str">
        <f t="shared" si="0"/>
        <v>_</v>
      </c>
      <c r="AD86" s="22"/>
      <c r="AE86" s="22"/>
      <c r="AF86" s="22"/>
      <c r="AG86" s="22"/>
      <c r="AH86" s="22"/>
      <c r="AI86" s="22"/>
      <c r="AJ86" s="22"/>
      <c r="AK86" s="22"/>
      <c r="AL86" s="22"/>
      <c r="AM86" s="22"/>
      <c r="AN86" s="22"/>
      <c r="AO86" s="10">
        <f>$G$79</f>
        <v>2</v>
      </c>
      <c r="AP86" s="12">
        <f>AP85</f>
        <v>8.094604322833165</v>
      </c>
      <c r="AQ86" s="12" t="e">
        <f t="shared" si="1"/>
        <v>#N/A</v>
      </c>
      <c r="AR86" s="12" t="e">
        <f t="shared" si="2"/>
        <v>#N/A</v>
      </c>
      <c r="AS86" s="282" t="e">
        <f t="shared" si="3"/>
        <v>#N/A</v>
      </c>
      <c r="AT86" s="282" t="str">
        <f t="shared" si="4"/>
        <v xml:space="preserve"> [8.09] </v>
      </c>
      <c r="AU86" s="22"/>
      <c r="AV86" s="282" t="e">
        <f t="shared" si="5"/>
        <v>#N/A</v>
      </c>
      <c r="AW86" s="282" t="e">
        <f t="shared" si="7"/>
        <v>#N/A</v>
      </c>
    </row>
    <row r="87" spans="1:49">
      <c r="A87" s="144"/>
      <c r="B87" s="282"/>
      <c r="C87" s="282"/>
      <c r="D87" s="282"/>
      <c r="E87" s="7" t="s">
        <v>441</v>
      </c>
      <c r="F87" s="7" t="s">
        <v>274</v>
      </c>
      <c r="G87" s="255">
        <f>G59/SUM(G$59:G$62)</f>
        <v>0.2142857142857143</v>
      </c>
      <c r="R87" s="293"/>
      <c r="S87" s="243" t="s">
        <v>850</v>
      </c>
      <c r="T87" s="243"/>
      <c r="U87" s="243" t="s">
        <v>242</v>
      </c>
      <c r="V87" s="243">
        <v>900</v>
      </c>
      <c r="W87" s="22">
        <v>300</v>
      </c>
      <c r="X87" s="22"/>
      <c r="Y87" s="22" t="s">
        <v>809</v>
      </c>
      <c r="Z87" s="293" t="str">
        <f t="shared" si="15"/>
        <v xml:space="preserve">
{ key: "A_MPP_Tote cart", group: "Ambient", loc: new go.Point(630, 210), release: "Launch 1.2" },</v>
      </c>
      <c r="AA87"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v>
      </c>
      <c r="AB87" s="282">
        <f t="shared" si="6"/>
        <v>743</v>
      </c>
      <c r="AC87" s="282" t="str">
        <f t="shared" si="0"/>
        <v>_</v>
      </c>
      <c r="AD87" s="22"/>
      <c r="AE87" s="22"/>
      <c r="AF87" s="22"/>
      <c r="AG87" s="22"/>
      <c r="AH87" s="22"/>
      <c r="AI87" s="22"/>
      <c r="AJ87" s="22"/>
      <c r="AK87" s="22"/>
      <c r="AL87" s="22"/>
      <c r="AM87" s="22"/>
      <c r="AN87" s="22"/>
      <c r="AP87" s="12">
        <f>AP72</f>
        <v>1.1846232803287475E-2</v>
      </c>
      <c r="AQ87" s="12" t="e">
        <f t="shared" si="1"/>
        <v>#N/A</v>
      </c>
      <c r="AR87" s="12" t="e">
        <f t="shared" si="2"/>
        <v>#N/A</v>
      </c>
      <c r="AS87" s="282" t="e">
        <f t="shared" si="3"/>
        <v>#N/A</v>
      </c>
      <c r="AT87" s="282" t="str">
        <f t="shared" si="4"/>
        <v xml:space="preserve"> [0.01] </v>
      </c>
      <c r="AU87" s="22"/>
      <c r="AV87" s="282" t="e">
        <f t="shared" si="5"/>
        <v>#N/A</v>
      </c>
      <c r="AW87" s="282" t="e">
        <f t="shared" si="7"/>
        <v>#N/A</v>
      </c>
    </row>
    <row r="88" spans="1:49">
      <c r="A88" s="144"/>
      <c r="B88" s="282"/>
      <c r="C88" s="282"/>
      <c r="D88" s="282"/>
      <c r="E88" s="282"/>
      <c r="F88" s="7" t="s">
        <v>275</v>
      </c>
      <c r="G88" s="255">
        <f t="shared" ref="G88:G90" si="17">G60/SUM(G$59:G$62)</f>
        <v>0.2142857142857143</v>
      </c>
      <c r="R88" s="293"/>
      <c r="S88" s="243" t="s">
        <v>851</v>
      </c>
      <c r="T88" s="243"/>
      <c r="U88" s="243" t="s">
        <v>243</v>
      </c>
      <c r="V88" s="243">
        <v>600</v>
      </c>
      <c r="W88" s="22">
        <v>200</v>
      </c>
      <c r="X88" s="22"/>
      <c r="Y88" s="22" t="s">
        <v>810</v>
      </c>
      <c r="Z88" s="293" t="str">
        <f t="shared" si="15"/>
        <v xml:space="preserve">
{ key: "C_MPP_TrayXL", group: "Chilled", loc: new go.Point(420, 140), release: "Launch 1.3" },</v>
      </c>
      <c r="AA88"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v>
      </c>
      <c r="AB88" s="282">
        <f t="shared" si="6"/>
        <v>744</v>
      </c>
      <c r="AC88" s="282" t="str">
        <f t="shared" si="0"/>
        <v>_</v>
      </c>
      <c r="AD88" s="22"/>
      <c r="AE88" s="22"/>
      <c r="AF88" s="22"/>
      <c r="AG88" s="22"/>
      <c r="AH88" s="22"/>
      <c r="AI88" s="22"/>
      <c r="AJ88" s="22"/>
      <c r="AK88" s="22"/>
      <c r="AL88" s="22"/>
      <c r="AM88" s="22"/>
      <c r="AN88" s="22"/>
      <c r="AP88" s="12">
        <f>SUM(AP73:AP74)-AP77</f>
        <v>16.582499999999996</v>
      </c>
      <c r="AQ88" s="12" t="e">
        <f t="shared" si="1"/>
        <v>#N/A</v>
      </c>
      <c r="AR88" s="12" t="e">
        <f t="shared" si="2"/>
        <v>#N/A</v>
      </c>
      <c r="AS88" s="282" t="e">
        <f t="shared" si="3"/>
        <v>#N/A</v>
      </c>
      <c r="AT88" s="282" t="str">
        <f t="shared" si="4"/>
        <v xml:space="preserve"> [16.58] </v>
      </c>
      <c r="AU88" s="22"/>
      <c r="AV88" s="282" t="e">
        <f t="shared" si="5"/>
        <v>#N/A</v>
      </c>
      <c r="AW88" s="282" t="e">
        <f t="shared" si="7"/>
        <v>#N/A</v>
      </c>
    </row>
    <row r="89" spans="1:49">
      <c r="A89" s="144"/>
      <c r="B89" s="282"/>
      <c r="C89" s="282"/>
      <c r="D89" s="282"/>
      <c r="E89" s="282"/>
      <c r="F89" s="7" t="s">
        <v>276</v>
      </c>
      <c r="G89" s="255">
        <f t="shared" si="17"/>
        <v>0.35714285714285715</v>
      </c>
      <c r="R89" s="293"/>
      <c r="S89" s="243" t="s">
        <v>852</v>
      </c>
      <c r="T89" s="243"/>
      <c r="U89" s="243" t="s">
        <v>243</v>
      </c>
      <c r="V89" s="243">
        <v>650</v>
      </c>
      <c r="W89" s="22">
        <v>200</v>
      </c>
      <c r="X89" s="22"/>
      <c r="Y89" s="22" t="s">
        <v>811</v>
      </c>
      <c r="Z89" s="293" t="str">
        <f t="shared" si="15"/>
        <v xml:space="preserve">
{ key: "C_MPP_Putwall", group: "Chilled", loc: new go.Point(455, 140), release: "Launch 1.4" },</v>
      </c>
      <c r="AA89"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v>
      </c>
      <c r="AB89" s="282">
        <f t="shared" si="6"/>
        <v>745</v>
      </c>
      <c r="AC89" s="282" t="str">
        <f t="shared" si="0"/>
        <v>_</v>
      </c>
      <c r="AD89" s="22"/>
      <c r="AE89" s="22"/>
      <c r="AF89" s="22"/>
      <c r="AG89" s="22"/>
      <c r="AH89" s="22"/>
      <c r="AI89" s="22"/>
      <c r="AJ89" s="22"/>
      <c r="AK89" s="22"/>
      <c r="AL89" s="22"/>
      <c r="AM89" s="22"/>
      <c r="AN89" s="22"/>
      <c r="AP89" s="12">
        <f>AP87</f>
        <v>1.1846232803287475E-2</v>
      </c>
      <c r="AQ89" s="12" t="e">
        <f t="shared" si="1"/>
        <v>#N/A</v>
      </c>
      <c r="AR89" s="12" t="e">
        <f t="shared" si="2"/>
        <v>#N/A</v>
      </c>
      <c r="AS89" s="282" t="e">
        <f t="shared" si="3"/>
        <v>#N/A</v>
      </c>
      <c r="AT89" s="282" t="str">
        <f t="shared" si="4"/>
        <v xml:space="preserve"> [0.01] </v>
      </c>
      <c r="AU89" s="22"/>
      <c r="AV89" s="282" t="e">
        <f t="shared" si="5"/>
        <v>#N/A</v>
      </c>
      <c r="AW89" s="282" t="e">
        <f t="shared" si="7"/>
        <v>#N/A</v>
      </c>
    </row>
    <row r="90" spans="1:49">
      <c r="A90" s="144"/>
      <c r="B90" s="282"/>
      <c r="C90" s="282"/>
      <c r="D90" s="282"/>
      <c r="E90" s="282"/>
      <c r="F90" s="7" t="s">
        <v>277</v>
      </c>
      <c r="G90" s="255">
        <f t="shared" si="17"/>
        <v>0.21428571428571416</v>
      </c>
      <c r="R90" s="293"/>
      <c r="S90" s="243" t="s">
        <v>853</v>
      </c>
      <c r="T90" s="243"/>
      <c r="U90" s="243" t="s">
        <v>243</v>
      </c>
      <c r="V90" s="243">
        <v>700</v>
      </c>
      <c r="W90" s="22">
        <v>200</v>
      </c>
      <c r="X90" s="22"/>
      <c r="Y90" s="22" t="s">
        <v>812</v>
      </c>
      <c r="Z90" s="293" t="str">
        <f t="shared" si="15"/>
        <v xml:space="preserve">
{ key: "C_MPP_Tote cart", group: "Chilled", loc: new go.Point(490, 140), release: "Launch 1.5" },</v>
      </c>
      <c r="AA90"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v>
      </c>
      <c r="AB90" s="282">
        <f t="shared" si="6"/>
        <v>746</v>
      </c>
      <c r="AC90" s="282" t="str">
        <f t="shared" si="0"/>
        <v>_</v>
      </c>
      <c r="AD90" s="22"/>
      <c r="AE90" s="22"/>
      <c r="AF90" s="22"/>
      <c r="AG90" s="22"/>
      <c r="AH90" s="22"/>
      <c r="AI90" s="22"/>
      <c r="AJ90" s="22"/>
      <c r="AK90" s="22"/>
      <c r="AL90" s="22"/>
      <c r="AM90" s="22"/>
      <c r="AN90" s="22"/>
      <c r="AO90" s="10"/>
      <c r="AP90" s="12">
        <f>AP88</f>
        <v>16.582499999999996</v>
      </c>
      <c r="AQ90" s="12" t="e">
        <f t="shared" si="1"/>
        <v>#N/A</v>
      </c>
      <c r="AR90" s="12" t="e">
        <f t="shared" si="2"/>
        <v>#N/A</v>
      </c>
      <c r="AS90" s="282" t="e">
        <f t="shared" si="3"/>
        <v>#N/A</v>
      </c>
      <c r="AT90" s="282" t="str">
        <f t="shared" si="4"/>
        <v xml:space="preserve"> [16.58] </v>
      </c>
      <c r="AU90" s="22"/>
      <c r="AV90" s="282" t="e">
        <f t="shared" si="5"/>
        <v>#N/A</v>
      </c>
      <c r="AW90" s="282" t="e">
        <f t="shared" si="7"/>
        <v>#N/A</v>
      </c>
    </row>
    <row r="91" spans="1:49">
      <c r="A91" s="144"/>
      <c r="B91" s="282"/>
      <c r="C91" s="7" t="s">
        <v>447</v>
      </c>
      <c r="D91" s="282" t="s">
        <v>453</v>
      </c>
      <c r="F91" s="7" t="s">
        <v>448</v>
      </c>
      <c r="G91" s="259">
        <f>G86</f>
        <v>0.76885416666666662</v>
      </c>
      <c r="R91" s="293"/>
      <c r="S91" s="243" t="s">
        <v>854</v>
      </c>
      <c r="T91" s="243"/>
      <c r="U91" s="243" t="s">
        <v>242</v>
      </c>
      <c r="V91" s="243">
        <v>800</v>
      </c>
      <c r="W91" s="22">
        <v>300</v>
      </c>
      <c r="X91" s="22"/>
      <c r="Y91" s="22" t="s">
        <v>813</v>
      </c>
      <c r="Z91" s="293" t="str">
        <f t="shared" si="15"/>
        <v xml:space="preserve">
{ key: "A_CS_Cart position", group: "Ambient", loc: new go.Point(560, 210), release: "Launch 1.6" },</v>
      </c>
      <c r="AA91"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v>
      </c>
      <c r="AB91" s="282">
        <f t="shared" si="6"/>
        <v>747</v>
      </c>
      <c r="AC91" s="282" t="str">
        <f t="shared" si="0"/>
        <v>_</v>
      </c>
      <c r="AD91" s="22"/>
      <c r="AE91" s="22"/>
      <c r="AF91" s="22"/>
      <c r="AG91" s="22"/>
      <c r="AH91" s="22"/>
      <c r="AI91" s="22"/>
      <c r="AJ91" s="22"/>
      <c r="AK91" s="22"/>
      <c r="AL91" s="22"/>
      <c r="AM91" s="22"/>
      <c r="AN91" s="22"/>
      <c r="AO91" s="10"/>
      <c r="AP91" s="12">
        <f>AP89</f>
        <v>1.1846232803287475E-2</v>
      </c>
      <c r="AQ91" s="12" t="e">
        <f t="shared" si="1"/>
        <v>#N/A</v>
      </c>
      <c r="AR91" s="12" t="e">
        <f t="shared" si="2"/>
        <v>#N/A</v>
      </c>
      <c r="AS91" s="282" t="e">
        <f t="shared" si="3"/>
        <v>#N/A</v>
      </c>
      <c r="AT91" s="282" t="str">
        <f t="shared" si="4"/>
        <v xml:space="preserve"> [0.01] </v>
      </c>
      <c r="AU91" s="22"/>
      <c r="AV91" s="282" t="e">
        <f t="shared" si="5"/>
        <v>#N/A</v>
      </c>
      <c r="AW91" s="282" t="e">
        <f t="shared" si="7"/>
        <v>#N/A</v>
      </c>
    </row>
    <row r="92" spans="1:49">
      <c r="A92" s="144"/>
      <c r="B92" s="282"/>
      <c r="C92" s="282"/>
      <c r="D92" s="282"/>
      <c r="E92" s="282"/>
      <c r="F92" s="7" t="s">
        <v>571</v>
      </c>
      <c r="G92" s="260">
        <v>1.1000000000000001</v>
      </c>
      <c r="R92" s="293"/>
      <c r="S92" s="243" t="s">
        <v>855</v>
      </c>
      <c r="T92" s="243"/>
      <c r="U92" s="243" t="s">
        <v>242</v>
      </c>
      <c r="V92" s="243">
        <v>800</v>
      </c>
      <c r="W92" s="22">
        <v>250</v>
      </c>
      <c r="X92" s="22"/>
      <c r="Y92" s="22" t="s">
        <v>814</v>
      </c>
      <c r="Z92" s="293" t="str">
        <f t="shared" si="15"/>
        <v xml:space="preserve">
{ key: "A_OS_Oversize rack", group: "Ambient", loc: new go.Point(560, 175), release: "Launch 1.7" },</v>
      </c>
      <c r="AA92"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v>
      </c>
      <c r="AB92" s="282">
        <f t="shared" si="6"/>
        <v>748</v>
      </c>
      <c r="AC92" s="282" t="str">
        <f t="shared" si="0"/>
        <v>_</v>
      </c>
      <c r="AD92" s="22"/>
      <c r="AE92" s="22"/>
      <c r="AF92" s="22"/>
      <c r="AG92" s="22"/>
      <c r="AH92" s="22"/>
      <c r="AI92" s="22"/>
      <c r="AJ92" s="22"/>
      <c r="AK92" s="22"/>
      <c r="AL92" s="22"/>
      <c r="AM92" s="22"/>
      <c r="AN92" s="22"/>
      <c r="AO92" s="10"/>
      <c r="AP92" s="12">
        <f>AP90</f>
        <v>16.582499999999996</v>
      </c>
      <c r="AQ92" s="12" t="e">
        <f t="shared" si="1"/>
        <v>#N/A</v>
      </c>
      <c r="AR92" s="12" t="e">
        <f t="shared" si="2"/>
        <v>#N/A</v>
      </c>
      <c r="AS92" s="282" t="e">
        <f t="shared" si="3"/>
        <v>#N/A</v>
      </c>
      <c r="AT92" s="282" t="str">
        <f t="shared" si="4"/>
        <v xml:space="preserve"> [16.58] </v>
      </c>
      <c r="AU92" s="22"/>
      <c r="AV92" s="282" t="e">
        <f t="shared" si="5"/>
        <v>#N/A</v>
      </c>
      <c r="AW92" s="282" t="e">
        <f t="shared" si="7"/>
        <v>#N/A</v>
      </c>
    </row>
    <row r="93" spans="1:49">
      <c r="A93" s="144"/>
      <c r="B93" s="282"/>
      <c r="C93" s="282"/>
      <c r="D93" s="282"/>
      <c r="E93" s="282"/>
      <c r="F93" s="7" t="s">
        <v>449</v>
      </c>
      <c r="G93" s="258">
        <f>G91/G92</f>
        <v>0.69895833333333324</v>
      </c>
      <c r="R93" s="293"/>
      <c r="S93" s="243" t="s">
        <v>183</v>
      </c>
      <c r="T93" s="243"/>
      <c r="U93" s="243" t="s">
        <v>817</v>
      </c>
      <c r="V93" s="243">
        <v>1100</v>
      </c>
      <c r="W93" s="22">
        <v>350</v>
      </c>
      <c r="X93" s="22"/>
      <c r="Y93" s="22" t="s">
        <v>815</v>
      </c>
      <c r="Z93" s="293" t="str">
        <f t="shared" si="15"/>
        <v xml:space="preserve">
{ key: "Van rack", group: "Cool", loc: new go.Point(770, 245), release: "Launch 1.8" },</v>
      </c>
      <c r="AA93"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v>
      </c>
      <c r="AB93" s="282">
        <f t="shared" si="6"/>
        <v>749</v>
      </c>
      <c r="AC93" s="282" t="str">
        <f t="shared" si="0"/>
        <v>_</v>
      </c>
      <c r="AD93" s="242"/>
      <c r="AE93" s="242"/>
      <c r="AF93" s="22"/>
      <c r="AG93" s="22"/>
      <c r="AH93" s="22"/>
      <c r="AI93" s="22"/>
      <c r="AJ93" s="22"/>
      <c r="AK93" s="22"/>
      <c r="AL93" s="22"/>
      <c r="AM93" s="22"/>
      <c r="AN93" s="22"/>
      <c r="AP93" s="12">
        <f>AP53-AP47</f>
        <v>1.9534637003821</v>
      </c>
      <c r="AQ93" s="12" t="e">
        <f t="shared" si="1"/>
        <v>#N/A</v>
      </c>
      <c r="AR93" s="12" t="e">
        <f t="shared" si="2"/>
        <v>#N/A</v>
      </c>
      <c r="AS93" s="282" t="e">
        <f t="shared" si="3"/>
        <v>#N/A</v>
      </c>
      <c r="AT93" s="282" t="str">
        <f t="shared" si="4"/>
        <v xml:space="preserve"> [1.95] </v>
      </c>
      <c r="AU93" s="22"/>
      <c r="AV93" s="282" t="e">
        <f t="shared" si="5"/>
        <v>#N/A</v>
      </c>
      <c r="AW93" s="282" t="e">
        <f t="shared" si="7"/>
        <v>#N/A</v>
      </c>
    </row>
    <row r="94" spans="1:49">
      <c r="A94" s="144"/>
      <c r="B94" s="282"/>
      <c r="C94" s="282"/>
      <c r="D94" s="282" t="s">
        <v>237</v>
      </c>
      <c r="E94" s="282"/>
      <c r="F94" s="7" t="s">
        <v>450</v>
      </c>
      <c r="G94" s="259">
        <f>G85</f>
        <v>0.32950892857142861</v>
      </c>
      <c r="R94" s="293"/>
      <c r="S94" s="243" t="s">
        <v>181</v>
      </c>
      <c r="T94" s="243"/>
      <c r="U94" s="243" t="s">
        <v>817</v>
      </c>
      <c r="V94" s="243">
        <v>1300</v>
      </c>
      <c r="W94" s="22">
        <v>350</v>
      </c>
      <c r="X94" s="22"/>
      <c r="Y94" s="22" t="s">
        <v>816</v>
      </c>
      <c r="Z94" s="293" t="str">
        <f t="shared" si="15"/>
        <v xml:space="preserve">
{ key: "Van", group: "Cool", loc: new go.Point(910, 245), release: "Launch 1.9" },</v>
      </c>
      <c r="AA94"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v>
      </c>
      <c r="AB94" s="282">
        <f t="shared" si="6"/>
        <v>750</v>
      </c>
      <c r="AC94" s="282" t="str">
        <f t="shared" si="0"/>
        <v>_</v>
      </c>
      <c r="AD94" s="22"/>
      <c r="AE94" s="242"/>
      <c r="AF94" s="22"/>
      <c r="AG94" s="22"/>
      <c r="AH94" s="22"/>
      <c r="AI94" s="22"/>
      <c r="AJ94" s="22"/>
      <c r="AK94" s="22"/>
      <c r="AL94" s="22"/>
      <c r="AM94" s="22"/>
      <c r="AN94" s="22"/>
      <c r="AP94" s="12">
        <f>AP92</f>
        <v>16.582499999999996</v>
      </c>
      <c r="AQ94" s="12" t="e">
        <f t="shared" si="1"/>
        <v>#N/A</v>
      </c>
      <c r="AR94" s="12" t="e">
        <f t="shared" si="2"/>
        <v>#N/A</v>
      </c>
      <c r="AS94" s="282" t="e">
        <f t="shared" si="3"/>
        <v>#N/A</v>
      </c>
      <c r="AT94" s="282" t="str">
        <f t="shared" si="4"/>
        <v xml:space="preserve"> [16.58] </v>
      </c>
      <c r="AU94" s="22"/>
      <c r="AV94" s="282" t="e">
        <f t="shared" si="5"/>
        <v>#N/A</v>
      </c>
      <c r="AW94" s="282" t="e">
        <f t="shared" si="7"/>
        <v>#N/A</v>
      </c>
    </row>
    <row r="95" spans="1:49">
      <c r="A95" s="144"/>
      <c r="B95" s="282"/>
      <c r="C95" s="282"/>
      <c r="D95" s="282"/>
      <c r="E95" s="282"/>
      <c r="F95" s="7" t="s">
        <v>451</v>
      </c>
      <c r="G95" s="173">
        <f>G48</f>
        <v>0.40333333333333338</v>
      </c>
      <c r="R95" s="293"/>
      <c r="S95" s="243" t="s">
        <v>817</v>
      </c>
      <c r="T95" s="243" t="s">
        <v>397</v>
      </c>
      <c r="U95" s="243"/>
      <c r="V95" s="243"/>
      <c r="W95" s="22"/>
      <c r="X95" s="22" t="s">
        <v>403</v>
      </c>
      <c r="Y95" s="22"/>
      <c r="Z95" s="293" t="str">
        <f t="shared" si="15"/>
        <v xml:space="preserve">
{ key: "Cool", isGroup: true}],</v>
      </c>
      <c r="AA95"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v>
      </c>
      <c r="AB95" s="282">
        <f t="shared" si="6"/>
        <v>751</v>
      </c>
      <c r="AC95" s="282" t="str">
        <f t="shared" si="0"/>
        <v>_</v>
      </c>
      <c r="AD95" s="242"/>
      <c r="AE95" s="22"/>
      <c r="AF95" s="22"/>
      <c r="AG95" s="22"/>
      <c r="AH95" s="22"/>
      <c r="AI95" s="22"/>
      <c r="AJ95" s="22"/>
      <c r="AK95" s="22"/>
      <c r="AL95" s="22"/>
      <c r="AM95" s="22"/>
      <c r="AN95" s="22"/>
      <c r="AO95" s="10"/>
      <c r="AP95" s="12">
        <f>AP94</f>
        <v>16.582499999999996</v>
      </c>
      <c r="AQ95" s="12" t="e">
        <f t="shared" si="1"/>
        <v>#N/A</v>
      </c>
      <c r="AR95" s="12" t="e">
        <f t="shared" si="2"/>
        <v>#N/A</v>
      </c>
      <c r="AS95" s="282" t="e">
        <f t="shared" si="3"/>
        <v>#N/A</v>
      </c>
      <c r="AT95" s="282" t="str">
        <f t="shared" si="4"/>
        <v xml:space="preserve"> [16.58] </v>
      </c>
      <c r="AU95" s="22"/>
      <c r="AV95" s="282" t="e">
        <f t="shared" si="5"/>
        <v>#N/A</v>
      </c>
      <c r="AW95" s="282" t="e">
        <f t="shared" si="7"/>
        <v>#N/A</v>
      </c>
    </row>
    <row r="96" spans="1:49">
      <c r="A96" s="225"/>
      <c r="F96" s="7" t="s">
        <v>452</v>
      </c>
      <c r="G96" s="226">
        <f>G95+G94</f>
        <v>0.73284226190476198</v>
      </c>
      <c r="R96" s="293"/>
      <c r="S96" s="243"/>
      <c r="T96" s="243"/>
      <c r="U96" s="243"/>
      <c r="V96" s="243"/>
      <c r="W96" s="22"/>
      <c r="X96" s="22"/>
      <c r="Y96" s="22"/>
      <c r="Z96" s="293" t="str">
        <f t="shared" si="15"/>
        <v xml:space="preserve">
{ key: "", loc: new go.Point(0, 0), release: "" },</v>
      </c>
      <c r="AA96"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v>
      </c>
      <c r="AB96" s="282">
        <f t="shared" si="6"/>
        <v>752</v>
      </c>
      <c r="AC96" s="282" t="str">
        <f t="shared" si="0"/>
        <v>_</v>
      </c>
      <c r="AD96" s="22"/>
      <c r="AE96" s="22"/>
      <c r="AF96" s="22"/>
      <c r="AG96" s="22"/>
      <c r="AH96" s="22"/>
      <c r="AI96" s="22"/>
      <c r="AJ96" s="22"/>
      <c r="AK96" s="22"/>
      <c r="AL96" s="22"/>
      <c r="AM96" s="22"/>
      <c r="AN96" s="22"/>
      <c r="AP96" s="12">
        <f>$AP$76/$G$106</f>
        <v>3.2511880864748965</v>
      </c>
      <c r="AQ96" s="12" t="e">
        <f t="shared" si="1"/>
        <v>#N/A</v>
      </c>
      <c r="AR96" s="12" t="e">
        <f t="shared" si="2"/>
        <v>#N/A</v>
      </c>
      <c r="AS96" s="282" t="e">
        <f t="shared" si="3"/>
        <v>#N/A</v>
      </c>
      <c r="AT96" s="282" t="str">
        <f t="shared" si="4"/>
        <v xml:space="preserve"> [3.25] </v>
      </c>
      <c r="AU96" s="22"/>
      <c r="AV96" s="282" t="e">
        <f t="shared" si="5"/>
        <v>#N/A</v>
      </c>
      <c r="AW96" s="282" t="e">
        <f t="shared" si="7"/>
        <v>#N/A</v>
      </c>
    </row>
    <row r="97" spans="1:49">
      <c r="A97" s="144" t="s">
        <v>460</v>
      </c>
      <c r="B97" s="282"/>
      <c r="C97" s="282"/>
      <c r="D97" s="282" t="s">
        <v>459</v>
      </c>
      <c r="E97" s="282"/>
      <c r="F97" s="282" t="s">
        <v>456</v>
      </c>
      <c r="G97" s="236">
        <v>7.0733863837312116E-2</v>
      </c>
      <c r="R97" s="293"/>
      <c r="S97" s="243"/>
      <c r="T97" s="243"/>
      <c r="U97" s="243"/>
      <c r="V97" s="243"/>
      <c r="W97" s="22"/>
      <c r="X97" s="22"/>
      <c r="Y97" s="22"/>
      <c r="Z97" s="293" t="str">
        <f t="shared" si="15"/>
        <v xml:space="preserve">
{ key: "", loc: new go.Point(0, 0), release: "" },</v>
      </c>
      <c r="AA97"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v>
      </c>
      <c r="AB97" s="282">
        <f t="shared" si="6"/>
        <v>753</v>
      </c>
      <c r="AC97" s="282" t="str">
        <f t="shared" si="0"/>
        <v>_</v>
      </c>
      <c r="AD97" s="22"/>
      <c r="AE97" s="22"/>
      <c r="AF97" s="22"/>
      <c r="AG97" s="22"/>
      <c r="AH97" s="22"/>
      <c r="AI97" s="22"/>
      <c r="AJ97" s="22"/>
      <c r="AK97" s="22"/>
      <c r="AL97" s="22"/>
      <c r="AM97" s="22"/>
      <c r="AN97" s="22"/>
      <c r="AP97" s="10">
        <f>$AP$87/$G$106</f>
        <v>2.369246560657495E-3</v>
      </c>
      <c r="AQ97" s="12" t="e">
        <f t="shared" si="1"/>
        <v>#N/A</v>
      </c>
      <c r="AR97" s="12" t="e">
        <f t="shared" si="2"/>
        <v>#N/A</v>
      </c>
      <c r="AS97" s="282" t="e">
        <f t="shared" si="3"/>
        <v>#N/A</v>
      </c>
      <c r="AT97" s="282" t="str">
        <f t="shared" si="4"/>
        <v xml:space="preserve"> [0] </v>
      </c>
      <c r="AU97" s="22"/>
      <c r="AV97" s="282" t="e">
        <f t="shared" si="5"/>
        <v>#N/A</v>
      </c>
      <c r="AW97" s="282" t="e">
        <f t="shared" si="7"/>
        <v>#N/A</v>
      </c>
    </row>
    <row r="98" spans="1:49">
      <c r="A98" s="144"/>
      <c r="B98" s="282"/>
      <c r="C98" s="282"/>
      <c r="D98" s="282"/>
      <c r="E98" s="282"/>
      <c r="F98" s="282" t="s">
        <v>457</v>
      </c>
      <c r="G98" s="264">
        <f>G97*G75</f>
        <v>449.16003536693194</v>
      </c>
      <c r="H98" s="509"/>
      <c r="R98" s="293"/>
      <c r="S98" s="243"/>
      <c r="T98" s="243"/>
      <c r="U98" s="243"/>
      <c r="V98" s="243"/>
      <c r="W98" s="22"/>
      <c r="X98" s="22"/>
      <c r="Y98" s="22"/>
      <c r="Z98" s="293" t="str">
        <f t="shared" si="15"/>
        <v xml:space="preserve">
{ key: "", loc: new go.Point(0, 0), release: "" },</v>
      </c>
      <c r="AA98"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v>
      </c>
      <c r="AB98" s="282">
        <f t="shared" si="6"/>
        <v>754</v>
      </c>
      <c r="AC98" s="282" t="str">
        <f t="shared" si="0"/>
        <v>_</v>
      </c>
      <c r="AD98" s="22"/>
      <c r="AE98" s="22"/>
      <c r="AF98" s="22"/>
      <c r="AG98" s="22"/>
      <c r="AH98" s="22"/>
      <c r="AI98" s="22"/>
      <c r="AJ98" s="22"/>
      <c r="AK98" s="22"/>
      <c r="AL98" s="22"/>
      <c r="AM98" s="22"/>
      <c r="AN98" s="22"/>
      <c r="AP98" s="12">
        <f>$AP$88/$G$106</f>
        <v>3.3164999999999991</v>
      </c>
      <c r="AQ98" s="12" t="e">
        <f t="shared" si="1"/>
        <v>#N/A</v>
      </c>
      <c r="AR98" s="12" t="e">
        <f t="shared" si="2"/>
        <v>#N/A</v>
      </c>
      <c r="AS98" s="282" t="e">
        <f t="shared" si="3"/>
        <v>#N/A</v>
      </c>
      <c r="AT98" s="282" t="str">
        <f t="shared" si="4"/>
        <v xml:space="preserve"> [3.32] </v>
      </c>
      <c r="AU98" s="22"/>
      <c r="AV98" s="282" t="e">
        <f t="shared" si="5"/>
        <v>#N/A</v>
      </c>
      <c r="AW98" s="282" t="e">
        <f t="shared" si="7"/>
        <v>#N/A</v>
      </c>
    </row>
    <row r="99" spans="1:49">
      <c r="A99" s="144"/>
      <c r="B99" s="282"/>
      <c r="C99" s="282"/>
      <c r="D99" s="282"/>
      <c r="E99" s="282"/>
      <c r="F99" s="7" t="s">
        <v>455</v>
      </c>
      <c r="G99" s="9">
        <f>G93*G76*60</f>
        <v>629.06249999999989</v>
      </c>
      <c r="R99" s="293"/>
      <c r="S99" s="243"/>
      <c r="T99" s="243"/>
      <c r="U99" s="243"/>
      <c r="V99" s="243"/>
      <c r="W99" s="22"/>
      <c r="X99" s="22"/>
      <c r="Y99" s="22"/>
      <c r="Z99" s="293" t="str">
        <f t="shared" si="15"/>
        <v xml:space="preserve">
{ key: "", loc: new go.Point(0, 0), release: "" },</v>
      </c>
      <c r="AA99"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v>
      </c>
      <c r="AB99" s="282">
        <f t="shared" si="6"/>
        <v>755</v>
      </c>
      <c r="AC99" s="282" t="str">
        <f t="shared" si="0"/>
        <v>_</v>
      </c>
      <c r="AD99" s="22"/>
      <c r="AE99" s="22"/>
      <c r="AF99" s="22"/>
      <c r="AG99" s="22"/>
      <c r="AH99" s="22"/>
      <c r="AI99" s="22"/>
      <c r="AJ99" s="22"/>
      <c r="AK99" s="22"/>
      <c r="AL99" s="22"/>
      <c r="AM99" s="22"/>
      <c r="AN99" s="22"/>
      <c r="AP99" s="10">
        <f t="shared" ref="AP99:AP107" si="18">AP96</f>
        <v>3.2511880864748965</v>
      </c>
      <c r="AQ99" s="12" t="e">
        <f t="shared" si="1"/>
        <v>#N/A</v>
      </c>
      <c r="AR99" s="12" t="e">
        <f t="shared" si="2"/>
        <v>#N/A</v>
      </c>
      <c r="AS99" s="282" t="e">
        <f t="shared" si="3"/>
        <v>#N/A</v>
      </c>
      <c r="AT99" s="282" t="str">
        <f t="shared" si="4"/>
        <v xml:space="preserve"> [3.25] </v>
      </c>
      <c r="AU99" s="22"/>
      <c r="AV99" s="282" t="e">
        <f t="shared" si="5"/>
        <v>#N/A</v>
      </c>
      <c r="AW99" s="282" t="e">
        <f t="shared" si="7"/>
        <v>#N/A</v>
      </c>
    </row>
    <row r="100" spans="1:49">
      <c r="A100" s="144"/>
      <c r="B100" s="282"/>
      <c r="C100" s="282"/>
      <c r="D100" s="282"/>
      <c r="E100" s="282"/>
      <c r="F100" s="7" t="s">
        <v>461</v>
      </c>
      <c r="G100" s="238">
        <v>0.1</v>
      </c>
      <c r="R100" s="293"/>
      <c r="S100" s="243"/>
      <c r="T100" s="243"/>
      <c r="U100" s="243"/>
      <c r="V100" s="243"/>
      <c r="W100" s="22"/>
      <c r="X100" s="22"/>
      <c r="Y100" s="22"/>
      <c r="Z100" s="293" t="str">
        <f t="shared" si="15"/>
        <v xml:space="preserve">
{ key: "", loc: new go.Point(0, 0), release: "" },</v>
      </c>
      <c r="AA100"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v>
      </c>
      <c r="AB100" s="282">
        <f t="shared" si="6"/>
        <v>756</v>
      </c>
      <c r="AC100" s="282" t="str">
        <f t="shared" si="0"/>
        <v>_</v>
      </c>
      <c r="AD100" s="22"/>
      <c r="AE100" s="22"/>
      <c r="AF100" s="22"/>
      <c r="AG100" s="22"/>
      <c r="AH100" s="22"/>
      <c r="AI100" s="22"/>
      <c r="AJ100" s="22"/>
      <c r="AK100" s="22"/>
      <c r="AL100" s="22"/>
      <c r="AM100" s="22"/>
      <c r="AN100" s="22"/>
      <c r="AP100" s="10">
        <f t="shared" si="18"/>
        <v>2.369246560657495E-3</v>
      </c>
      <c r="AQ100" s="12" t="e">
        <f t="shared" si="1"/>
        <v>#N/A</v>
      </c>
      <c r="AR100" s="12" t="e">
        <f t="shared" si="2"/>
        <v>#N/A</v>
      </c>
      <c r="AS100" s="282" t="e">
        <f t="shared" si="3"/>
        <v>#N/A</v>
      </c>
      <c r="AT100" s="282" t="str">
        <f t="shared" si="4"/>
        <v xml:space="preserve"> [0] </v>
      </c>
      <c r="AU100" s="22"/>
      <c r="AV100" s="282" t="e">
        <f t="shared" si="5"/>
        <v>#N/A</v>
      </c>
      <c r="AW100" s="282" t="e">
        <f t="shared" si="7"/>
        <v>#N/A</v>
      </c>
    </row>
    <row r="101" spans="1:49">
      <c r="A101" s="144"/>
      <c r="B101" s="282"/>
      <c r="C101" s="282"/>
      <c r="D101" s="282"/>
      <c r="E101" s="282"/>
      <c r="F101" s="282" t="s">
        <v>462</v>
      </c>
      <c r="G101" s="268">
        <v>1.1000000000000001</v>
      </c>
      <c r="R101" s="293"/>
      <c r="S101" s="243"/>
      <c r="T101" s="243"/>
      <c r="U101" s="243"/>
      <c r="V101" s="243"/>
      <c r="W101" s="22"/>
      <c r="X101" s="22"/>
      <c r="Y101" s="22"/>
      <c r="Z101" s="293" t="str">
        <f t="shared" si="15"/>
        <v xml:space="preserve">
{ key: "", loc: new go.Point(0, 0), release: "" },</v>
      </c>
      <c r="AA101"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v>
      </c>
      <c r="AB101" s="282">
        <f t="shared" si="6"/>
        <v>757</v>
      </c>
      <c r="AC101" s="282" t="str">
        <f t="shared" si="0"/>
        <v>_</v>
      </c>
      <c r="AD101" s="22"/>
      <c r="AE101" s="22"/>
      <c r="AF101" s="22"/>
      <c r="AG101" s="22"/>
      <c r="AH101" s="22"/>
      <c r="AI101" s="22"/>
      <c r="AJ101" s="22"/>
      <c r="AK101" s="22"/>
      <c r="AL101" s="22"/>
      <c r="AM101" s="22"/>
      <c r="AN101" s="22"/>
      <c r="AP101" s="10">
        <f t="shared" si="18"/>
        <v>3.3164999999999991</v>
      </c>
      <c r="AQ101" s="12" t="e">
        <f t="shared" si="1"/>
        <v>#N/A</v>
      </c>
      <c r="AR101" s="12" t="e">
        <f t="shared" si="2"/>
        <v>#N/A</v>
      </c>
      <c r="AS101" s="282" t="e">
        <f t="shared" si="3"/>
        <v>#N/A</v>
      </c>
      <c r="AT101" s="282" t="str">
        <f t="shared" si="4"/>
        <v xml:space="preserve"> [3.32] </v>
      </c>
      <c r="AU101" s="22"/>
      <c r="AV101" s="282" t="e">
        <f t="shared" si="5"/>
        <v>#N/A</v>
      </c>
      <c r="AW101" s="282" t="e">
        <f t="shared" si="7"/>
        <v>#N/A</v>
      </c>
    </row>
    <row r="102" spans="1:49">
      <c r="A102" s="282"/>
      <c r="B102" s="282"/>
      <c r="C102" s="282"/>
      <c r="D102" s="282"/>
      <c r="E102" s="282"/>
      <c r="F102" s="282" t="s">
        <v>463</v>
      </c>
      <c r="G102" s="226">
        <f>(G98-G99*G100)/G76/60/G101</f>
        <v>0.39015533875447672</v>
      </c>
      <c r="R102" s="293"/>
      <c r="S102" s="243"/>
      <c r="T102" s="243"/>
      <c r="U102" s="243"/>
      <c r="V102" s="243"/>
      <c r="W102" s="22"/>
      <c r="X102" s="22"/>
      <c r="Y102" s="22"/>
      <c r="Z102" s="293" t="str">
        <f t="shared" si="15"/>
        <v xml:space="preserve">
{ key: "", loc: new go.Point(0, 0), release: "" },</v>
      </c>
      <c r="AA102"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v>
      </c>
      <c r="AB102" s="282">
        <f t="shared" si="6"/>
        <v>758</v>
      </c>
      <c r="AC102" s="282" t="str">
        <f t="shared" si="0"/>
        <v>_</v>
      </c>
      <c r="AD102" s="22"/>
      <c r="AE102" s="22"/>
      <c r="AF102" s="22"/>
      <c r="AG102" s="22"/>
      <c r="AH102" s="22"/>
      <c r="AI102" s="22"/>
      <c r="AJ102" s="22"/>
      <c r="AK102" s="22"/>
      <c r="AL102" s="22"/>
      <c r="AM102" s="22"/>
      <c r="AN102" s="22"/>
      <c r="AP102" s="10">
        <f t="shared" si="18"/>
        <v>3.2511880864748965</v>
      </c>
      <c r="AQ102" s="12" t="e">
        <f t="shared" si="1"/>
        <v>#N/A</v>
      </c>
      <c r="AR102" s="12" t="e">
        <f t="shared" si="2"/>
        <v>#N/A</v>
      </c>
      <c r="AS102" s="282" t="e">
        <f t="shared" si="3"/>
        <v>#N/A</v>
      </c>
      <c r="AT102" s="282" t="str">
        <f t="shared" si="4"/>
        <v xml:space="preserve"> [3.25] </v>
      </c>
      <c r="AU102" s="22"/>
      <c r="AV102" s="282" t="e">
        <f t="shared" si="5"/>
        <v>#N/A</v>
      </c>
      <c r="AW102" s="282" t="e">
        <f t="shared" si="7"/>
        <v>#N/A</v>
      </c>
    </row>
    <row r="103" spans="1:49">
      <c r="A103" s="282"/>
      <c r="B103" s="282"/>
      <c r="C103" s="282"/>
      <c r="D103" s="282"/>
      <c r="E103" s="282"/>
      <c r="F103" s="7" t="s">
        <v>572</v>
      </c>
      <c r="G103" s="238">
        <v>0.3</v>
      </c>
      <c r="R103" s="293"/>
      <c r="S103" s="243"/>
      <c r="T103" s="243"/>
      <c r="U103" s="243"/>
      <c r="V103" s="243"/>
      <c r="W103" s="22"/>
      <c r="X103" s="22"/>
      <c r="Y103" s="22"/>
      <c r="Z103" s="293" t="str">
        <f t="shared" si="15"/>
        <v xml:space="preserve">
{ key: "", loc: new go.Point(0, 0), release: "" },</v>
      </c>
      <c r="AA103"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3" s="282">
        <f t="shared" si="6"/>
        <v>759</v>
      </c>
      <c r="AC103" s="282" t="str">
        <f t="shared" si="0"/>
        <v>_</v>
      </c>
      <c r="AD103" s="22"/>
      <c r="AE103" s="22"/>
      <c r="AF103" s="22"/>
      <c r="AG103" s="22"/>
      <c r="AH103" s="22"/>
      <c r="AI103" s="22"/>
      <c r="AJ103" s="22"/>
      <c r="AK103" s="22"/>
      <c r="AL103" s="22"/>
      <c r="AM103" s="22"/>
      <c r="AN103" s="22"/>
      <c r="AP103" s="10">
        <f t="shared" si="18"/>
        <v>2.369246560657495E-3</v>
      </c>
      <c r="AQ103" s="12" t="e">
        <f t="shared" si="1"/>
        <v>#N/A</v>
      </c>
      <c r="AR103" s="12" t="e">
        <f t="shared" si="2"/>
        <v>#N/A</v>
      </c>
      <c r="AS103" s="282" t="e">
        <f t="shared" si="3"/>
        <v>#N/A</v>
      </c>
      <c r="AT103" s="282" t="str">
        <f t="shared" si="4"/>
        <v xml:space="preserve"> [0] </v>
      </c>
      <c r="AU103" s="22"/>
      <c r="AV103" s="282" t="e">
        <f t="shared" si="5"/>
        <v>#N/A</v>
      </c>
      <c r="AW103" s="282" t="e">
        <f t="shared" si="7"/>
        <v>#N/A</v>
      </c>
    </row>
    <row r="104" spans="1:49">
      <c r="A104" s="282"/>
      <c r="B104" s="282"/>
      <c r="C104" s="282"/>
      <c r="D104" s="282"/>
      <c r="E104" s="282"/>
      <c r="F104" s="7" t="s">
        <v>626</v>
      </c>
      <c r="G104" s="286">
        <v>20000</v>
      </c>
      <c r="R104" s="293"/>
      <c r="S104" s="243"/>
      <c r="T104" s="243"/>
      <c r="U104" s="243"/>
      <c r="V104" s="243"/>
      <c r="W104" s="22"/>
      <c r="X104" s="22"/>
      <c r="Y104" s="22"/>
      <c r="Z104" s="293" t="str">
        <f t="shared" si="15"/>
        <v xml:space="preserve">
{ key: "", loc: new go.Point(0, 0), release: "" },</v>
      </c>
      <c r="AA104"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4" s="282">
        <f t="shared" si="6"/>
        <v>760</v>
      </c>
      <c r="AC104" s="282" t="str">
        <f t="shared" si="0"/>
        <v>_</v>
      </c>
      <c r="AD104" s="22"/>
      <c r="AE104" s="22"/>
      <c r="AF104" s="22"/>
      <c r="AG104" s="22"/>
      <c r="AH104" s="22"/>
      <c r="AI104" s="22"/>
      <c r="AJ104" s="22"/>
      <c r="AK104" s="22"/>
      <c r="AL104" s="22"/>
      <c r="AM104" s="22"/>
      <c r="AN104" s="22"/>
      <c r="AP104" s="10">
        <f t="shared" si="18"/>
        <v>3.3164999999999991</v>
      </c>
      <c r="AQ104" s="12" t="e">
        <f t="shared" si="1"/>
        <v>#N/A</v>
      </c>
      <c r="AR104" s="12" t="e">
        <f t="shared" si="2"/>
        <v>#N/A</v>
      </c>
      <c r="AS104" s="282" t="e">
        <f t="shared" si="3"/>
        <v>#N/A</v>
      </c>
      <c r="AT104" s="282" t="str">
        <f t="shared" si="4"/>
        <v xml:space="preserve"> [3.32] </v>
      </c>
      <c r="AU104" s="22"/>
      <c r="AV104" s="282" t="e">
        <f t="shared" si="5"/>
        <v>#N/A</v>
      </c>
      <c r="AW104" s="282" t="e">
        <f t="shared" si="7"/>
        <v>#N/A</v>
      </c>
    </row>
    <row r="105" spans="1:49">
      <c r="A105" s="282"/>
      <c r="B105" s="282"/>
      <c r="C105" s="282"/>
      <c r="D105" s="282"/>
      <c r="E105" s="282"/>
      <c r="F105" s="7" t="s">
        <v>627</v>
      </c>
      <c r="G105" s="286">
        <f>G104*'Launch 1.0 MFD'!G73</f>
        <v>58000</v>
      </c>
      <c r="R105" s="293"/>
      <c r="S105" s="243"/>
      <c r="T105" s="243"/>
      <c r="U105" s="243"/>
      <c r="V105" s="243"/>
      <c r="W105" s="22"/>
      <c r="X105" s="22"/>
      <c r="Y105" s="22"/>
      <c r="Z105" s="293" t="str">
        <f t="shared" si="15"/>
        <v xml:space="preserve">
{ key: "", loc: new go.Point(0, 0), release: "" },</v>
      </c>
      <c r="AA105"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5" s="282">
        <f t="shared" si="6"/>
        <v>761</v>
      </c>
      <c r="AC105" s="282" t="str">
        <f t="shared" si="0"/>
        <v>_</v>
      </c>
      <c r="AD105" s="22"/>
      <c r="AE105" s="22"/>
      <c r="AF105" s="22"/>
      <c r="AG105" s="22"/>
      <c r="AH105" s="22"/>
      <c r="AI105" s="22"/>
      <c r="AJ105" s="22"/>
      <c r="AK105" s="22"/>
      <c r="AL105" s="22"/>
      <c r="AM105" s="22"/>
      <c r="AN105" s="22"/>
      <c r="AP105" s="10">
        <f t="shared" si="18"/>
        <v>3.2511880864748965</v>
      </c>
      <c r="AQ105" s="12" t="e">
        <f t="shared" si="1"/>
        <v>#N/A</v>
      </c>
      <c r="AR105" s="12" t="e">
        <f t="shared" si="2"/>
        <v>#N/A</v>
      </c>
      <c r="AS105" s="282" t="e">
        <f t="shared" si="3"/>
        <v>#N/A</v>
      </c>
      <c r="AT105" s="282" t="str">
        <f t="shared" si="4"/>
        <v xml:space="preserve"> [3.25] </v>
      </c>
      <c r="AU105" s="22"/>
      <c r="AV105" s="282" t="e">
        <f t="shared" si="5"/>
        <v>#N/A</v>
      </c>
      <c r="AW105" s="282" t="e">
        <f t="shared" si="7"/>
        <v>#N/A</v>
      </c>
    </row>
    <row r="106" spans="1:49">
      <c r="A106" s="282"/>
      <c r="B106" s="282"/>
      <c r="C106" s="282"/>
      <c r="D106" s="282"/>
      <c r="E106" s="282"/>
      <c r="F106" s="7" t="s">
        <v>631</v>
      </c>
      <c r="G106" s="268">
        <v>5</v>
      </c>
      <c r="R106" s="293"/>
      <c r="S106" s="243"/>
      <c r="T106" s="243"/>
      <c r="U106" s="243"/>
      <c r="V106" s="243"/>
      <c r="W106" s="22"/>
      <c r="X106" s="22"/>
      <c r="Y106" s="22"/>
      <c r="Z106" s="293" t="str">
        <f t="shared" si="15"/>
        <v xml:space="preserve">
{ key: "", loc: new go.Point(0, 0), release: "" },</v>
      </c>
      <c r="AA106"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6" s="282">
        <f t="shared" si="6"/>
        <v>762</v>
      </c>
      <c r="AC106" s="282" t="str">
        <f t="shared" si="0"/>
        <v>_</v>
      </c>
      <c r="AD106" s="22"/>
      <c r="AE106" s="22"/>
      <c r="AF106" s="22"/>
      <c r="AG106" s="22"/>
      <c r="AH106" s="22"/>
      <c r="AI106" s="22"/>
      <c r="AJ106" s="22"/>
      <c r="AK106" s="22"/>
      <c r="AL106" s="22"/>
      <c r="AM106" s="22"/>
      <c r="AN106" s="22"/>
      <c r="AP106" s="10">
        <f t="shared" si="18"/>
        <v>2.369246560657495E-3</v>
      </c>
      <c r="AQ106" s="12" t="e">
        <f t="shared" si="1"/>
        <v>#N/A</v>
      </c>
      <c r="AR106" s="12" t="e">
        <f t="shared" si="2"/>
        <v>#N/A</v>
      </c>
      <c r="AS106" s="282" t="e">
        <f t="shared" si="3"/>
        <v>#N/A</v>
      </c>
      <c r="AT106" s="282" t="str">
        <f t="shared" si="4"/>
        <v xml:space="preserve"> [0] </v>
      </c>
      <c r="AU106" s="22"/>
      <c r="AV106" s="282" t="e">
        <f t="shared" si="5"/>
        <v>#N/A</v>
      </c>
      <c r="AW106" s="282" t="e">
        <f t="shared" si="7"/>
        <v>#N/A</v>
      </c>
    </row>
    <row r="107" spans="1:49">
      <c r="A107" s="282"/>
      <c r="B107" s="282"/>
      <c r="C107" s="282"/>
      <c r="D107" s="282"/>
      <c r="E107" s="282"/>
      <c r="F107" s="7" t="s">
        <v>629</v>
      </c>
      <c r="G107" s="173">
        <f>G104/G106/G76/60</f>
        <v>4.4444444444444446</v>
      </c>
      <c r="R107" s="293"/>
      <c r="S107" s="243"/>
      <c r="T107" s="243"/>
      <c r="U107" s="243"/>
      <c r="V107" s="243"/>
      <c r="W107" s="22"/>
      <c r="X107" s="22"/>
      <c r="Y107" s="22"/>
      <c r="Z107" s="293" t="str">
        <f t="shared" si="15"/>
        <v xml:space="preserve">
{ key: "", loc: new go.Point(0, 0), release: "" },</v>
      </c>
      <c r="AA107"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7" s="282">
        <f t="shared" si="6"/>
        <v>763</v>
      </c>
      <c r="AC107" s="282" t="str">
        <f t="shared" si="0"/>
        <v>_</v>
      </c>
      <c r="AD107" s="22"/>
      <c r="AE107" s="22"/>
      <c r="AF107" s="22"/>
      <c r="AG107" s="22"/>
      <c r="AH107" s="22"/>
      <c r="AI107" s="22"/>
      <c r="AJ107" s="22"/>
      <c r="AK107" s="22"/>
      <c r="AL107" s="22"/>
      <c r="AM107" s="22"/>
      <c r="AN107" s="22"/>
      <c r="AP107" s="10">
        <f t="shared" si="18"/>
        <v>3.3164999999999991</v>
      </c>
      <c r="AQ107" s="12" t="e">
        <f t="shared" si="1"/>
        <v>#N/A</v>
      </c>
      <c r="AR107" s="12" t="e">
        <f t="shared" si="2"/>
        <v>#N/A</v>
      </c>
      <c r="AS107" s="282" t="e">
        <f t="shared" si="3"/>
        <v>#N/A</v>
      </c>
      <c r="AT107" s="282" t="str">
        <f t="shared" si="4"/>
        <v xml:space="preserve"> [3.32] </v>
      </c>
      <c r="AU107" s="22"/>
      <c r="AV107" s="282" t="e">
        <f t="shared" si="5"/>
        <v>#N/A</v>
      </c>
      <c r="AW107" s="282" t="e">
        <f t="shared" si="7"/>
        <v>#N/A</v>
      </c>
    </row>
    <row r="108" spans="1:49">
      <c r="A108" s="282"/>
      <c r="B108" s="282"/>
      <c r="C108" s="282"/>
      <c r="D108" s="282"/>
      <c r="E108" s="282"/>
      <c r="F108" s="7" t="s">
        <v>630</v>
      </c>
      <c r="G108" s="264">
        <f>G105/G106/G76/60</f>
        <v>12.888888888888889</v>
      </c>
      <c r="R108" s="293"/>
      <c r="S108" s="243"/>
      <c r="T108" s="243"/>
      <c r="U108" s="243"/>
      <c r="V108" s="243"/>
      <c r="W108" s="22"/>
      <c r="X108" s="22"/>
      <c r="Y108" s="22"/>
      <c r="Z108" s="293" t="str">
        <f t="shared" si="15"/>
        <v xml:space="preserve">
{ key: "", loc: new go.Point(0, 0), release: "" },</v>
      </c>
      <c r="AA108"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8" s="282">
        <f t="shared" si="6"/>
        <v>764</v>
      </c>
      <c r="AC108" s="282" t="str">
        <f t="shared" si="0"/>
        <v>_</v>
      </c>
      <c r="AD108" s="22"/>
      <c r="AE108" s="22"/>
      <c r="AF108" s="22"/>
      <c r="AG108" s="22"/>
      <c r="AH108" s="22"/>
      <c r="AI108" s="22"/>
      <c r="AJ108" s="22"/>
      <c r="AK108" s="22"/>
      <c r="AL108" s="22"/>
      <c r="AM108" s="22"/>
      <c r="AN108" s="22"/>
      <c r="AP108" s="10">
        <f>SUM(AP55:AP57)*G109</f>
        <v>0.10078945508711119</v>
      </c>
      <c r="AQ108" s="12" t="e">
        <f t="shared" si="1"/>
        <v>#N/A</v>
      </c>
      <c r="AR108" s="12" t="e">
        <f t="shared" si="2"/>
        <v>#N/A</v>
      </c>
      <c r="AS108" s="282" t="e">
        <f t="shared" si="3"/>
        <v>#N/A</v>
      </c>
      <c r="AT108" s="282" t="str">
        <f t="shared" si="4"/>
        <v xml:space="preserve"> [0.1] </v>
      </c>
      <c r="AU108" s="22"/>
      <c r="AV108" s="282" t="e">
        <f t="shared" si="5"/>
        <v>#N/A</v>
      </c>
      <c r="AW108" s="282" t="e">
        <f t="shared" si="7"/>
        <v>#N/A</v>
      </c>
    </row>
    <row r="109" spans="1:49">
      <c r="A109" s="282"/>
      <c r="B109" s="282"/>
      <c r="C109" s="282"/>
      <c r="D109" s="282"/>
      <c r="E109" s="282"/>
      <c r="F109" s="7" t="s">
        <v>645</v>
      </c>
      <c r="G109" s="238">
        <v>0.02</v>
      </c>
      <c r="R109" s="293"/>
      <c r="S109" s="243"/>
      <c r="T109" s="243"/>
      <c r="U109" s="243"/>
      <c r="V109" s="243"/>
      <c r="W109" s="22"/>
      <c r="X109" s="22"/>
      <c r="Y109" s="22"/>
      <c r="Z109" s="293" t="str">
        <f t="shared" si="15"/>
        <v xml:space="preserve">
{ key: "", loc: new go.Point(0, 0), release: "" },</v>
      </c>
      <c r="AA109"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09" s="282">
        <f t="shared" si="6"/>
        <v>765</v>
      </c>
      <c r="AC109" s="282" t="str">
        <f t="shared" ref="AC109:AC115" si="19">AD109&amp;"_"&amp;AE109</f>
        <v>_</v>
      </c>
      <c r="AM109" s="22">
        <f t="shared" ref="AM46:AM109" si="20">AM108+1</f>
        <v>1</v>
      </c>
      <c r="AN109" s="22"/>
      <c r="AQ109" s="12" t="e">
        <f t="shared" ref="AQ109:AQ114" si="21">VLOOKUP(AF109,$S$43:$T$55,2,FALSE)</f>
        <v>#N/A</v>
      </c>
      <c r="AR109" s="12" t="e">
        <f t="shared" ref="AR109:AR114" si="22">VLOOKUP(AH109,$W$43:$X$53,2,FALSE)</f>
        <v>#N/A</v>
      </c>
      <c r="AS109" s="282" t="e">
        <f t="shared" ref="AS109:AS114" si="23">VLOOKUP(AL109,$U$43:$V$53,2,FALSE)&amp;ROUND(AP109,2)&amp;"_"&amp;AF109&amp;"_"&amp;AG109&amp;"_"&amp;AH109&amp;"_"&amp;AK109</f>
        <v>#N/A</v>
      </c>
      <c r="AT109" s="282" t="str">
        <f t="shared" ref="AT109:AT114" si="24">AD109&amp;" ["&amp;ROUND(AP109,2)&amp;"] "&amp;AE109</f>
        <v xml:space="preserve"> [0] </v>
      </c>
      <c r="AU109" s="22"/>
      <c r="AV109" s="282" t="e">
        <f t="shared" ref="AV109:AV114" si="25">IF(AU109="first","","")&amp;CHAR(10)&amp;"{ from: """&amp;AD109&amp;""", to: """&amp;AE109&amp;""", long_text: """&amp;ROUND(AP109,2)&amp;"_"&amp;AF109&amp;"_"&amp;AG109&amp;""", short_text: """&amp;ROUND(AP109,2)&amp;""", fromSpot: """&amp;IF(AL109="Down","BottomSide",IF(AL109="Up","TopSide",IF(AL109="Left","LeftSide","RightSide")))&amp;""", toSpot: """&amp;IF(AL109="Down","TopSide",IF(AL109="Up","BottomSide",IF(AL109="Left","RightSide","LeftSide")))&amp;""", container: """&amp;AF109&amp;""", form: """&amp;AG109&amp;""", state: """&amp;AH109&amp;""", content: """&amp;AI109&amp;""", size: """&amp;AJ109&amp;""", flow_id: """&amp;AC109&amp;""", sequence_id: """&amp;AM109&amp;""", orientation: """&amp;AK109&amp;""", flow_color: """&amp;AQ109&amp;""", arrowhead_color: """&amp;AR109&amp;""", comments: """&amp;AN109&amp;""", containers_per_stack: """&amp;AO109&amp;""", throughput_per_minute: """&amp;AP109&amp;""" }"&amp;IF(AU109="last",CHAR(10)&amp;"]);",",")</f>
        <v>#N/A</v>
      </c>
      <c r="AW109" s="282" t="e">
        <f t="shared" si="7"/>
        <v>#N/A</v>
      </c>
    </row>
    <row r="110" spans="1:49">
      <c r="A110" s="282"/>
      <c r="B110" s="282"/>
      <c r="C110" s="282"/>
      <c r="D110" s="282"/>
      <c r="E110" s="282"/>
      <c r="F110" s="282"/>
      <c r="G110" s="282"/>
      <c r="R110" s="293"/>
      <c r="S110" s="243"/>
      <c r="T110" s="243"/>
      <c r="U110" s="243"/>
      <c r="V110" s="243"/>
      <c r="W110" s="22"/>
      <c r="X110" s="22"/>
      <c r="Y110" s="22"/>
      <c r="Z110" s="293" t="str">
        <f t="shared" si="15"/>
        <v xml:space="preserve">
{ key: "", loc: new go.Point(0, 0), release: "" },</v>
      </c>
      <c r="AA110"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10" s="282">
        <f t="shared" ref="AB110:AB115" si="26">AB109+1</f>
        <v>766</v>
      </c>
      <c r="AC110" s="282" t="str">
        <f t="shared" si="19"/>
        <v>_</v>
      </c>
      <c r="AM110" s="22">
        <f t="shared" ref="AM110:AM115" si="27">AM109+1</f>
        <v>2</v>
      </c>
      <c r="AN110" s="22"/>
      <c r="AQ110" s="12" t="e">
        <f t="shared" si="21"/>
        <v>#N/A</v>
      </c>
      <c r="AR110" s="12" t="e">
        <f t="shared" si="22"/>
        <v>#N/A</v>
      </c>
      <c r="AS110" s="282" t="e">
        <f t="shared" si="23"/>
        <v>#N/A</v>
      </c>
      <c r="AT110" s="282" t="str">
        <f t="shared" si="24"/>
        <v xml:space="preserve"> [0] </v>
      </c>
      <c r="AU110" s="22"/>
      <c r="AV110" s="282" t="e">
        <f t="shared" si="25"/>
        <v>#N/A</v>
      </c>
      <c r="AW110" s="282" t="e">
        <f t="shared" ref="AW110:AW114" si="28">IF(AND(AU110&lt;&gt;"",AU110&lt;&gt;"last"),AV110,AW109&amp;AV110)</f>
        <v>#N/A</v>
      </c>
    </row>
    <row r="111" spans="1:49">
      <c r="A111" s="282" t="s">
        <v>820</v>
      </c>
      <c r="B111" s="282"/>
      <c r="C111" s="282"/>
      <c r="D111" s="282"/>
      <c r="E111" s="282"/>
      <c r="F111" s="282"/>
      <c r="G111" s="282"/>
      <c r="R111" s="293"/>
      <c r="S111" s="243"/>
      <c r="T111" s="243"/>
      <c r="U111" s="243"/>
      <c r="V111" s="243"/>
      <c r="W111" s="22"/>
      <c r="X111" s="22"/>
      <c r="Y111" s="22"/>
      <c r="Z111" s="293" t="str">
        <f t="shared" si="15"/>
        <v xml:space="preserve">
{ key: "", loc: new go.Point(0, 0), release: "" },</v>
      </c>
      <c r="AA111" s="293" t="str">
        <f t="shared" si="16"/>
        <v xml:space="preserve">
{ key: "A_Inbound dock", group: "Ambient", loc: new go.Point(-175, 315), release: "Launch 1.0" },
{ key: "A_4D rack", group: "Ambient", loc: new go.Point(-140, 385), release: "Launch 1.0" },
{ key: "C_Inbound dock", group: "Chilled", loc: new go.Point(-175, 175), release: "Launch 1.0" },
{ key: "C_4D rack", group: "Chilled", loc: new go.Point(-140, 245), release: "Launch 1.0" },
{ key: "C_Lite IO (MR pad)", group: "Chilled", loc: new go.Point(-70, 245), release: "Launch 1.0" },
{ key: "C_Lite IO (PMR position)", group: "Chilled", loc: new go.Point(-70, 259), release: "Launch 1.0" },
{ key: "C_Stacker (stacking)", group: "Chilled", loc: new go.Point(210, 245), release: "Launch 1.0" },
{ key: "C_Stacker (destacking)", group: "Chilled", loc: new go.Point(245, 245), release: "Launch 1.0" },
{ key: "C_Shuffler", group: "Chilled", loc: new go.Point(280, 252), release: "Launch 1.0" },
{ key: "C_Stack handler", group: "Chilled", loc: new go.Point(210, 210), release: "Launch 1.0" },
{ key: "C_Master dispenser", group: "Chilled", loc: new go.Point(140, 280), release: "Launch 1.0" },
{ key: "C_Manual receiving frontend", group: "Chilled", loc: new go.Point(122.5, 262.5), release: "Launch 1.0" },
{ key: "C_Manual receiving backend", group: "Chilled", loc: new go.Point(157.5, 262.5), release: "Launch 1.0" },
{ key: "C_Traybreaker", group: "Chilled", loc: new go.Point(210, 245), release: "Launch 1.0" },
{ key: "C_Inbound connector", group: "Chilled", loc: new go.Point(175, 210), release: "Launch 1.0" },
{ key: "C_Outbound connector", group: "Chilled", loc: new go.Point(175, 210), release: "Launch 1.0" },
{ key: "C_Traymaker", group: "Chilled", loc: new go.Point(175, 227.5), release: "Launch 1.0" },
{ key: "C_Tray wash", group: "Chilled", loc: new go.Point(210, 175), release: "Launch 1.0" },
{ key: "Ambient", isGroup: true},
{ key: "Chilled", isGroup: true},
{ key: "Frozen", isGroup: true},
{ key: "F_Shelves", group: "Frozen", loc: new go.Point(-140, 70), release: "Launch 1.0" },
{ key: "A_TS_Rack", group: "Ambient", loc: new go.Point(350, 315), release: "Launch 1.0" },
{ key: "C_TS_Rack", group: "Chilled", loc: new go.Point(350, 175), release: "Launch 1.0" },
{ key: "A_MPP_TrayXL", group: "Ambient", loc: new go.Point(560, 210), release: "Launch 1.0" },
{ key: "A_MPP_Putwall", group: "Ambient", loc: new go.Point(595, 210), release: "Launch 1.1" },
{ key: "A_MPP_Tote cart", group: "Ambient", loc: new go.Point(630, 210), release: "Launch 1.2" },
{ key: "C_MPP_TrayXL", group: "Chilled", loc: new go.Point(420, 140), release: "Launch 1.3" },
{ key: "C_MPP_Putwall", group: "Chilled", loc: new go.Point(455, 140), release: "Launch 1.4" },
{ key: "C_MPP_Tote cart", group: "Chilled", loc: new go.Point(490, 140), release: "Launch 1.5" },
{ key: "A_CS_Cart position", group: "Ambient", loc: new go.Point(560, 210), release: "Launch 1.6" },
{ key: "A_OS_Oversize rack", group: "Ambient", loc: new go.Point(560, 175), release: "Launch 1.7" },
{ key: "Van rack", group: "Cool", loc: new go.Point(770, 245), release: "Launch 1.8" },
{ key: "Van", group: "Cool", loc: new go.Point(910, 245), release: "Launch 1.9" },
{ key: "Cool", isGroup: true}],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
{ key: "", loc: new go.Point(0, 0), release: "" },</v>
      </c>
      <c r="AB111" s="282">
        <f t="shared" si="26"/>
        <v>767</v>
      </c>
      <c r="AC111" s="282" t="str">
        <f t="shared" si="19"/>
        <v>_</v>
      </c>
      <c r="AM111" s="22">
        <f t="shared" si="27"/>
        <v>3</v>
      </c>
      <c r="AN111" s="22"/>
      <c r="AQ111" s="12" t="e">
        <f t="shared" si="21"/>
        <v>#N/A</v>
      </c>
      <c r="AR111" s="12" t="e">
        <f t="shared" si="22"/>
        <v>#N/A</v>
      </c>
      <c r="AS111" s="282" t="e">
        <f t="shared" si="23"/>
        <v>#N/A</v>
      </c>
      <c r="AT111" s="282" t="str">
        <f t="shared" si="24"/>
        <v xml:space="preserve"> [0] </v>
      </c>
      <c r="AU111" s="22"/>
      <c r="AV111" s="282" t="e">
        <f t="shared" si="25"/>
        <v>#N/A</v>
      </c>
      <c r="AW111" s="282" t="e">
        <f t="shared" si="28"/>
        <v>#N/A</v>
      </c>
    </row>
    <row r="112" spans="1:49">
      <c r="A112" s="282"/>
      <c r="B112" s="282"/>
      <c r="C112" s="282"/>
      <c r="D112" s="282"/>
      <c r="E112" s="282"/>
      <c r="F112" s="7" t="s">
        <v>821</v>
      </c>
      <c r="G112" s="238">
        <v>0.5</v>
      </c>
      <c r="R112" s="293"/>
      <c r="AB112" s="282">
        <f t="shared" si="26"/>
        <v>768</v>
      </c>
      <c r="AC112" s="282" t="str">
        <f t="shared" si="19"/>
        <v>_</v>
      </c>
      <c r="AM112" s="22">
        <f t="shared" si="27"/>
        <v>4</v>
      </c>
      <c r="AN112" s="22"/>
      <c r="AQ112" s="12" t="e">
        <f t="shared" si="21"/>
        <v>#N/A</v>
      </c>
      <c r="AR112" s="12" t="e">
        <f t="shared" si="22"/>
        <v>#N/A</v>
      </c>
      <c r="AS112" s="282" t="e">
        <f t="shared" si="23"/>
        <v>#N/A</v>
      </c>
      <c r="AT112" s="282" t="str">
        <f t="shared" si="24"/>
        <v xml:space="preserve"> [0] </v>
      </c>
      <c r="AU112" s="22"/>
      <c r="AV112" s="282" t="e">
        <f t="shared" si="25"/>
        <v>#N/A</v>
      </c>
      <c r="AW112" s="282" t="e">
        <f t="shared" si="28"/>
        <v>#N/A</v>
      </c>
    </row>
    <row r="113" spans="1:49">
      <c r="A113" s="282"/>
      <c r="B113" s="282"/>
      <c r="C113" s="282"/>
      <c r="D113" s="282"/>
      <c r="E113" s="282"/>
      <c r="F113" s="7" t="s">
        <v>822</v>
      </c>
      <c r="G113" s="238">
        <v>0.5</v>
      </c>
      <c r="R113" s="293"/>
      <c r="AB113" s="282">
        <f t="shared" si="26"/>
        <v>769</v>
      </c>
      <c r="AC113" s="282" t="str">
        <f t="shared" si="19"/>
        <v>_</v>
      </c>
      <c r="AM113" s="22">
        <f t="shared" si="27"/>
        <v>5</v>
      </c>
      <c r="AN113" s="22"/>
      <c r="AQ113" s="12" t="e">
        <f t="shared" si="21"/>
        <v>#N/A</v>
      </c>
      <c r="AR113" s="12" t="e">
        <f t="shared" si="22"/>
        <v>#N/A</v>
      </c>
      <c r="AS113" s="282" t="e">
        <f t="shared" si="23"/>
        <v>#N/A</v>
      </c>
      <c r="AT113" s="282" t="str">
        <f t="shared" si="24"/>
        <v xml:space="preserve"> [0] </v>
      </c>
      <c r="AU113" s="22"/>
      <c r="AV113" s="282" t="e">
        <f t="shared" si="25"/>
        <v>#N/A</v>
      </c>
      <c r="AW113" s="282" t="e">
        <f t="shared" si="28"/>
        <v>#N/A</v>
      </c>
    </row>
    <row r="114" spans="1:49">
      <c r="A114" s="282"/>
      <c r="B114" s="282"/>
      <c r="C114" s="282"/>
      <c r="D114" s="282"/>
      <c r="E114" s="282"/>
      <c r="F114" s="7" t="s">
        <v>823</v>
      </c>
      <c r="G114" s="228">
        <v>30</v>
      </c>
      <c r="R114" s="293"/>
      <c r="AB114" s="282">
        <f t="shared" si="26"/>
        <v>770</v>
      </c>
      <c r="AC114" s="282" t="str">
        <f t="shared" si="19"/>
        <v>_</v>
      </c>
      <c r="AM114" s="22">
        <f t="shared" si="27"/>
        <v>6</v>
      </c>
      <c r="AN114" s="22"/>
      <c r="AQ114" s="12" t="e">
        <f t="shared" si="21"/>
        <v>#N/A</v>
      </c>
      <c r="AR114" s="12" t="e">
        <f t="shared" si="22"/>
        <v>#N/A</v>
      </c>
      <c r="AS114" s="282" t="e">
        <f t="shared" si="23"/>
        <v>#N/A</v>
      </c>
      <c r="AT114" s="282" t="str">
        <f t="shared" si="24"/>
        <v xml:space="preserve"> [0] </v>
      </c>
      <c r="AU114" s="22"/>
      <c r="AV114" s="282" t="e">
        <f t="shared" si="25"/>
        <v>#N/A</v>
      </c>
      <c r="AW114" s="282" t="e">
        <f t="shared" si="28"/>
        <v>#N/A</v>
      </c>
    </row>
    <row r="115" spans="1:49">
      <c r="A115" s="282"/>
      <c r="B115" s="282"/>
      <c r="C115" s="282"/>
      <c r="D115" s="282"/>
      <c r="E115" s="282"/>
      <c r="F115" s="7" t="s">
        <v>824</v>
      </c>
      <c r="G115" s="228">
        <v>7</v>
      </c>
      <c r="R115" s="293"/>
      <c r="AB115" s="282">
        <f t="shared" si="26"/>
        <v>771</v>
      </c>
      <c r="AC115" s="282" t="str">
        <f t="shared" si="19"/>
        <v>_</v>
      </c>
      <c r="AM115" s="22">
        <f t="shared" si="27"/>
        <v>7</v>
      </c>
      <c r="AN115" s="22"/>
    </row>
    <row r="116" spans="1:49">
      <c r="A116" s="282"/>
      <c r="B116" s="282"/>
      <c r="C116" s="282"/>
      <c r="D116" s="282"/>
      <c r="E116" s="282"/>
      <c r="F116" s="7" t="s">
        <v>825</v>
      </c>
      <c r="G116" s="10">
        <f>Metrics!H210</f>
        <v>3.0337528935185185E-2</v>
      </c>
    </row>
    <row r="117" spans="1:49">
      <c r="A117" s="282"/>
      <c r="B117" s="282"/>
      <c r="C117" s="282"/>
      <c r="D117" s="282"/>
      <c r="E117" s="282"/>
      <c r="F117" s="7" t="s">
        <v>826</v>
      </c>
      <c r="G117" s="10">
        <f>Metrics!I210</f>
        <v>1.2662519290123459E-2</v>
      </c>
    </row>
    <row r="118" spans="1:49">
      <c r="A118" s="282"/>
      <c r="B118" s="282"/>
      <c r="C118" s="282"/>
      <c r="D118" s="282"/>
      <c r="E118" s="282"/>
      <c r="F118" s="7" t="s">
        <v>835</v>
      </c>
      <c r="G118" s="5">
        <f>Metrics!H104</f>
        <v>549.311418685121</v>
      </c>
    </row>
    <row r="119" spans="1:49">
      <c r="A119" s="282"/>
      <c r="B119" s="282"/>
      <c r="C119" s="282"/>
      <c r="D119" s="282"/>
      <c r="E119" s="282"/>
      <c r="F119" s="7" t="s">
        <v>834</v>
      </c>
      <c r="G119" s="5">
        <f>Metrics!I104</f>
        <v>541.18681318681308</v>
      </c>
    </row>
    <row r="120" spans="1:49">
      <c r="A120" s="282"/>
      <c r="B120" s="282"/>
      <c r="C120" s="282"/>
      <c r="D120" s="282"/>
      <c r="E120" s="282"/>
      <c r="F120" s="7" t="s">
        <v>836</v>
      </c>
      <c r="G120" s="282">
        <f>G71</f>
        <v>8.4</v>
      </c>
    </row>
    <row r="121" spans="1:49">
      <c r="A121" s="282"/>
      <c r="B121" s="282"/>
      <c r="C121" s="282"/>
      <c r="D121" s="282"/>
      <c r="E121" s="282"/>
      <c r="F121" s="7" t="s">
        <v>841</v>
      </c>
      <c r="G121" s="154">
        <f>SUM(Metrics!H28:H31)</f>
        <v>0.7</v>
      </c>
    </row>
    <row r="122" spans="1:49">
      <c r="F122" s="280" t="s">
        <v>842</v>
      </c>
      <c r="G122" s="508">
        <f>Metrics!H34</f>
        <v>3.9999999999999987</v>
      </c>
    </row>
    <row r="123" spans="1:49">
      <c r="F123" s="280" t="s">
        <v>863</v>
      </c>
      <c r="G123" s="228">
        <v>2</v>
      </c>
    </row>
    <row r="124" spans="1:49">
      <c r="F124" s="280" t="s">
        <v>859</v>
      </c>
      <c r="G124" s="510">
        <f>SUM(Metrics!I57:I58,Metrics!I61)/(SUM(Metrics!H57:H58,Metrics!H61)+SUM(Metrics!I57:I58,Metrics!I61))</f>
        <v>0.33370165745856356</v>
      </c>
    </row>
    <row r="125" spans="1:49" ht="31">
      <c r="F125" s="280" t="s">
        <v>862</v>
      </c>
      <c r="G125" s="228">
        <v>2</v>
      </c>
    </row>
    <row r="126" spans="1:49" ht="31">
      <c r="F126" s="280" t="s">
        <v>864</v>
      </c>
      <c r="G126" s="508">
        <f>SUM(Metrics!H$180:H$181,Metrics!H$184)/Metrics!$H$36</f>
        <v>9.2826354679802954</v>
      </c>
      <c r="H126" s="508"/>
    </row>
    <row r="127" spans="1:49" ht="31">
      <c r="F127" s="292" t="s">
        <v>865</v>
      </c>
      <c r="G127" s="508">
        <f>SUM(Metrics!I$180:I$181,Metrics!I$184)/Metrics!$H$36</f>
        <v>4.6490147783251246</v>
      </c>
    </row>
    <row r="128" spans="1:49" ht="31">
      <c r="F128" s="292" t="s">
        <v>864</v>
      </c>
      <c r="G128" s="508">
        <f>SUM(Metrics!H$130:H$131,Metrics!H$134)</f>
        <v>15.074999999999998</v>
      </c>
    </row>
    <row r="129" spans="6:7" ht="31">
      <c r="F129" s="292" t="s">
        <v>865</v>
      </c>
      <c r="G129" s="508">
        <f>SUM(Metrics!I$130:I$131,Metrics!I$134)</f>
        <v>7.55</v>
      </c>
    </row>
    <row r="130" spans="6:7">
      <c r="F130" s="280" t="s">
        <v>874</v>
      </c>
      <c r="G130" s="512">
        <f>Metrics!H81</f>
        <v>7.9358552631578947</v>
      </c>
    </row>
    <row r="131" spans="6:7">
      <c r="F131" s="280" t="s">
        <v>875</v>
      </c>
      <c r="G131" s="512">
        <f>Metrics!I81</f>
        <v>8.0022075055187631</v>
      </c>
    </row>
    <row r="132" spans="6:7">
      <c r="F132" s="280" t="s">
        <v>876</v>
      </c>
      <c r="G132" s="512">
        <f>Metrics!J81</f>
        <v>8.3333333333333321</v>
      </c>
    </row>
    <row r="133" spans="6:7">
      <c r="F133" s="280" t="s">
        <v>877</v>
      </c>
      <c r="G133" s="228">
        <v>8</v>
      </c>
    </row>
    <row r="134" spans="6:7">
      <c r="F134" s="280" t="s">
        <v>880</v>
      </c>
      <c r="G134" s="513">
        <f>Metrics!K80</f>
        <v>3</v>
      </c>
    </row>
    <row r="135" spans="6:7">
      <c r="F135" s="280" t="s">
        <v>881</v>
      </c>
      <c r="G135" s="228">
        <v>10</v>
      </c>
    </row>
  </sheetData>
  <mergeCells count="13">
    <mergeCell ref="B38:C38"/>
    <mergeCell ref="I38:K38"/>
    <mergeCell ref="B42:C42"/>
    <mergeCell ref="B31:C31"/>
    <mergeCell ref="R31:R32"/>
    <mergeCell ref="T31:T34"/>
    <mergeCell ref="V31:V32"/>
    <mergeCell ref="B33:C33"/>
    <mergeCell ref="B35:G36"/>
    <mergeCell ref="I35:L36"/>
    <mergeCell ref="N35:P37"/>
    <mergeCell ref="R36:R37"/>
    <mergeCell ref="T36:V37"/>
  </mergeCells>
  <phoneticPr fontId="33" type="noConversion"/>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9277D-0FA4-4BCA-B7A4-D77CB7AFEC5D}">
  <sheetPr codeName="Sheet1"/>
  <dimension ref="A1:CO104"/>
  <sheetViews>
    <sheetView showGridLines="0" topLeftCell="B33" zoomScale="71" zoomScaleNormal="71" workbookViewId="0">
      <selection activeCell="C74" sqref="C1:C1048576"/>
    </sheetView>
  </sheetViews>
  <sheetFormatPr defaultColWidth="11" defaultRowHeight="15.5"/>
  <cols>
    <col min="1" max="1" width="17" style="293" customWidth="1"/>
    <col min="2" max="2" width="3.83203125" style="27" customWidth="1"/>
    <col min="3" max="3" width="17.6640625" style="30" customWidth="1"/>
    <col min="4" max="4" width="9.83203125" style="30" customWidth="1"/>
    <col min="5" max="5" width="6.33203125" style="325" customWidth="1"/>
    <col min="6" max="6" width="24.1640625" style="293" customWidth="1"/>
    <col min="7" max="7" width="10.83203125" style="325" customWidth="1"/>
    <col min="8" max="8" width="10.1640625" style="293" customWidth="1"/>
    <col min="9" max="9" width="9.6640625" style="325" customWidth="1"/>
    <col min="10" max="11" width="10.1640625" style="325" customWidth="1"/>
    <col min="12" max="12" width="10.5" style="293" customWidth="1"/>
    <col min="13" max="13" width="22.33203125" style="293" customWidth="1"/>
    <col min="14" max="18" width="12.33203125" style="326" customWidth="1"/>
    <col min="19" max="19" width="12.33203125" style="293" customWidth="1"/>
    <col min="20" max="20" width="12.83203125" style="293" customWidth="1"/>
    <col min="21" max="21" width="15.83203125" style="293" customWidth="1"/>
    <col min="22" max="22" width="14.1640625" style="293" customWidth="1"/>
    <col min="23" max="23" width="11" style="293" customWidth="1"/>
    <col min="24" max="24" width="14.1640625" style="293" customWidth="1"/>
    <col min="25" max="25" width="15.6640625" style="293" customWidth="1"/>
    <col min="26" max="26" width="6.6640625" style="293" customWidth="1"/>
    <col min="27" max="27" width="12.6640625" style="293" customWidth="1"/>
    <col min="28" max="30" width="6.6640625" style="293" customWidth="1"/>
    <col min="31" max="31" width="12.6640625" style="293" customWidth="1"/>
    <col min="32" max="34" width="6.6640625" style="293" customWidth="1"/>
    <col min="35" max="35" width="12.6640625" style="293" customWidth="1"/>
    <col min="36" max="38" width="6.6640625" style="293" customWidth="1"/>
    <col min="39" max="39" width="12.6640625" style="293" customWidth="1"/>
    <col min="40" max="42" width="6.6640625" style="293" customWidth="1"/>
    <col min="43" max="43" width="12.6640625" style="293" customWidth="1"/>
    <col min="44" max="46" width="6.6640625" style="293" customWidth="1"/>
    <col min="47" max="47" width="12.6640625" style="293" customWidth="1"/>
    <col min="48" max="50" width="6.6640625" style="293" customWidth="1"/>
    <col min="51" max="51" width="12.6640625" style="293" customWidth="1"/>
    <col min="52" max="54" width="6.6640625" style="293" customWidth="1"/>
    <col min="55" max="55" width="12.6640625" style="293" customWidth="1"/>
    <col min="56" max="58" width="6.6640625" style="293" customWidth="1"/>
    <col min="59" max="59" width="12.6640625" style="293" customWidth="1"/>
    <col min="60" max="62" width="6.6640625" style="293" customWidth="1"/>
    <col min="63" max="63" width="12.6640625" style="293" customWidth="1"/>
    <col min="64" max="66" width="6.6640625" style="293" customWidth="1"/>
    <col min="67" max="67" width="12.6640625" style="293" customWidth="1"/>
    <col min="68" max="70" width="6.6640625" style="293" customWidth="1"/>
    <col min="71" max="71" width="12.6640625" style="293" customWidth="1"/>
    <col min="72" max="73" width="6.6640625" style="293" customWidth="1"/>
    <col min="74" max="74" width="5.33203125" style="293" customWidth="1"/>
    <col min="75" max="78" width="11" style="293"/>
    <col min="79" max="81" width="6.6640625" style="324" customWidth="1"/>
    <col min="82" max="82" width="20.33203125" style="324" bestFit="1" customWidth="1"/>
    <col min="83" max="86" width="18.83203125" style="324" customWidth="1"/>
    <col min="87" max="93" width="11" style="324"/>
    <col min="94" max="16384" width="11" style="293"/>
  </cols>
  <sheetData>
    <row r="1" spans="2:86">
      <c r="B1" s="293"/>
      <c r="C1" s="293"/>
      <c r="D1" s="293"/>
      <c r="E1" s="293"/>
      <c r="G1" s="293"/>
      <c r="I1" s="293"/>
      <c r="J1" s="293"/>
      <c r="K1" s="293"/>
      <c r="N1" s="293"/>
      <c r="O1" s="293"/>
      <c r="P1" s="293"/>
      <c r="Q1" s="293"/>
      <c r="R1" s="293"/>
      <c r="CA1" s="293"/>
      <c r="CB1" s="293"/>
      <c r="CC1" s="293"/>
      <c r="CD1" s="293"/>
      <c r="CE1" s="293"/>
      <c r="CF1" s="293"/>
      <c r="CG1" s="293"/>
      <c r="CH1" s="293"/>
    </row>
    <row r="2" spans="2:86">
      <c r="B2" s="293"/>
      <c r="C2" s="293"/>
      <c r="D2" s="293"/>
      <c r="E2" s="293"/>
      <c r="F2" s="27"/>
      <c r="X2" s="27"/>
      <c r="Y2" s="27"/>
      <c r="Z2" s="27"/>
      <c r="AA2" s="27"/>
      <c r="AB2" s="27"/>
      <c r="AC2" s="27"/>
      <c r="AD2" s="27"/>
      <c r="AE2" s="27"/>
      <c r="AF2" s="27"/>
      <c r="AG2" s="27"/>
      <c r="AH2" s="27"/>
      <c r="AI2" s="27"/>
      <c r="AJ2" s="27"/>
      <c r="AK2" s="27"/>
      <c r="AL2" s="27"/>
      <c r="AM2" s="27"/>
      <c r="AN2" s="27"/>
      <c r="AO2" s="27"/>
      <c r="AP2" s="27"/>
      <c r="AQ2" s="27"/>
      <c r="AR2" s="27"/>
      <c r="AS2" s="27"/>
      <c r="AT2" s="27"/>
      <c r="AU2" s="3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CA2" s="328"/>
      <c r="CB2" s="328"/>
      <c r="CC2" s="328"/>
    </row>
    <row r="3" spans="2:86">
      <c r="B3" s="27" t="s">
        <v>0</v>
      </c>
      <c r="G3" s="329" t="s">
        <v>653</v>
      </c>
      <c r="H3" s="330"/>
      <c r="I3" s="330"/>
      <c r="J3" s="330"/>
      <c r="K3" s="330"/>
      <c r="L3" s="330"/>
      <c r="M3" s="331"/>
      <c r="N3" s="298" t="s">
        <v>654</v>
      </c>
      <c r="O3" s="299"/>
      <c r="P3" s="299"/>
      <c r="Q3" s="299"/>
      <c r="R3" s="299"/>
      <c r="S3" s="299"/>
      <c r="T3" s="299"/>
      <c r="U3" s="299"/>
      <c r="V3" s="300"/>
      <c r="W3" s="299" t="s">
        <v>655</v>
      </c>
      <c r="X3" s="299"/>
      <c r="Y3" s="299"/>
      <c r="Z3" s="299"/>
      <c r="AA3" s="299"/>
      <c r="AB3" s="299"/>
      <c r="AC3" s="299"/>
      <c r="AD3" s="299"/>
      <c r="AE3" s="299"/>
      <c r="AF3" s="299"/>
      <c r="AG3" s="299"/>
      <c r="AH3" s="299"/>
      <c r="AI3" s="299"/>
      <c r="AJ3" s="299"/>
      <c r="AK3" s="299"/>
      <c r="AL3" s="299"/>
      <c r="AM3" s="299"/>
      <c r="AN3" s="299"/>
      <c r="AO3" s="299"/>
      <c r="AP3" s="299"/>
      <c r="AQ3" s="299"/>
      <c r="AR3" s="299"/>
      <c r="AS3" s="299"/>
      <c r="AT3" s="299"/>
      <c r="AU3" s="299"/>
      <c r="AV3" s="299"/>
      <c r="AW3" s="299"/>
      <c r="AX3" s="299"/>
      <c r="AY3" s="299"/>
      <c r="AZ3" s="299"/>
      <c r="BA3" s="299"/>
      <c r="BB3" s="299"/>
      <c r="BC3" s="299"/>
      <c r="BD3" s="299"/>
      <c r="BE3" s="299"/>
      <c r="BF3" s="299"/>
      <c r="BG3" s="299"/>
      <c r="BH3" s="299"/>
      <c r="BI3" s="299"/>
      <c r="BJ3" s="299"/>
      <c r="BK3" s="299"/>
      <c r="BL3" s="299"/>
      <c r="BM3" s="299"/>
      <c r="BN3" s="299"/>
      <c r="BO3" s="299"/>
      <c r="BP3" s="299"/>
      <c r="BQ3" s="299"/>
      <c r="BR3" s="299"/>
      <c r="BS3" s="299"/>
      <c r="BT3" s="299"/>
      <c r="BU3" s="300"/>
      <c r="BV3" s="332"/>
      <c r="CA3" s="328" t="s">
        <v>656</v>
      </c>
    </row>
    <row r="4" spans="2:86" ht="16" thickBot="1">
      <c r="B4" s="298" t="s">
        <v>65</v>
      </c>
      <c r="C4" s="299"/>
      <c r="D4" s="300"/>
      <c r="E4" s="298" t="s">
        <v>105</v>
      </c>
      <c r="F4" s="299"/>
      <c r="G4" s="333"/>
      <c r="H4" s="27"/>
      <c r="I4" s="27"/>
      <c r="J4" s="27"/>
      <c r="K4" s="27"/>
      <c r="M4" s="39"/>
      <c r="N4" s="334" t="s">
        <v>657</v>
      </c>
      <c r="O4" s="335"/>
      <c r="P4" s="336"/>
      <c r="Q4" s="334" t="s">
        <v>658</v>
      </c>
      <c r="R4" s="335"/>
      <c r="S4" s="336"/>
      <c r="T4" s="298" t="s">
        <v>659</v>
      </c>
      <c r="U4" s="299"/>
      <c r="V4" s="300"/>
      <c r="W4" s="4"/>
      <c r="X4" s="150"/>
      <c r="Y4" s="337" t="s">
        <v>660</v>
      </c>
      <c r="Z4" s="338" t="str">
        <f>'[2]OEM Group'!B16</f>
        <v>Rack loading</v>
      </c>
      <c r="AA4" s="339"/>
      <c r="AB4" s="339"/>
      <c r="AC4" s="339"/>
      <c r="AD4" s="339"/>
      <c r="AE4" s="339"/>
      <c r="AF4" s="339"/>
      <c r="AG4" s="340"/>
      <c r="AH4" s="338" t="str">
        <f>'[2]OEM Group'!B12</f>
        <v>Upfitting</v>
      </c>
      <c r="AI4" s="339"/>
      <c r="AJ4" s="339"/>
      <c r="AK4" s="340"/>
      <c r="AL4" s="338" t="str">
        <f>'[2]OEM Group'!B15</f>
        <v>Stack moving</v>
      </c>
      <c r="AM4" s="339"/>
      <c r="AN4" s="339"/>
      <c r="AO4" s="339"/>
      <c r="AP4" s="339"/>
      <c r="AQ4" s="339"/>
      <c r="AR4" s="339"/>
      <c r="AS4" s="339"/>
      <c r="AT4" s="339"/>
      <c r="AU4" s="339"/>
      <c r="AV4" s="339"/>
      <c r="AW4" s="339"/>
      <c r="AX4" s="339"/>
      <c r="AY4" s="339"/>
      <c r="AZ4" s="339"/>
      <c r="BA4" s="339"/>
      <c r="BB4" s="339"/>
      <c r="BC4" s="339"/>
      <c r="BD4" s="339"/>
      <c r="BE4" s="340"/>
      <c r="BF4" s="338" t="str">
        <f>'[2]OEM Group'!B9</f>
        <v>Picking</v>
      </c>
      <c r="BG4" s="339"/>
      <c r="BH4" s="339"/>
      <c r="BI4" s="340"/>
      <c r="BJ4" s="341" t="str">
        <f>'[2]OEM Group'!B10</f>
        <v>Compartment handling</v>
      </c>
      <c r="BK4" s="342"/>
      <c r="BL4" s="342"/>
      <c r="BM4" s="343"/>
      <c r="BN4" s="338" t="str">
        <f>'[2]OEM Group'!B7</f>
        <v>Tray transacting</v>
      </c>
      <c r="BO4" s="339"/>
      <c r="BP4" s="339"/>
      <c r="BQ4" s="339"/>
      <c r="BR4" s="339"/>
      <c r="BS4" s="339"/>
      <c r="BT4" s="339"/>
      <c r="BU4" s="340"/>
      <c r="BV4" s="332"/>
    </row>
    <row r="5" spans="2:86">
      <c r="B5" s="289"/>
      <c r="C5" s="290"/>
      <c r="D5" s="291"/>
      <c r="E5" s="38"/>
      <c r="F5" s="332"/>
      <c r="G5" s="31"/>
      <c r="H5" s="344"/>
      <c r="I5" s="344"/>
      <c r="J5" s="344"/>
      <c r="K5" s="344"/>
      <c r="L5" s="29"/>
      <c r="M5" s="62"/>
      <c r="N5" s="345"/>
      <c r="O5" s="346"/>
      <c r="P5" s="346"/>
      <c r="Q5" s="345"/>
      <c r="R5" s="346"/>
      <c r="S5" s="346"/>
      <c r="T5" s="289"/>
      <c r="U5" s="290"/>
      <c r="V5" s="291"/>
      <c r="W5" s="347"/>
      <c r="X5" s="348"/>
      <c r="Y5" s="349" t="s">
        <v>661</v>
      </c>
      <c r="Z5" s="350" t="s">
        <v>88</v>
      </c>
      <c r="AA5" s="351"/>
      <c r="AB5" s="351"/>
      <c r="AC5" s="352"/>
      <c r="AD5" s="353" t="s">
        <v>181</v>
      </c>
      <c r="AE5" s="351"/>
      <c r="AF5" s="351"/>
      <c r="AG5" s="354"/>
      <c r="AH5" s="355" t="s">
        <v>181</v>
      </c>
      <c r="AI5" s="356"/>
      <c r="AJ5" s="356"/>
      <c r="AK5" s="357"/>
      <c r="AL5" s="355" t="s">
        <v>87</v>
      </c>
      <c r="AM5" s="356"/>
      <c r="AN5" s="356"/>
      <c r="AO5" s="358"/>
      <c r="AP5" s="359" t="s">
        <v>88</v>
      </c>
      <c r="AQ5" s="356"/>
      <c r="AR5" s="356"/>
      <c r="AS5" s="358"/>
      <c r="AT5" s="359" t="s">
        <v>75</v>
      </c>
      <c r="AU5" s="356"/>
      <c r="AV5" s="356"/>
      <c r="AW5" s="358"/>
      <c r="AX5" s="359" t="s">
        <v>662</v>
      </c>
      <c r="AY5" s="356"/>
      <c r="AZ5" s="356"/>
      <c r="BA5" s="358"/>
      <c r="BB5" s="359" t="s">
        <v>51</v>
      </c>
      <c r="BC5" s="356"/>
      <c r="BD5" s="356"/>
      <c r="BE5" s="357"/>
      <c r="BF5" s="355" t="s">
        <v>663</v>
      </c>
      <c r="BG5" s="356"/>
      <c r="BH5" s="356"/>
      <c r="BI5" s="357"/>
      <c r="BJ5" s="355" t="s">
        <v>66</v>
      </c>
      <c r="BK5" s="356"/>
      <c r="BL5" s="356"/>
      <c r="BM5" s="357"/>
      <c r="BN5" s="355" t="s">
        <v>50</v>
      </c>
      <c r="BO5" s="356"/>
      <c r="BP5" s="356"/>
      <c r="BQ5" s="357"/>
      <c r="BR5" s="359" t="s">
        <v>75</v>
      </c>
      <c r="BS5" s="356"/>
      <c r="BT5" s="356"/>
      <c r="BU5" s="357"/>
      <c r="BV5" s="332"/>
      <c r="CA5" s="360" t="s">
        <v>664</v>
      </c>
      <c r="CB5" s="361"/>
      <c r="CC5" s="361"/>
      <c r="CD5" s="362"/>
      <c r="CE5" s="360" t="s">
        <v>665</v>
      </c>
      <c r="CF5" s="363"/>
      <c r="CG5" s="360" t="s">
        <v>666</v>
      </c>
      <c r="CH5" s="363"/>
    </row>
    <row r="6" spans="2:86">
      <c r="B6" s="364" t="s">
        <v>100</v>
      </c>
      <c r="C6" s="35" t="s">
        <v>11</v>
      </c>
      <c r="D6" s="36" t="s">
        <v>101</v>
      </c>
      <c r="E6" s="38" t="s">
        <v>100</v>
      </c>
      <c r="F6" s="27" t="s">
        <v>201</v>
      </c>
      <c r="G6" s="365" t="s">
        <v>667</v>
      </c>
      <c r="H6" s="366" t="s">
        <v>668</v>
      </c>
      <c r="I6" s="367" t="s">
        <v>669</v>
      </c>
      <c r="J6" s="367" t="s">
        <v>670</v>
      </c>
      <c r="K6" s="367" t="s">
        <v>671</v>
      </c>
      <c r="L6" s="368" t="s">
        <v>672</v>
      </c>
      <c r="M6" s="44" t="s">
        <v>102</v>
      </c>
      <c r="N6" s="369" t="s">
        <v>673</v>
      </c>
      <c r="O6" s="370" t="s">
        <v>674</v>
      </c>
      <c r="P6" s="370" t="s">
        <v>675</v>
      </c>
      <c r="Q6" s="369" t="s">
        <v>673</v>
      </c>
      <c r="R6" s="370" t="s">
        <v>674</v>
      </c>
      <c r="S6" s="370" t="s">
        <v>675</v>
      </c>
      <c r="T6" s="349" t="s">
        <v>676</v>
      </c>
      <c r="U6" s="371" t="s">
        <v>677</v>
      </c>
      <c r="V6" s="372" t="s">
        <v>678</v>
      </c>
      <c r="W6" s="371" t="s">
        <v>679</v>
      </c>
      <c r="X6" s="373" t="s">
        <v>680</v>
      </c>
      <c r="Y6" s="349" t="s">
        <v>681</v>
      </c>
      <c r="Z6" s="374" t="s">
        <v>682</v>
      </c>
      <c r="AA6" s="375" t="s">
        <v>683</v>
      </c>
      <c r="AB6" s="375" t="s">
        <v>684</v>
      </c>
      <c r="AC6" s="376" t="s">
        <v>685</v>
      </c>
      <c r="AD6" s="377" t="s">
        <v>682</v>
      </c>
      <c r="AE6" s="375" t="s">
        <v>683</v>
      </c>
      <c r="AF6" s="375" t="s">
        <v>684</v>
      </c>
      <c r="AG6" s="378" t="s">
        <v>685</v>
      </c>
      <c r="AH6" s="374" t="s">
        <v>682</v>
      </c>
      <c r="AI6" s="375" t="s">
        <v>683</v>
      </c>
      <c r="AJ6" s="375" t="s">
        <v>684</v>
      </c>
      <c r="AK6" s="378" t="s">
        <v>685</v>
      </c>
      <c r="AL6" s="379" t="s">
        <v>682</v>
      </c>
      <c r="AM6" s="375" t="s">
        <v>683</v>
      </c>
      <c r="AN6" s="380" t="s">
        <v>684</v>
      </c>
      <c r="AO6" s="381" t="s">
        <v>685</v>
      </c>
      <c r="AP6" s="382" t="s">
        <v>682</v>
      </c>
      <c r="AQ6" s="375" t="s">
        <v>683</v>
      </c>
      <c r="AR6" s="380" t="s">
        <v>684</v>
      </c>
      <c r="AS6" s="381" t="s">
        <v>685</v>
      </c>
      <c r="AT6" s="382" t="s">
        <v>682</v>
      </c>
      <c r="AU6" s="375" t="s">
        <v>683</v>
      </c>
      <c r="AV6" s="380" t="s">
        <v>684</v>
      </c>
      <c r="AW6" s="381" t="s">
        <v>685</v>
      </c>
      <c r="AX6" s="382" t="s">
        <v>682</v>
      </c>
      <c r="AY6" s="375" t="s">
        <v>683</v>
      </c>
      <c r="AZ6" s="380" t="s">
        <v>684</v>
      </c>
      <c r="BA6" s="381" t="s">
        <v>685</v>
      </c>
      <c r="BB6" s="382" t="s">
        <v>682</v>
      </c>
      <c r="BC6" s="375" t="s">
        <v>683</v>
      </c>
      <c r="BD6" s="380" t="s">
        <v>684</v>
      </c>
      <c r="BE6" s="383" t="s">
        <v>685</v>
      </c>
      <c r="BF6" s="379" t="s">
        <v>682</v>
      </c>
      <c r="BG6" s="375" t="s">
        <v>683</v>
      </c>
      <c r="BH6" s="380" t="s">
        <v>684</v>
      </c>
      <c r="BI6" s="383" t="s">
        <v>685</v>
      </c>
      <c r="BJ6" s="379" t="s">
        <v>682</v>
      </c>
      <c r="BK6" s="375" t="s">
        <v>683</v>
      </c>
      <c r="BL6" s="380" t="s">
        <v>684</v>
      </c>
      <c r="BM6" s="383" t="s">
        <v>685</v>
      </c>
      <c r="BN6" s="379" t="s">
        <v>682</v>
      </c>
      <c r="BO6" s="375" t="s">
        <v>683</v>
      </c>
      <c r="BP6" s="380" t="s">
        <v>684</v>
      </c>
      <c r="BQ6" s="383" t="s">
        <v>685</v>
      </c>
      <c r="BR6" s="382" t="s">
        <v>682</v>
      </c>
      <c r="BS6" s="375" t="s">
        <v>683</v>
      </c>
      <c r="BT6" s="380" t="s">
        <v>684</v>
      </c>
      <c r="BU6" s="383" t="s">
        <v>685</v>
      </c>
      <c r="BV6" s="30"/>
      <c r="CA6" s="384" t="s">
        <v>682</v>
      </c>
      <c r="CB6" s="385" t="s">
        <v>684</v>
      </c>
      <c r="CC6" s="386" t="s">
        <v>685</v>
      </c>
      <c r="CD6" s="387" t="s">
        <v>686</v>
      </c>
      <c r="CE6" s="388" t="s">
        <v>687</v>
      </c>
      <c r="CF6" s="389" t="s">
        <v>688</v>
      </c>
      <c r="CG6" s="390" t="s">
        <v>689</v>
      </c>
      <c r="CH6" s="391" t="s">
        <v>690</v>
      </c>
    </row>
    <row r="7" spans="2:86">
      <c r="B7" s="333">
        <v>3</v>
      </c>
      <c r="C7" s="30" t="s">
        <v>66</v>
      </c>
      <c r="D7" s="392" t="s">
        <v>103</v>
      </c>
      <c r="E7" s="37">
        <v>17</v>
      </c>
      <c r="F7" s="29" t="s">
        <v>68</v>
      </c>
      <c r="G7" s="393"/>
      <c r="I7" s="325" t="s">
        <v>0</v>
      </c>
      <c r="J7" s="394">
        <v>2</v>
      </c>
      <c r="K7" s="394" t="s">
        <v>106</v>
      </c>
      <c r="L7" s="32">
        <v>1</v>
      </c>
      <c r="M7" s="168" t="s">
        <v>131</v>
      </c>
      <c r="N7" s="395">
        <v>30000</v>
      </c>
      <c r="O7" s="396">
        <v>25000</v>
      </c>
      <c r="P7" s="396">
        <v>20000</v>
      </c>
      <c r="Q7" s="397">
        <v>0</v>
      </c>
      <c r="R7" s="397">
        <v>0</v>
      </c>
      <c r="S7" s="397">
        <v>0</v>
      </c>
      <c r="T7" s="398">
        <v>2</v>
      </c>
      <c r="U7" s="399">
        <f t="shared" ref="U7:U70" si="0">T7*P7</f>
        <v>40000</v>
      </c>
      <c r="V7" s="400">
        <f t="shared" ref="V7:V70" si="1">T7*(P7-S7)</f>
        <v>40000</v>
      </c>
      <c r="W7" s="401">
        <v>0</v>
      </c>
      <c r="X7" s="402">
        <v>0</v>
      </c>
      <c r="Y7" s="32"/>
      <c r="Z7" s="403">
        <v>0</v>
      </c>
      <c r="AA7" s="404"/>
      <c r="AB7" s="404">
        <v>0</v>
      </c>
      <c r="AC7" s="405">
        <v>0</v>
      </c>
      <c r="AD7" s="406">
        <v>0</v>
      </c>
      <c r="AE7" s="404"/>
      <c r="AF7" s="404">
        <v>0</v>
      </c>
      <c r="AG7" s="407">
        <v>0</v>
      </c>
      <c r="AH7" s="403">
        <v>0</v>
      </c>
      <c r="AI7" s="404"/>
      <c r="AJ7" s="404">
        <v>0</v>
      </c>
      <c r="AK7" s="407">
        <v>0</v>
      </c>
      <c r="AL7" s="403">
        <v>0</v>
      </c>
      <c r="AM7" s="404"/>
      <c r="AN7" s="404">
        <v>0</v>
      </c>
      <c r="AO7" s="405">
        <v>0</v>
      </c>
      <c r="AP7" s="406">
        <v>0</v>
      </c>
      <c r="AQ7" s="404"/>
      <c r="AR7" s="404">
        <v>0</v>
      </c>
      <c r="AS7" s="405">
        <v>0</v>
      </c>
      <c r="AT7" s="406">
        <v>0</v>
      </c>
      <c r="AU7" s="404"/>
      <c r="AV7" s="404">
        <v>0</v>
      </c>
      <c r="AW7" s="405">
        <v>0</v>
      </c>
      <c r="AX7" s="406">
        <v>0</v>
      </c>
      <c r="AY7" s="404"/>
      <c r="AZ7" s="404">
        <v>0</v>
      </c>
      <c r="BA7" s="405">
        <v>0</v>
      </c>
      <c r="BB7" s="406">
        <v>0</v>
      </c>
      <c r="BC7" s="404"/>
      <c r="BD7" s="404">
        <v>0</v>
      </c>
      <c r="BE7" s="407">
        <v>0</v>
      </c>
      <c r="BF7" s="403">
        <v>0</v>
      </c>
      <c r="BG7" s="404"/>
      <c r="BH7" s="404">
        <v>0</v>
      </c>
      <c r="BI7" s="407">
        <v>0</v>
      </c>
      <c r="BJ7" s="403">
        <v>0</v>
      </c>
      <c r="BK7" s="404"/>
      <c r="BL7" s="404">
        <v>0</v>
      </c>
      <c r="BM7" s="407">
        <v>0</v>
      </c>
      <c r="BN7" s="403">
        <v>0</v>
      </c>
      <c r="BO7" s="404"/>
      <c r="BP7" s="404">
        <v>0</v>
      </c>
      <c r="BQ7" s="405">
        <v>0</v>
      </c>
      <c r="BR7" s="406">
        <v>0</v>
      </c>
      <c r="BS7" s="404"/>
      <c r="BT7" s="404">
        <v>0</v>
      </c>
      <c r="BU7" s="407">
        <v>0</v>
      </c>
      <c r="BV7" s="326"/>
      <c r="BZ7" s="408">
        <f>SUM(W7:X7)</f>
        <v>0</v>
      </c>
      <c r="CA7" s="409">
        <f t="shared" ref="CA7:CA70" si="2">Z7+AD7+AH7+AL7+AP7+AT7+AX7+BB7+BF7+BJ7+BN7+BR7</f>
        <v>0</v>
      </c>
      <c r="CB7" s="410">
        <f t="shared" ref="CB7:CC68" si="3">AB7+AF7+AJ7+AN7+AR7+AV7+AZ7+BD7+BH7+BL7+BP7+BT7</f>
        <v>0</v>
      </c>
      <c r="CC7" s="411">
        <f t="shared" si="3"/>
        <v>0</v>
      </c>
      <c r="CD7" s="412" t="str">
        <f t="shared" ref="CD7:CD38" si="4">IF(SUM($Z7:$AG7)&gt;0,$Z$4,IF(SUM($AH7:$AK7)&gt;0,$AH$4,IF(SUM($AL7:$BE7)&gt;0,$AL$4,IF(SUM($BF7:$BI7)&gt;0,$BF$4,IF(SUM($BJ7:$BM7)&gt;0,$BJ$4,IF(SUM($BN7:$BU7)&gt;0,$BN$4,""))))))</f>
        <v/>
      </c>
      <c r="CE7" s="413" t="str">
        <f>IF(VLOOKUP($M7,'[2]OEM Group'!$B$6:$D$22,2,FALSE)&lt;&gt;0,VLOOKUP($M7,'[2]OEM Group'!$B$6:$D$22,2,FALSE),"")</f>
        <v/>
      </c>
      <c r="CF7" s="414" t="str">
        <f>IF(VLOOKUP($M7,'[2]OEM Group'!$B$6:$D$22,3,FALSE)&lt;&gt;0,VLOOKUP($M7,'[2]OEM Group'!$B$6:$D$22,3,FALSE),"")</f>
        <v>Brenton (Promach)</v>
      </c>
      <c r="CG7" s="413" t="str">
        <f>IF(VLOOKUP($M7,'[2]OEM Group'!$B$6:$F$22,4,FALSE)&lt;&gt;"",VLOOKUP($M7,'[2]OEM Group'!$B$6:$F$22,4,FALSE),"")</f>
        <v>Dave Johnston</v>
      </c>
      <c r="CH7" s="414" t="str">
        <f>IF(VLOOKUP($M7,'[2]OEM Group'!$B$6:$F$22,5,FALSE)&lt;&gt;"",VLOOKUP($M7,'[2]OEM Group'!$B$6:$F$22,5,FALSE),"")</f>
        <v>David McCalib</v>
      </c>
    </row>
    <row r="8" spans="2:86">
      <c r="B8" s="333">
        <v>3</v>
      </c>
      <c r="C8" s="30" t="s">
        <v>66</v>
      </c>
      <c r="D8" s="392" t="s">
        <v>103</v>
      </c>
      <c r="E8" s="33">
        <v>18</v>
      </c>
      <c r="F8" s="293" t="s">
        <v>86</v>
      </c>
      <c r="G8" s="393">
        <v>1</v>
      </c>
      <c r="I8" s="325" t="s">
        <v>106</v>
      </c>
      <c r="J8" s="394">
        <v>2</v>
      </c>
      <c r="K8" s="394" t="s">
        <v>0</v>
      </c>
      <c r="L8" s="32">
        <v>1</v>
      </c>
      <c r="M8" s="168" t="s">
        <v>131</v>
      </c>
      <c r="N8" s="415">
        <v>80000</v>
      </c>
      <c r="O8" s="416">
        <v>60000</v>
      </c>
      <c r="P8" s="416">
        <v>50000</v>
      </c>
      <c r="Q8" s="417">
        <v>0</v>
      </c>
      <c r="R8" s="417">
        <v>0</v>
      </c>
      <c r="S8" s="417">
        <v>0</v>
      </c>
      <c r="T8" s="418">
        <v>4</v>
      </c>
      <c r="U8" s="326">
        <f t="shared" si="0"/>
        <v>200000</v>
      </c>
      <c r="V8" s="264">
        <f t="shared" si="1"/>
        <v>200000</v>
      </c>
      <c r="W8" s="419">
        <v>0</v>
      </c>
      <c r="X8" s="420">
        <v>0</v>
      </c>
      <c r="Y8" s="32"/>
      <c r="Z8" s="421">
        <v>0</v>
      </c>
      <c r="AA8" s="422"/>
      <c r="AB8" s="422">
        <v>0</v>
      </c>
      <c r="AC8" s="423">
        <v>0</v>
      </c>
      <c r="AD8" s="424">
        <v>0</v>
      </c>
      <c r="AE8" s="422"/>
      <c r="AF8" s="422">
        <v>0</v>
      </c>
      <c r="AG8" s="425">
        <v>0</v>
      </c>
      <c r="AH8" s="421">
        <v>0</v>
      </c>
      <c r="AI8" s="422"/>
      <c r="AJ8" s="422">
        <v>0</v>
      </c>
      <c r="AK8" s="425">
        <v>0</v>
      </c>
      <c r="AL8" s="421">
        <v>0</v>
      </c>
      <c r="AM8" s="422"/>
      <c r="AN8" s="422">
        <v>0</v>
      </c>
      <c r="AO8" s="423">
        <v>0</v>
      </c>
      <c r="AP8" s="424">
        <v>0</v>
      </c>
      <c r="AQ8" s="422"/>
      <c r="AR8" s="422">
        <v>0</v>
      </c>
      <c r="AS8" s="423">
        <v>0</v>
      </c>
      <c r="AT8" s="424">
        <v>0</v>
      </c>
      <c r="AU8" s="422"/>
      <c r="AV8" s="422">
        <v>0</v>
      </c>
      <c r="AW8" s="423">
        <v>0</v>
      </c>
      <c r="AX8" s="424">
        <v>0</v>
      </c>
      <c r="AY8" s="422"/>
      <c r="AZ8" s="422">
        <v>0</v>
      </c>
      <c r="BA8" s="423">
        <v>0</v>
      </c>
      <c r="BB8" s="424">
        <v>0</v>
      </c>
      <c r="BC8" s="422"/>
      <c r="BD8" s="422">
        <v>0</v>
      </c>
      <c r="BE8" s="425">
        <v>0</v>
      </c>
      <c r="BF8" s="421">
        <v>0</v>
      </c>
      <c r="BG8" s="422"/>
      <c r="BH8" s="422">
        <v>0</v>
      </c>
      <c r="BI8" s="425">
        <v>0</v>
      </c>
      <c r="BJ8" s="421">
        <v>0</v>
      </c>
      <c r="BK8" s="422"/>
      <c r="BL8" s="422">
        <v>0</v>
      </c>
      <c r="BM8" s="425">
        <v>0</v>
      </c>
      <c r="BN8" s="421">
        <v>0</v>
      </c>
      <c r="BO8" s="422"/>
      <c r="BP8" s="422">
        <v>0</v>
      </c>
      <c r="BQ8" s="423">
        <v>0</v>
      </c>
      <c r="BR8" s="424">
        <v>0</v>
      </c>
      <c r="BS8" s="422"/>
      <c r="BT8" s="422">
        <v>0</v>
      </c>
      <c r="BU8" s="425">
        <v>0</v>
      </c>
      <c r="BV8" s="326"/>
      <c r="BZ8" s="408">
        <f t="shared" ref="BZ8:BZ71" si="5">SUM(W8:X8)</f>
        <v>0</v>
      </c>
      <c r="CA8" s="426">
        <f t="shared" si="2"/>
        <v>0</v>
      </c>
      <c r="CB8" s="427">
        <f t="shared" si="3"/>
        <v>0</v>
      </c>
      <c r="CC8" s="428">
        <f t="shared" si="3"/>
        <v>0</v>
      </c>
      <c r="CD8" s="412" t="str">
        <f t="shared" si="4"/>
        <v/>
      </c>
      <c r="CE8" s="413" t="str">
        <f>IF(VLOOKUP($M8,'[2]OEM Group'!$B$6:$D$22,2,FALSE)&lt;&gt;0,VLOOKUP($M8,'[2]OEM Group'!$B$6:$D$22,2,FALSE),"")</f>
        <v/>
      </c>
      <c r="CF8" s="414" t="str">
        <f>IF(VLOOKUP($M8,'[2]OEM Group'!$B$6:$D$22,3,FALSE)&lt;&gt;0,VLOOKUP($M8,'[2]OEM Group'!$B$6:$D$22,3,FALSE),"")</f>
        <v>Brenton (Promach)</v>
      </c>
      <c r="CG8" s="413" t="str">
        <f>IF(VLOOKUP($M8,'[2]OEM Group'!$B$6:$F$22,4,FALSE)&lt;&gt;"",VLOOKUP($M8,'[2]OEM Group'!$B$6:$F$22,4,FALSE),"")</f>
        <v>Dave Johnston</v>
      </c>
      <c r="CH8" s="414" t="str">
        <f>IF(VLOOKUP($M8,'[2]OEM Group'!$B$6:$F$22,5,FALSE)&lt;&gt;"",VLOOKUP($M8,'[2]OEM Group'!$B$6:$F$22,5,FALSE),"")</f>
        <v>David McCalib</v>
      </c>
    </row>
    <row r="9" spans="2:86">
      <c r="B9" s="333">
        <v>3</v>
      </c>
      <c r="C9" s="30" t="s">
        <v>66</v>
      </c>
      <c r="D9" s="392" t="s">
        <v>103</v>
      </c>
      <c r="E9" s="33">
        <v>19</v>
      </c>
      <c r="F9" s="293" t="s">
        <v>146</v>
      </c>
      <c r="G9" s="393">
        <v>1</v>
      </c>
      <c r="I9" s="325" t="s">
        <v>106</v>
      </c>
      <c r="J9" s="394">
        <v>2</v>
      </c>
      <c r="K9" s="394" t="s">
        <v>106</v>
      </c>
      <c r="L9" s="32">
        <v>1</v>
      </c>
      <c r="M9" s="168" t="s">
        <v>131</v>
      </c>
      <c r="N9" s="415">
        <v>45000</v>
      </c>
      <c r="O9" s="416">
        <v>40000</v>
      </c>
      <c r="P9" s="416">
        <v>30000</v>
      </c>
      <c r="Q9" s="417">
        <v>0</v>
      </c>
      <c r="R9" s="417">
        <v>0</v>
      </c>
      <c r="S9" s="417">
        <v>0</v>
      </c>
      <c r="T9" s="418">
        <v>2</v>
      </c>
      <c r="U9" s="326">
        <f t="shared" si="0"/>
        <v>60000</v>
      </c>
      <c r="V9" s="264">
        <f t="shared" si="1"/>
        <v>60000</v>
      </c>
      <c r="W9" s="419">
        <v>0</v>
      </c>
      <c r="X9" s="420">
        <v>0</v>
      </c>
      <c r="Y9" s="32"/>
      <c r="Z9" s="421">
        <v>0</v>
      </c>
      <c r="AA9" s="422"/>
      <c r="AB9" s="422">
        <v>0</v>
      </c>
      <c r="AC9" s="423">
        <v>0</v>
      </c>
      <c r="AD9" s="424">
        <v>0</v>
      </c>
      <c r="AE9" s="422"/>
      <c r="AF9" s="422">
        <v>0</v>
      </c>
      <c r="AG9" s="425">
        <v>0</v>
      </c>
      <c r="AH9" s="421">
        <v>0</v>
      </c>
      <c r="AI9" s="422"/>
      <c r="AJ9" s="422">
        <v>0</v>
      </c>
      <c r="AK9" s="425">
        <v>0</v>
      </c>
      <c r="AL9" s="421">
        <v>0</v>
      </c>
      <c r="AM9" s="422"/>
      <c r="AN9" s="422">
        <v>0</v>
      </c>
      <c r="AO9" s="423">
        <v>0</v>
      </c>
      <c r="AP9" s="424">
        <v>0</v>
      </c>
      <c r="AQ9" s="422"/>
      <c r="AR9" s="422">
        <v>0</v>
      </c>
      <c r="AS9" s="423">
        <v>0</v>
      </c>
      <c r="AT9" s="424">
        <v>0</v>
      </c>
      <c r="AU9" s="422"/>
      <c r="AV9" s="422">
        <v>0</v>
      </c>
      <c r="AW9" s="423">
        <v>0</v>
      </c>
      <c r="AX9" s="424">
        <v>0</v>
      </c>
      <c r="AY9" s="422"/>
      <c r="AZ9" s="422">
        <v>0</v>
      </c>
      <c r="BA9" s="423">
        <v>0</v>
      </c>
      <c r="BB9" s="424">
        <v>0</v>
      </c>
      <c r="BC9" s="422"/>
      <c r="BD9" s="422">
        <v>0</v>
      </c>
      <c r="BE9" s="425">
        <v>0</v>
      </c>
      <c r="BF9" s="421">
        <v>0</v>
      </c>
      <c r="BG9" s="422"/>
      <c r="BH9" s="422">
        <v>0</v>
      </c>
      <c r="BI9" s="425">
        <v>0</v>
      </c>
      <c r="BJ9" s="421">
        <v>0</v>
      </c>
      <c r="BK9" s="422"/>
      <c r="BL9" s="422">
        <v>0</v>
      </c>
      <c r="BM9" s="425">
        <v>0</v>
      </c>
      <c r="BN9" s="421">
        <v>0</v>
      </c>
      <c r="BO9" s="422"/>
      <c r="BP9" s="422">
        <v>0</v>
      </c>
      <c r="BQ9" s="423">
        <v>0</v>
      </c>
      <c r="BR9" s="424">
        <v>0</v>
      </c>
      <c r="BS9" s="422"/>
      <c r="BT9" s="422">
        <v>0</v>
      </c>
      <c r="BU9" s="425">
        <v>0</v>
      </c>
      <c r="BV9" s="326"/>
      <c r="BZ9" s="408">
        <f t="shared" si="5"/>
        <v>0</v>
      </c>
      <c r="CA9" s="426">
        <f t="shared" si="2"/>
        <v>0</v>
      </c>
      <c r="CB9" s="427">
        <f t="shared" si="3"/>
        <v>0</v>
      </c>
      <c r="CC9" s="428">
        <f t="shared" si="3"/>
        <v>0</v>
      </c>
      <c r="CD9" s="412" t="str">
        <f t="shared" si="4"/>
        <v/>
      </c>
      <c r="CE9" s="413" t="str">
        <f>IF(VLOOKUP($M9,'[2]OEM Group'!$B$6:$D$22,2,FALSE)&lt;&gt;0,VLOOKUP($M9,'[2]OEM Group'!$B$6:$D$22,2,FALSE),"")</f>
        <v/>
      </c>
      <c r="CF9" s="414" t="str">
        <f>IF(VLOOKUP($M9,'[2]OEM Group'!$B$6:$D$22,3,FALSE)&lt;&gt;0,VLOOKUP($M9,'[2]OEM Group'!$B$6:$D$22,3,FALSE),"")</f>
        <v>Brenton (Promach)</v>
      </c>
      <c r="CG9" s="413" t="str">
        <f>IF(VLOOKUP($M9,'[2]OEM Group'!$B$6:$F$22,4,FALSE)&lt;&gt;"",VLOOKUP($M9,'[2]OEM Group'!$B$6:$F$22,4,FALSE),"")</f>
        <v>Dave Johnston</v>
      </c>
      <c r="CH9" s="414" t="str">
        <f>IF(VLOOKUP($M9,'[2]OEM Group'!$B$6:$F$22,5,FALSE)&lt;&gt;"",VLOOKUP($M9,'[2]OEM Group'!$B$6:$F$22,5,FALSE),"")</f>
        <v>David McCalib</v>
      </c>
    </row>
    <row r="10" spans="2:86">
      <c r="B10" s="333">
        <v>3</v>
      </c>
      <c r="C10" s="30" t="s">
        <v>66</v>
      </c>
      <c r="D10" s="392" t="s">
        <v>103</v>
      </c>
      <c r="E10" s="33">
        <v>22</v>
      </c>
      <c r="F10" s="293" t="s">
        <v>147</v>
      </c>
      <c r="G10" s="393">
        <v>1</v>
      </c>
      <c r="I10" s="325" t="s">
        <v>106</v>
      </c>
      <c r="J10" s="394">
        <v>2</v>
      </c>
      <c r="K10" s="394" t="s">
        <v>106</v>
      </c>
      <c r="L10" s="32">
        <v>1</v>
      </c>
      <c r="M10" s="168" t="s">
        <v>131</v>
      </c>
      <c r="N10" s="415">
        <v>45000</v>
      </c>
      <c r="O10" s="416">
        <v>40000</v>
      </c>
      <c r="P10" s="416">
        <v>30000</v>
      </c>
      <c r="Q10" s="417">
        <v>0</v>
      </c>
      <c r="R10" s="417">
        <v>0</v>
      </c>
      <c r="S10" s="417">
        <v>0</v>
      </c>
      <c r="T10" s="418">
        <v>8</v>
      </c>
      <c r="U10" s="326">
        <f t="shared" si="0"/>
        <v>240000</v>
      </c>
      <c r="V10" s="264">
        <f t="shared" si="1"/>
        <v>240000</v>
      </c>
      <c r="W10" s="419">
        <v>0</v>
      </c>
      <c r="X10" s="420">
        <v>0</v>
      </c>
      <c r="Y10" s="32"/>
      <c r="Z10" s="421">
        <v>0</v>
      </c>
      <c r="AA10" s="422"/>
      <c r="AB10" s="422">
        <v>0</v>
      </c>
      <c r="AC10" s="423">
        <v>0</v>
      </c>
      <c r="AD10" s="424">
        <v>0</v>
      </c>
      <c r="AE10" s="422"/>
      <c r="AF10" s="422">
        <v>0</v>
      </c>
      <c r="AG10" s="425">
        <v>0</v>
      </c>
      <c r="AH10" s="421">
        <v>0</v>
      </c>
      <c r="AI10" s="422"/>
      <c r="AJ10" s="422">
        <v>0</v>
      </c>
      <c r="AK10" s="425">
        <v>0</v>
      </c>
      <c r="AL10" s="421">
        <v>0</v>
      </c>
      <c r="AM10" s="422"/>
      <c r="AN10" s="422">
        <v>0</v>
      </c>
      <c r="AO10" s="423">
        <v>0</v>
      </c>
      <c r="AP10" s="424">
        <v>0</v>
      </c>
      <c r="AQ10" s="422"/>
      <c r="AR10" s="422">
        <v>0</v>
      </c>
      <c r="AS10" s="423">
        <v>0</v>
      </c>
      <c r="AT10" s="424">
        <v>0</v>
      </c>
      <c r="AU10" s="422"/>
      <c r="AV10" s="422">
        <v>0</v>
      </c>
      <c r="AW10" s="423">
        <v>0</v>
      </c>
      <c r="AX10" s="424">
        <v>0</v>
      </c>
      <c r="AY10" s="422"/>
      <c r="AZ10" s="422">
        <v>0</v>
      </c>
      <c r="BA10" s="423">
        <v>0</v>
      </c>
      <c r="BB10" s="424">
        <v>0</v>
      </c>
      <c r="BC10" s="422"/>
      <c r="BD10" s="422">
        <v>0</v>
      </c>
      <c r="BE10" s="425">
        <v>0</v>
      </c>
      <c r="BF10" s="421">
        <v>0</v>
      </c>
      <c r="BG10" s="422"/>
      <c r="BH10" s="422">
        <v>0</v>
      </c>
      <c r="BI10" s="425">
        <v>0</v>
      </c>
      <c r="BJ10" s="421">
        <v>0</v>
      </c>
      <c r="BK10" s="422"/>
      <c r="BL10" s="422">
        <v>0</v>
      </c>
      <c r="BM10" s="425">
        <v>0</v>
      </c>
      <c r="BN10" s="421">
        <v>0</v>
      </c>
      <c r="BO10" s="422"/>
      <c r="BP10" s="422">
        <v>0</v>
      </c>
      <c r="BQ10" s="423">
        <v>0</v>
      </c>
      <c r="BR10" s="424">
        <v>0</v>
      </c>
      <c r="BS10" s="422"/>
      <c r="BT10" s="422">
        <v>0</v>
      </c>
      <c r="BU10" s="425">
        <v>0</v>
      </c>
      <c r="BV10" s="326"/>
      <c r="BZ10" s="408">
        <f t="shared" si="5"/>
        <v>0</v>
      </c>
      <c r="CA10" s="426">
        <f t="shared" si="2"/>
        <v>0</v>
      </c>
      <c r="CB10" s="427">
        <f t="shared" si="3"/>
        <v>0</v>
      </c>
      <c r="CC10" s="428">
        <f t="shared" si="3"/>
        <v>0</v>
      </c>
      <c r="CD10" s="412" t="str">
        <f t="shared" si="4"/>
        <v/>
      </c>
      <c r="CE10" s="413" t="str">
        <f>IF(VLOOKUP($M10,'[2]OEM Group'!$B$6:$D$22,2,FALSE)&lt;&gt;0,VLOOKUP($M10,'[2]OEM Group'!$B$6:$D$22,2,FALSE),"")</f>
        <v/>
      </c>
      <c r="CF10" s="414" t="str">
        <f>IF(VLOOKUP($M10,'[2]OEM Group'!$B$6:$D$22,3,FALSE)&lt;&gt;0,VLOOKUP($M10,'[2]OEM Group'!$B$6:$D$22,3,FALSE),"")</f>
        <v>Brenton (Promach)</v>
      </c>
      <c r="CG10" s="413" t="str">
        <f>IF(VLOOKUP($M10,'[2]OEM Group'!$B$6:$F$22,4,FALSE)&lt;&gt;"",VLOOKUP($M10,'[2]OEM Group'!$B$6:$F$22,4,FALSE),"")</f>
        <v>Dave Johnston</v>
      </c>
      <c r="CH10" s="414" t="str">
        <f>IF(VLOOKUP($M10,'[2]OEM Group'!$B$6:$F$22,5,FALSE)&lt;&gt;"",VLOOKUP($M10,'[2]OEM Group'!$B$6:$F$22,5,FALSE),"")</f>
        <v>David McCalib</v>
      </c>
    </row>
    <row r="11" spans="2:86">
      <c r="B11" s="333">
        <v>3</v>
      </c>
      <c r="C11" s="30" t="s">
        <v>66</v>
      </c>
      <c r="D11" s="392" t="s">
        <v>103</v>
      </c>
      <c r="E11" s="33">
        <v>20</v>
      </c>
      <c r="F11" s="293" t="s">
        <v>136</v>
      </c>
      <c r="G11" s="393" t="s">
        <v>0</v>
      </c>
      <c r="I11" s="325" t="s">
        <v>106</v>
      </c>
      <c r="J11" s="394">
        <v>2</v>
      </c>
      <c r="K11" s="394" t="s">
        <v>106</v>
      </c>
      <c r="L11" s="32">
        <v>1</v>
      </c>
      <c r="M11" s="168" t="s">
        <v>137</v>
      </c>
      <c r="N11" s="415">
        <v>45000</v>
      </c>
      <c r="O11" s="416">
        <v>40000</v>
      </c>
      <c r="P11" s="416">
        <v>30000</v>
      </c>
      <c r="Q11" s="417">
        <v>0</v>
      </c>
      <c r="R11" s="417">
        <v>0</v>
      </c>
      <c r="S11" s="417">
        <v>0</v>
      </c>
      <c r="T11" s="418">
        <v>2</v>
      </c>
      <c r="U11" s="326">
        <f t="shared" si="0"/>
        <v>60000</v>
      </c>
      <c r="V11" s="264">
        <f t="shared" si="1"/>
        <v>60000</v>
      </c>
      <c r="W11" s="419">
        <v>0</v>
      </c>
      <c r="X11" s="420">
        <v>0</v>
      </c>
      <c r="Y11" s="32"/>
      <c r="Z11" s="421">
        <v>0</v>
      </c>
      <c r="AA11" s="422"/>
      <c r="AB11" s="422">
        <v>0</v>
      </c>
      <c r="AC11" s="423">
        <v>0</v>
      </c>
      <c r="AD11" s="424">
        <v>0</v>
      </c>
      <c r="AE11" s="422"/>
      <c r="AF11" s="422">
        <v>0</v>
      </c>
      <c r="AG11" s="425">
        <v>0</v>
      </c>
      <c r="AH11" s="421">
        <v>0</v>
      </c>
      <c r="AI11" s="422"/>
      <c r="AJ11" s="422">
        <v>0</v>
      </c>
      <c r="AK11" s="425">
        <v>0</v>
      </c>
      <c r="AL11" s="421">
        <v>0</v>
      </c>
      <c r="AM11" s="422"/>
      <c r="AN11" s="422">
        <v>0</v>
      </c>
      <c r="AO11" s="423">
        <v>0</v>
      </c>
      <c r="AP11" s="424">
        <v>0</v>
      </c>
      <c r="AQ11" s="422"/>
      <c r="AR11" s="422">
        <v>0</v>
      </c>
      <c r="AS11" s="423">
        <v>0</v>
      </c>
      <c r="AT11" s="424">
        <v>0</v>
      </c>
      <c r="AU11" s="422"/>
      <c r="AV11" s="422">
        <v>0</v>
      </c>
      <c r="AW11" s="423">
        <v>0</v>
      </c>
      <c r="AX11" s="424">
        <v>0</v>
      </c>
      <c r="AY11" s="422"/>
      <c r="AZ11" s="422">
        <v>0</v>
      </c>
      <c r="BA11" s="423">
        <v>0</v>
      </c>
      <c r="BB11" s="424">
        <v>0</v>
      </c>
      <c r="BC11" s="422"/>
      <c r="BD11" s="422">
        <v>0</v>
      </c>
      <c r="BE11" s="425">
        <v>0</v>
      </c>
      <c r="BF11" s="421">
        <v>0</v>
      </c>
      <c r="BG11" s="422"/>
      <c r="BH11" s="422">
        <v>0</v>
      </c>
      <c r="BI11" s="425">
        <v>0</v>
      </c>
      <c r="BJ11" s="421">
        <v>0</v>
      </c>
      <c r="BK11" s="422"/>
      <c r="BL11" s="422">
        <v>0</v>
      </c>
      <c r="BM11" s="425">
        <v>0</v>
      </c>
      <c r="BN11" s="421">
        <v>0</v>
      </c>
      <c r="BO11" s="422"/>
      <c r="BP11" s="422">
        <v>0</v>
      </c>
      <c r="BQ11" s="423">
        <v>0</v>
      </c>
      <c r="BR11" s="424">
        <v>0</v>
      </c>
      <c r="BS11" s="422"/>
      <c r="BT11" s="422">
        <v>0</v>
      </c>
      <c r="BU11" s="425">
        <v>0</v>
      </c>
      <c r="BV11" s="326"/>
      <c r="BZ11" s="408">
        <f t="shared" si="5"/>
        <v>0</v>
      </c>
      <c r="CA11" s="426">
        <f t="shared" si="2"/>
        <v>0</v>
      </c>
      <c r="CB11" s="427">
        <f t="shared" si="3"/>
        <v>0</v>
      </c>
      <c r="CC11" s="428">
        <f t="shared" si="3"/>
        <v>0</v>
      </c>
      <c r="CD11" s="412" t="str">
        <f t="shared" si="4"/>
        <v/>
      </c>
      <c r="CE11" s="413" t="str">
        <f>IF(VLOOKUP($M11,'[2]OEM Group'!$B$6:$D$22,2,FALSE)&lt;&gt;0,VLOOKUP($M11,'[2]OEM Group'!$B$6:$D$22,2,FALSE),"")</f>
        <v>Shuttleworth (Promach)</v>
      </c>
      <c r="CF11" s="414" t="str">
        <f>IF(VLOOKUP($M11,'[2]OEM Group'!$B$6:$D$22,3,FALSE)&lt;&gt;0,VLOOKUP($M11,'[2]OEM Group'!$B$6:$D$22,3,FALSE),"")</f>
        <v/>
      </c>
      <c r="CG11" s="413" t="str">
        <f>IF(VLOOKUP($M11,'[2]OEM Group'!$B$6:$F$22,4,FALSE)&lt;&gt;"",VLOOKUP($M11,'[2]OEM Group'!$B$6:$F$22,4,FALSE),"")</f>
        <v>Aravind Durai</v>
      </c>
      <c r="CH11" s="414" t="str">
        <f>IF(VLOOKUP($M11,'[2]OEM Group'!$B$6:$F$22,5,FALSE)&lt;&gt;"",VLOOKUP($M11,'[2]OEM Group'!$B$6:$F$22,5,FALSE),"")</f>
        <v>David McCalib</v>
      </c>
    </row>
    <row r="12" spans="2:86">
      <c r="B12" s="333">
        <v>3</v>
      </c>
      <c r="C12" s="30" t="s">
        <v>66</v>
      </c>
      <c r="D12" s="392" t="s">
        <v>103</v>
      </c>
      <c r="E12" s="33">
        <v>21</v>
      </c>
      <c r="F12" s="293" t="s">
        <v>138</v>
      </c>
      <c r="G12" s="393"/>
      <c r="J12" s="394">
        <v>2</v>
      </c>
      <c r="K12" s="394" t="s">
        <v>106</v>
      </c>
      <c r="L12" s="32">
        <v>1</v>
      </c>
      <c r="M12" s="168" t="s">
        <v>137</v>
      </c>
      <c r="N12" s="415">
        <v>40000</v>
      </c>
      <c r="O12" s="416">
        <v>30000</v>
      </c>
      <c r="P12" s="416">
        <v>25000</v>
      </c>
      <c r="Q12" s="417">
        <v>0</v>
      </c>
      <c r="R12" s="417">
        <v>0</v>
      </c>
      <c r="S12" s="417">
        <v>0</v>
      </c>
      <c r="T12" s="418">
        <v>2</v>
      </c>
      <c r="U12" s="326">
        <f t="shared" si="0"/>
        <v>50000</v>
      </c>
      <c r="V12" s="264">
        <f t="shared" si="1"/>
        <v>50000</v>
      </c>
      <c r="W12" s="419">
        <v>35000</v>
      </c>
      <c r="X12" s="420">
        <v>100000</v>
      </c>
      <c r="Y12" s="32"/>
      <c r="Z12" s="421">
        <v>0</v>
      </c>
      <c r="AA12" s="422"/>
      <c r="AB12" s="422">
        <v>0</v>
      </c>
      <c r="AC12" s="423">
        <v>0</v>
      </c>
      <c r="AD12" s="424">
        <v>0</v>
      </c>
      <c r="AE12" s="422"/>
      <c r="AF12" s="422">
        <v>0</v>
      </c>
      <c r="AG12" s="425">
        <v>0</v>
      </c>
      <c r="AH12" s="421">
        <v>0</v>
      </c>
      <c r="AI12" s="422"/>
      <c r="AJ12" s="422">
        <v>0</v>
      </c>
      <c r="AK12" s="425">
        <v>0</v>
      </c>
      <c r="AL12" s="421">
        <v>0</v>
      </c>
      <c r="AM12" s="422"/>
      <c r="AN12" s="422">
        <v>0</v>
      </c>
      <c r="AO12" s="423">
        <v>0</v>
      </c>
      <c r="AP12" s="424">
        <v>0</v>
      </c>
      <c r="AQ12" s="422"/>
      <c r="AR12" s="422">
        <v>0</v>
      </c>
      <c r="AS12" s="423">
        <v>0</v>
      </c>
      <c r="AT12" s="424">
        <v>0</v>
      </c>
      <c r="AU12" s="422"/>
      <c r="AV12" s="422">
        <v>0</v>
      </c>
      <c r="AW12" s="423">
        <v>0</v>
      </c>
      <c r="AX12" s="424">
        <v>0</v>
      </c>
      <c r="AY12" s="422"/>
      <c r="AZ12" s="422">
        <v>0</v>
      </c>
      <c r="BA12" s="423">
        <v>0</v>
      </c>
      <c r="BB12" s="424">
        <v>0</v>
      </c>
      <c r="BC12" s="422"/>
      <c r="BD12" s="422">
        <v>0</v>
      </c>
      <c r="BE12" s="425">
        <v>0</v>
      </c>
      <c r="BF12" s="421">
        <v>0</v>
      </c>
      <c r="BG12" s="422"/>
      <c r="BH12" s="422">
        <v>0</v>
      </c>
      <c r="BI12" s="425">
        <v>0</v>
      </c>
      <c r="BJ12" s="421">
        <v>1</v>
      </c>
      <c r="BK12" s="422"/>
      <c r="BL12" s="422">
        <v>1</v>
      </c>
      <c r="BM12" s="425">
        <v>1</v>
      </c>
      <c r="BN12" s="421">
        <v>0</v>
      </c>
      <c r="BO12" s="422"/>
      <c r="BP12" s="422">
        <v>0</v>
      </c>
      <c r="BQ12" s="423">
        <v>0</v>
      </c>
      <c r="BR12" s="424">
        <v>0</v>
      </c>
      <c r="BS12" s="422"/>
      <c r="BT12" s="422">
        <v>0</v>
      </c>
      <c r="BU12" s="425">
        <v>0</v>
      </c>
      <c r="BV12" s="326"/>
      <c r="BZ12" s="408">
        <f t="shared" si="5"/>
        <v>135000</v>
      </c>
      <c r="CA12" s="426">
        <f t="shared" si="2"/>
        <v>1</v>
      </c>
      <c r="CB12" s="427">
        <f t="shared" si="3"/>
        <v>1</v>
      </c>
      <c r="CC12" s="428">
        <f t="shared" si="3"/>
        <v>1</v>
      </c>
      <c r="CD12" s="412" t="str">
        <f t="shared" si="4"/>
        <v>Compartment handling</v>
      </c>
      <c r="CE12" s="413" t="str">
        <f>IF(VLOOKUP($M12,'[2]OEM Group'!$B$6:$D$22,2,FALSE)&lt;&gt;0,VLOOKUP($M12,'[2]OEM Group'!$B$6:$D$22,2,FALSE),"")</f>
        <v>Shuttleworth (Promach)</v>
      </c>
      <c r="CF12" s="414" t="str">
        <f>IF(VLOOKUP($M12,'[2]OEM Group'!$B$6:$D$22,3,FALSE)&lt;&gt;0,VLOOKUP($M12,'[2]OEM Group'!$B$6:$D$22,3,FALSE),"")</f>
        <v/>
      </c>
      <c r="CG12" s="413" t="str">
        <f>IF(VLOOKUP($M12,'[2]OEM Group'!$B$6:$F$22,4,FALSE)&lt;&gt;"",VLOOKUP($M12,'[2]OEM Group'!$B$6:$F$22,4,FALSE),"")</f>
        <v>Aravind Durai</v>
      </c>
      <c r="CH12" s="414" t="str">
        <f>IF(VLOOKUP($M12,'[2]OEM Group'!$B$6:$F$22,5,FALSE)&lt;&gt;"",VLOOKUP($M12,'[2]OEM Group'!$B$6:$F$22,5,FALSE),"")</f>
        <v>David McCalib</v>
      </c>
    </row>
    <row r="13" spans="2:86">
      <c r="B13" s="333">
        <v>3</v>
      </c>
      <c r="C13" s="30" t="s">
        <v>66</v>
      </c>
      <c r="D13" s="392" t="s">
        <v>103</v>
      </c>
      <c r="E13" s="33">
        <v>23</v>
      </c>
      <c r="F13" s="293" t="s">
        <v>140</v>
      </c>
      <c r="G13" s="393" t="s">
        <v>0</v>
      </c>
      <c r="I13" s="325" t="s">
        <v>106</v>
      </c>
      <c r="J13" s="394">
        <v>2</v>
      </c>
      <c r="K13" s="394" t="s">
        <v>106</v>
      </c>
      <c r="L13" s="32" t="s">
        <v>0</v>
      </c>
      <c r="M13" s="168" t="s">
        <v>137</v>
      </c>
      <c r="N13" s="415">
        <v>45000</v>
      </c>
      <c r="O13" s="416">
        <v>40000</v>
      </c>
      <c r="P13" s="416">
        <v>30000</v>
      </c>
      <c r="Q13" s="417">
        <v>0</v>
      </c>
      <c r="R13" s="417">
        <v>0</v>
      </c>
      <c r="S13" s="417">
        <v>0</v>
      </c>
      <c r="T13" s="418">
        <v>8</v>
      </c>
      <c r="U13" s="326">
        <f t="shared" si="0"/>
        <v>240000</v>
      </c>
      <c r="V13" s="264">
        <f t="shared" si="1"/>
        <v>240000</v>
      </c>
      <c r="W13" s="419">
        <v>35000</v>
      </c>
      <c r="X13" s="420">
        <v>125000</v>
      </c>
      <c r="Y13" s="32"/>
      <c r="Z13" s="421">
        <v>0</v>
      </c>
      <c r="AA13" s="422"/>
      <c r="AB13" s="422">
        <v>0</v>
      </c>
      <c r="AC13" s="423">
        <v>0</v>
      </c>
      <c r="AD13" s="424">
        <v>0</v>
      </c>
      <c r="AE13" s="422"/>
      <c r="AF13" s="422">
        <v>0</v>
      </c>
      <c r="AG13" s="425">
        <v>0</v>
      </c>
      <c r="AH13" s="421">
        <v>0</v>
      </c>
      <c r="AI13" s="422"/>
      <c r="AJ13" s="422">
        <v>0</v>
      </c>
      <c r="AK13" s="425">
        <v>0</v>
      </c>
      <c r="AL13" s="421">
        <v>0</v>
      </c>
      <c r="AM13" s="422"/>
      <c r="AN13" s="422">
        <v>0</v>
      </c>
      <c r="AO13" s="423">
        <v>0</v>
      </c>
      <c r="AP13" s="424">
        <v>0</v>
      </c>
      <c r="AQ13" s="422"/>
      <c r="AR13" s="422">
        <v>0</v>
      </c>
      <c r="AS13" s="423">
        <v>0</v>
      </c>
      <c r="AT13" s="424">
        <v>0</v>
      </c>
      <c r="AU13" s="422"/>
      <c r="AV13" s="422">
        <v>0</v>
      </c>
      <c r="AW13" s="423">
        <v>0</v>
      </c>
      <c r="AX13" s="424">
        <v>0</v>
      </c>
      <c r="AY13" s="422"/>
      <c r="AZ13" s="422">
        <v>0</v>
      </c>
      <c r="BA13" s="423">
        <v>0</v>
      </c>
      <c r="BB13" s="424">
        <v>0</v>
      </c>
      <c r="BC13" s="422"/>
      <c r="BD13" s="422">
        <v>0</v>
      </c>
      <c r="BE13" s="425">
        <v>0</v>
      </c>
      <c r="BF13" s="421">
        <v>0</v>
      </c>
      <c r="BG13" s="422"/>
      <c r="BH13" s="422">
        <v>0</v>
      </c>
      <c r="BI13" s="425">
        <v>0</v>
      </c>
      <c r="BJ13" s="421">
        <v>1</v>
      </c>
      <c r="BK13" s="422"/>
      <c r="BL13" s="422">
        <v>1</v>
      </c>
      <c r="BM13" s="425">
        <v>1</v>
      </c>
      <c r="BN13" s="421">
        <v>0</v>
      </c>
      <c r="BO13" s="422"/>
      <c r="BP13" s="422">
        <v>0</v>
      </c>
      <c r="BQ13" s="423">
        <v>0</v>
      </c>
      <c r="BR13" s="424">
        <v>0</v>
      </c>
      <c r="BS13" s="422"/>
      <c r="BT13" s="422">
        <v>0</v>
      </c>
      <c r="BU13" s="425">
        <v>0</v>
      </c>
      <c r="BV13" s="326"/>
      <c r="BZ13" s="408">
        <f t="shared" si="5"/>
        <v>160000</v>
      </c>
      <c r="CA13" s="426">
        <f t="shared" si="2"/>
        <v>1</v>
      </c>
      <c r="CB13" s="427">
        <f t="shared" si="3"/>
        <v>1</v>
      </c>
      <c r="CC13" s="428">
        <f t="shared" si="3"/>
        <v>1</v>
      </c>
      <c r="CD13" s="412" t="str">
        <f t="shared" si="4"/>
        <v>Compartment handling</v>
      </c>
      <c r="CE13" s="413" t="str">
        <f>IF(VLOOKUP($M13,'[2]OEM Group'!$B$6:$D$22,2,FALSE)&lt;&gt;0,VLOOKUP($M13,'[2]OEM Group'!$B$6:$D$22,2,FALSE),"")</f>
        <v>Shuttleworth (Promach)</v>
      </c>
      <c r="CF13" s="414" t="str">
        <f>IF(VLOOKUP($M13,'[2]OEM Group'!$B$6:$D$22,3,FALSE)&lt;&gt;0,VLOOKUP($M13,'[2]OEM Group'!$B$6:$D$22,3,FALSE),"")</f>
        <v/>
      </c>
      <c r="CG13" s="413" t="str">
        <f>IF(VLOOKUP($M13,'[2]OEM Group'!$B$6:$F$22,4,FALSE)&lt;&gt;"",VLOOKUP($M13,'[2]OEM Group'!$B$6:$F$22,4,FALSE),"")</f>
        <v>Aravind Durai</v>
      </c>
      <c r="CH13" s="414" t="str">
        <f>IF(VLOOKUP($M13,'[2]OEM Group'!$B$6:$F$22,5,FALSE)&lt;&gt;"",VLOOKUP($M13,'[2]OEM Group'!$B$6:$F$22,5,FALSE),"")</f>
        <v>David McCalib</v>
      </c>
    </row>
    <row r="14" spans="2:86">
      <c r="B14" s="333">
        <v>3</v>
      </c>
      <c r="C14" s="30" t="s">
        <v>66</v>
      </c>
      <c r="D14" s="392" t="s">
        <v>103</v>
      </c>
      <c r="E14" s="33">
        <v>24</v>
      </c>
      <c r="F14" s="293" t="s">
        <v>67</v>
      </c>
      <c r="G14" s="393"/>
      <c r="J14" s="394">
        <v>2</v>
      </c>
      <c r="K14" s="394" t="s">
        <v>106</v>
      </c>
      <c r="L14" s="32">
        <v>1</v>
      </c>
      <c r="M14" s="168" t="s">
        <v>137</v>
      </c>
      <c r="N14" s="415">
        <v>20000</v>
      </c>
      <c r="O14" s="416">
        <v>15000</v>
      </c>
      <c r="P14" s="416">
        <v>12000</v>
      </c>
      <c r="Q14" s="417">
        <v>0</v>
      </c>
      <c r="R14" s="417">
        <v>0</v>
      </c>
      <c r="S14" s="417">
        <v>0</v>
      </c>
      <c r="T14" s="418">
        <v>2</v>
      </c>
      <c r="U14" s="326">
        <f t="shared" si="0"/>
        <v>24000</v>
      </c>
      <c r="V14" s="264">
        <f t="shared" si="1"/>
        <v>24000</v>
      </c>
      <c r="W14" s="419">
        <v>15000</v>
      </c>
      <c r="X14" s="420">
        <v>50000</v>
      </c>
      <c r="Y14" s="32"/>
      <c r="Z14" s="421">
        <v>0</v>
      </c>
      <c r="AA14" s="422"/>
      <c r="AB14" s="422">
        <v>0</v>
      </c>
      <c r="AC14" s="423">
        <v>0</v>
      </c>
      <c r="AD14" s="424">
        <v>0</v>
      </c>
      <c r="AE14" s="422"/>
      <c r="AF14" s="422">
        <v>0</v>
      </c>
      <c r="AG14" s="425">
        <v>0</v>
      </c>
      <c r="AH14" s="421">
        <v>0</v>
      </c>
      <c r="AI14" s="422"/>
      <c r="AJ14" s="422">
        <v>0</v>
      </c>
      <c r="AK14" s="425">
        <v>0</v>
      </c>
      <c r="AL14" s="421">
        <v>0</v>
      </c>
      <c r="AM14" s="422"/>
      <c r="AN14" s="422">
        <v>0</v>
      </c>
      <c r="AO14" s="423">
        <v>0</v>
      </c>
      <c r="AP14" s="424">
        <v>0</v>
      </c>
      <c r="AQ14" s="422"/>
      <c r="AR14" s="422">
        <v>0</v>
      </c>
      <c r="AS14" s="423">
        <v>0</v>
      </c>
      <c r="AT14" s="424">
        <v>0</v>
      </c>
      <c r="AU14" s="422"/>
      <c r="AV14" s="422">
        <v>0</v>
      </c>
      <c r="AW14" s="423">
        <v>0</v>
      </c>
      <c r="AX14" s="424">
        <v>0</v>
      </c>
      <c r="AY14" s="422"/>
      <c r="AZ14" s="422">
        <v>0</v>
      </c>
      <c r="BA14" s="423">
        <v>0</v>
      </c>
      <c r="BB14" s="424">
        <v>0</v>
      </c>
      <c r="BC14" s="422"/>
      <c r="BD14" s="422">
        <v>0</v>
      </c>
      <c r="BE14" s="425">
        <v>0</v>
      </c>
      <c r="BF14" s="421">
        <v>0</v>
      </c>
      <c r="BG14" s="422"/>
      <c r="BH14" s="422">
        <v>0</v>
      </c>
      <c r="BI14" s="425">
        <v>0</v>
      </c>
      <c r="BJ14" s="421">
        <v>1</v>
      </c>
      <c r="BK14" s="422"/>
      <c r="BL14" s="422">
        <v>1</v>
      </c>
      <c r="BM14" s="425">
        <v>1</v>
      </c>
      <c r="BN14" s="421">
        <v>0</v>
      </c>
      <c r="BO14" s="422"/>
      <c r="BP14" s="422">
        <v>0</v>
      </c>
      <c r="BQ14" s="423">
        <v>0</v>
      </c>
      <c r="BR14" s="424">
        <v>0</v>
      </c>
      <c r="BS14" s="422"/>
      <c r="BT14" s="422">
        <v>0</v>
      </c>
      <c r="BU14" s="425">
        <v>0</v>
      </c>
      <c r="BV14" s="326"/>
      <c r="BZ14" s="408">
        <f t="shared" si="5"/>
        <v>65000</v>
      </c>
      <c r="CA14" s="426">
        <f t="shared" si="2"/>
        <v>1</v>
      </c>
      <c r="CB14" s="427">
        <f t="shared" si="3"/>
        <v>1</v>
      </c>
      <c r="CC14" s="428">
        <f t="shared" si="3"/>
        <v>1</v>
      </c>
      <c r="CD14" s="412" t="str">
        <f t="shared" si="4"/>
        <v>Compartment handling</v>
      </c>
      <c r="CE14" s="413" t="str">
        <f>IF(VLOOKUP($M14,'[2]OEM Group'!$B$6:$D$22,2,FALSE)&lt;&gt;0,VLOOKUP($M14,'[2]OEM Group'!$B$6:$D$22,2,FALSE),"")</f>
        <v>Shuttleworth (Promach)</v>
      </c>
      <c r="CF14" s="414" t="str">
        <f>IF(VLOOKUP($M14,'[2]OEM Group'!$B$6:$D$22,3,FALSE)&lt;&gt;0,VLOOKUP($M14,'[2]OEM Group'!$B$6:$D$22,3,FALSE),"")</f>
        <v/>
      </c>
      <c r="CG14" s="413" t="str">
        <f>IF(VLOOKUP($M14,'[2]OEM Group'!$B$6:$F$22,4,FALSE)&lt;&gt;"",VLOOKUP($M14,'[2]OEM Group'!$B$6:$F$22,4,FALSE),"")</f>
        <v>Aravind Durai</v>
      </c>
      <c r="CH14" s="414" t="str">
        <f>IF(VLOOKUP($M14,'[2]OEM Group'!$B$6:$F$22,5,FALSE)&lt;&gt;"",VLOOKUP($M14,'[2]OEM Group'!$B$6:$F$22,5,FALSE),"")</f>
        <v>David McCalib</v>
      </c>
    </row>
    <row r="15" spans="2:86">
      <c r="B15" s="333">
        <v>3</v>
      </c>
      <c r="C15" s="30" t="s">
        <v>66</v>
      </c>
      <c r="D15" s="392" t="s">
        <v>103</v>
      </c>
      <c r="E15" s="33">
        <v>25</v>
      </c>
      <c r="F15" s="293" t="s">
        <v>70</v>
      </c>
      <c r="G15" s="393"/>
      <c r="I15" s="325" t="s">
        <v>106</v>
      </c>
      <c r="J15" s="394">
        <v>3</v>
      </c>
      <c r="K15" s="394" t="s">
        <v>106</v>
      </c>
      <c r="L15" s="32" t="s">
        <v>0</v>
      </c>
      <c r="M15" s="168" t="s">
        <v>137</v>
      </c>
      <c r="N15" s="415">
        <v>30000</v>
      </c>
      <c r="O15" s="416">
        <v>20000</v>
      </c>
      <c r="P15" s="416">
        <v>15000</v>
      </c>
      <c r="Q15" s="417">
        <v>0</v>
      </c>
      <c r="R15" s="417">
        <v>0</v>
      </c>
      <c r="S15" s="417">
        <v>0</v>
      </c>
      <c r="T15" s="418">
        <v>3</v>
      </c>
      <c r="U15" s="326">
        <f t="shared" si="0"/>
        <v>45000</v>
      </c>
      <c r="V15" s="264">
        <f t="shared" si="1"/>
        <v>45000</v>
      </c>
      <c r="W15" s="419">
        <v>50000</v>
      </c>
      <c r="X15" s="420">
        <v>200000</v>
      </c>
      <c r="Y15" s="32"/>
      <c r="Z15" s="421">
        <v>0</v>
      </c>
      <c r="AA15" s="422"/>
      <c r="AB15" s="422">
        <v>0</v>
      </c>
      <c r="AC15" s="423">
        <v>0</v>
      </c>
      <c r="AD15" s="424">
        <v>0</v>
      </c>
      <c r="AE15" s="422"/>
      <c r="AF15" s="422">
        <v>0</v>
      </c>
      <c r="AG15" s="425">
        <v>0</v>
      </c>
      <c r="AH15" s="421">
        <v>0</v>
      </c>
      <c r="AI15" s="422"/>
      <c r="AJ15" s="422">
        <v>0</v>
      </c>
      <c r="AK15" s="425">
        <v>0</v>
      </c>
      <c r="AL15" s="421">
        <v>0</v>
      </c>
      <c r="AM15" s="422"/>
      <c r="AN15" s="422">
        <v>0</v>
      </c>
      <c r="AO15" s="423">
        <v>0</v>
      </c>
      <c r="AP15" s="424">
        <v>0</v>
      </c>
      <c r="AQ15" s="422"/>
      <c r="AR15" s="422">
        <v>0</v>
      </c>
      <c r="AS15" s="423">
        <v>0</v>
      </c>
      <c r="AT15" s="424">
        <v>0</v>
      </c>
      <c r="AU15" s="422"/>
      <c r="AV15" s="422">
        <v>0</v>
      </c>
      <c r="AW15" s="423">
        <v>0</v>
      </c>
      <c r="AX15" s="424">
        <v>0</v>
      </c>
      <c r="AY15" s="422"/>
      <c r="AZ15" s="422">
        <v>0</v>
      </c>
      <c r="BA15" s="423">
        <v>0</v>
      </c>
      <c r="BB15" s="424">
        <v>0</v>
      </c>
      <c r="BC15" s="422"/>
      <c r="BD15" s="422">
        <v>0</v>
      </c>
      <c r="BE15" s="425">
        <v>0</v>
      </c>
      <c r="BF15" s="421">
        <v>0</v>
      </c>
      <c r="BG15" s="422"/>
      <c r="BH15" s="422">
        <v>0</v>
      </c>
      <c r="BI15" s="425">
        <v>0</v>
      </c>
      <c r="BJ15" s="421">
        <v>1</v>
      </c>
      <c r="BK15" s="422"/>
      <c r="BL15" s="422">
        <v>1</v>
      </c>
      <c r="BM15" s="425">
        <v>1</v>
      </c>
      <c r="BN15" s="421">
        <v>0</v>
      </c>
      <c r="BO15" s="422"/>
      <c r="BP15" s="422">
        <v>0</v>
      </c>
      <c r="BQ15" s="423">
        <v>0</v>
      </c>
      <c r="BR15" s="424">
        <v>0</v>
      </c>
      <c r="BS15" s="422"/>
      <c r="BT15" s="422">
        <v>0</v>
      </c>
      <c r="BU15" s="425">
        <v>0</v>
      </c>
      <c r="BV15" s="326"/>
      <c r="BZ15" s="408">
        <f t="shared" si="5"/>
        <v>250000</v>
      </c>
      <c r="CA15" s="426">
        <f t="shared" si="2"/>
        <v>1</v>
      </c>
      <c r="CB15" s="427">
        <f t="shared" si="3"/>
        <v>1</v>
      </c>
      <c r="CC15" s="428">
        <f t="shared" si="3"/>
        <v>1</v>
      </c>
      <c r="CD15" s="412" t="str">
        <f t="shared" si="4"/>
        <v>Compartment handling</v>
      </c>
      <c r="CE15" s="413" t="str">
        <f>IF(VLOOKUP($M15,'[2]OEM Group'!$B$6:$D$22,2,FALSE)&lt;&gt;0,VLOOKUP($M15,'[2]OEM Group'!$B$6:$D$22,2,FALSE),"")</f>
        <v>Shuttleworth (Promach)</v>
      </c>
      <c r="CF15" s="414" t="str">
        <f>IF(VLOOKUP($M15,'[2]OEM Group'!$B$6:$D$22,3,FALSE)&lt;&gt;0,VLOOKUP($M15,'[2]OEM Group'!$B$6:$D$22,3,FALSE),"")</f>
        <v/>
      </c>
      <c r="CG15" s="413" t="str">
        <f>IF(VLOOKUP($M15,'[2]OEM Group'!$B$6:$F$22,4,FALSE)&lt;&gt;"",VLOOKUP($M15,'[2]OEM Group'!$B$6:$F$22,4,FALSE),"")</f>
        <v>Aravind Durai</v>
      </c>
      <c r="CH15" s="414" t="str">
        <f>IF(VLOOKUP($M15,'[2]OEM Group'!$B$6:$F$22,5,FALSE)&lt;&gt;"",VLOOKUP($M15,'[2]OEM Group'!$B$6:$F$22,5,FALSE),"")</f>
        <v>David McCalib</v>
      </c>
    </row>
    <row r="16" spans="2:86">
      <c r="B16" s="333">
        <v>3</v>
      </c>
      <c r="C16" s="30" t="s">
        <v>66</v>
      </c>
      <c r="D16" s="392" t="s">
        <v>103</v>
      </c>
      <c r="E16" s="33">
        <v>26</v>
      </c>
      <c r="F16" s="293" t="s">
        <v>141</v>
      </c>
      <c r="G16" s="393"/>
      <c r="J16" s="394">
        <v>2</v>
      </c>
      <c r="K16" s="394" t="s">
        <v>106</v>
      </c>
      <c r="L16" s="32"/>
      <c r="M16" s="168" t="s">
        <v>137</v>
      </c>
      <c r="N16" s="415">
        <v>40000</v>
      </c>
      <c r="O16" s="416">
        <v>30000</v>
      </c>
      <c r="P16" s="416">
        <v>25000</v>
      </c>
      <c r="Q16" s="417">
        <v>0</v>
      </c>
      <c r="R16" s="417">
        <v>0</v>
      </c>
      <c r="S16" s="417">
        <v>0</v>
      </c>
      <c r="T16" s="418">
        <v>2</v>
      </c>
      <c r="U16" s="326">
        <f t="shared" si="0"/>
        <v>50000</v>
      </c>
      <c r="V16" s="264">
        <f t="shared" si="1"/>
        <v>50000</v>
      </c>
      <c r="W16" s="419">
        <v>25000</v>
      </c>
      <c r="X16" s="420">
        <v>150000</v>
      </c>
      <c r="Y16" s="32"/>
      <c r="Z16" s="421">
        <v>0</v>
      </c>
      <c r="AA16" s="422"/>
      <c r="AB16" s="422">
        <v>0</v>
      </c>
      <c r="AC16" s="423">
        <v>0</v>
      </c>
      <c r="AD16" s="424">
        <v>0</v>
      </c>
      <c r="AE16" s="422"/>
      <c r="AF16" s="422">
        <v>0</v>
      </c>
      <c r="AG16" s="425">
        <v>0</v>
      </c>
      <c r="AH16" s="421">
        <v>0</v>
      </c>
      <c r="AI16" s="422"/>
      <c r="AJ16" s="422">
        <v>0</v>
      </c>
      <c r="AK16" s="425">
        <v>0</v>
      </c>
      <c r="AL16" s="421">
        <v>0</v>
      </c>
      <c r="AM16" s="422"/>
      <c r="AN16" s="422">
        <v>0</v>
      </c>
      <c r="AO16" s="423">
        <v>0</v>
      </c>
      <c r="AP16" s="424">
        <v>0</v>
      </c>
      <c r="AQ16" s="422"/>
      <c r="AR16" s="422">
        <v>0</v>
      </c>
      <c r="AS16" s="423">
        <v>0</v>
      </c>
      <c r="AT16" s="424">
        <v>0</v>
      </c>
      <c r="AU16" s="422"/>
      <c r="AV16" s="422">
        <v>0</v>
      </c>
      <c r="AW16" s="423">
        <v>0</v>
      </c>
      <c r="AX16" s="424">
        <v>0</v>
      </c>
      <c r="AY16" s="422"/>
      <c r="AZ16" s="422">
        <v>0</v>
      </c>
      <c r="BA16" s="423">
        <v>0</v>
      </c>
      <c r="BB16" s="424">
        <v>0</v>
      </c>
      <c r="BC16" s="422"/>
      <c r="BD16" s="422">
        <v>0</v>
      </c>
      <c r="BE16" s="425">
        <v>0</v>
      </c>
      <c r="BF16" s="421">
        <v>0</v>
      </c>
      <c r="BG16" s="422"/>
      <c r="BH16" s="422">
        <v>0</v>
      </c>
      <c r="BI16" s="425">
        <v>0</v>
      </c>
      <c r="BJ16" s="421">
        <v>1</v>
      </c>
      <c r="BK16" s="422"/>
      <c r="BL16" s="422">
        <v>1</v>
      </c>
      <c r="BM16" s="425">
        <v>1</v>
      </c>
      <c r="BN16" s="421">
        <v>0</v>
      </c>
      <c r="BO16" s="422"/>
      <c r="BP16" s="422">
        <v>0</v>
      </c>
      <c r="BQ16" s="423">
        <v>0</v>
      </c>
      <c r="BR16" s="424">
        <v>0</v>
      </c>
      <c r="BS16" s="422"/>
      <c r="BT16" s="422">
        <v>0</v>
      </c>
      <c r="BU16" s="425">
        <v>0</v>
      </c>
      <c r="BV16" s="326"/>
      <c r="BZ16" s="408">
        <f t="shared" si="5"/>
        <v>175000</v>
      </c>
      <c r="CA16" s="426">
        <f t="shared" si="2"/>
        <v>1</v>
      </c>
      <c r="CB16" s="427">
        <f t="shared" si="3"/>
        <v>1</v>
      </c>
      <c r="CC16" s="428">
        <f t="shared" si="3"/>
        <v>1</v>
      </c>
      <c r="CD16" s="412" t="str">
        <f t="shared" si="4"/>
        <v>Compartment handling</v>
      </c>
      <c r="CE16" s="413" t="str">
        <f>IF(VLOOKUP($M16,'[2]OEM Group'!$B$6:$D$22,2,FALSE)&lt;&gt;0,VLOOKUP($M16,'[2]OEM Group'!$B$6:$D$22,2,FALSE),"")</f>
        <v>Shuttleworth (Promach)</v>
      </c>
      <c r="CF16" s="414" t="str">
        <f>IF(VLOOKUP($M16,'[2]OEM Group'!$B$6:$D$22,3,FALSE)&lt;&gt;0,VLOOKUP($M16,'[2]OEM Group'!$B$6:$D$22,3,FALSE),"")</f>
        <v/>
      </c>
      <c r="CG16" s="413" t="str">
        <f>IF(VLOOKUP($M16,'[2]OEM Group'!$B$6:$F$22,4,FALSE)&lt;&gt;"",VLOOKUP($M16,'[2]OEM Group'!$B$6:$F$22,4,FALSE),"")</f>
        <v>Aravind Durai</v>
      </c>
      <c r="CH16" s="414" t="str">
        <f>IF(VLOOKUP($M16,'[2]OEM Group'!$B$6:$F$22,5,FALSE)&lt;&gt;"",VLOOKUP($M16,'[2]OEM Group'!$B$6:$F$22,5,FALSE),"")</f>
        <v>David McCalib</v>
      </c>
    </row>
    <row r="17" spans="2:86">
      <c r="B17" s="333">
        <v>3</v>
      </c>
      <c r="C17" s="30" t="s">
        <v>66</v>
      </c>
      <c r="D17" s="392" t="s">
        <v>103</v>
      </c>
      <c r="E17" s="33">
        <v>27</v>
      </c>
      <c r="F17" s="293" t="s">
        <v>71</v>
      </c>
      <c r="G17" s="393" t="s">
        <v>0</v>
      </c>
      <c r="I17" s="325" t="s">
        <v>106</v>
      </c>
      <c r="J17" s="394">
        <v>4</v>
      </c>
      <c r="K17" s="394" t="s">
        <v>106</v>
      </c>
      <c r="L17" s="32">
        <v>1</v>
      </c>
      <c r="M17" s="168" t="s">
        <v>137</v>
      </c>
      <c r="N17" s="415">
        <v>600000</v>
      </c>
      <c r="O17" s="416">
        <v>400000</v>
      </c>
      <c r="P17" s="416">
        <v>300000</v>
      </c>
      <c r="Q17" s="417">
        <v>0</v>
      </c>
      <c r="R17" s="417">
        <v>0</v>
      </c>
      <c r="S17" s="417">
        <v>0</v>
      </c>
      <c r="T17" s="418">
        <v>4</v>
      </c>
      <c r="U17" s="326">
        <f t="shared" si="0"/>
        <v>1200000</v>
      </c>
      <c r="V17" s="264">
        <f t="shared" si="1"/>
        <v>1200000</v>
      </c>
      <c r="W17" s="419">
        <v>200000</v>
      </c>
      <c r="X17" s="420">
        <v>700000</v>
      </c>
      <c r="Y17" s="32"/>
      <c r="Z17" s="421">
        <v>0</v>
      </c>
      <c r="AA17" s="422"/>
      <c r="AB17" s="422">
        <v>0</v>
      </c>
      <c r="AC17" s="423">
        <v>0</v>
      </c>
      <c r="AD17" s="424">
        <v>0</v>
      </c>
      <c r="AE17" s="422"/>
      <c r="AF17" s="422">
        <v>0</v>
      </c>
      <c r="AG17" s="425">
        <v>0</v>
      </c>
      <c r="AH17" s="421">
        <v>0</v>
      </c>
      <c r="AI17" s="422"/>
      <c r="AJ17" s="422">
        <v>0</v>
      </c>
      <c r="AK17" s="425">
        <v>0</v>
      </c>
      <c r="AL17" s="421">
        <v>0</v>
      </c>
      <c r="AM17" s="422"/>
      <c r="AN17" s="422">
        <v>0</v>
      </c>
      <c r="AO17" s="423">
        <v>0</v>
      </c>
      <c r="AP17" s="424">
        <v>0</v>
      </c>
      <c r="AQ17" s="422"/>
      <c r="AR17" s="422">
        <v>0</v>
      </c>
      <c r="AS17" s="423">
        <v>0</v>
      </c>
      <c r="AT17" s="424">
        <v>0</v>
      </c>
      <c r="AU17" s="422"/>
      <c r="AV17" s="422">
        <v>0</v>
      </c>
      <c r="AW17" s="423">
        <v>0</v>
      </c>
      <c r="AX17" s="424">
        <v>0</v>
      </c>
      <c r="AY17" s="422"/>
      <c r="AZ17" s="422">
        <v>0</v>
      </c>
      <c r="BA17" s="423">
        <v>0</v>
      </c>
      <c r="BB17" s="424">
        <v>0</v>
      </c>
      <c r="BC17" s="422"/>
      <c r="BD17" s="422">
        <v>0</v>
      </c>
      <c r="BE17" s="425">
        <v>0</v>
      </c>
      <c r="BF17" s="421">
        <v>0</v>
      </c>
      <c r="BG17" s="422"/>
      <c r="BH17" s="422">
        <v>0</v>
      </c>
      <c r="BI17" s="425">
        <v>0</v>
      </c>
      <c r="BJ17" s="421">
        <v>1</v>
      </c>
      <c r="BK17" s="422"/>
      <c r="BL17" s="422">
        <v>1</v>
      </c>
      <c r="BM17" s="425">
        <v>1</v>
      </c>
      <c r="BN17" s="421">
        <v>0</v>
      </c>
      <c r="BO17" s="422"/>
      <c r="BP17" s="422">
        <v>0</v>
      </c>
      <c r="BQ17" s="423">
        <v>0</v>
      </c>
      <c r="BR17" s="424">
        <v>0</v>
      </c>
      <c r="BS17" s="422"/>
      <c r="BT17" s="422">
        <v>0</v>
      </c>
      <c r="BU17" s="425">
        <v>0</v>
      </c>
      <c r="BV17" s="326"/>
      <c r="BZ17" s="408">
        <f t="shared" si="5"/>
        <v>900000</v>
      </c>
      <c r="CA17" s="426">
        <f t="shared" si="2"/>
        <v>1</v>
      </c>
      <c r="CB17" s="427">
        <f t="shared" si="3"/>
        <v>1</v>
      </c>
      <c r="CC17" s="428">
        <f t="shared" si="3"/>
        <v>1</v>
      </c>
      <c r="CD17" s="412" t="str">
        <f t="shared" si="4"/>
        <v>Compartment handling</v>
      </c>
      <c r="CE17" s="413" t="str">
        <f>IF(VLOOKUP($M17,'[2]OEM Group'!$B$6:$D$22,2,FALSE)&lt;&gt;0,VLOOKUP($M17,'[2]OEM Group'!$B$6:$D$22,2,FALSE),"")</f>
        <v>Shuttleworth (Promach)</v>
      </c>
      <c r="CF17" s="414" t="str">
        <f>IF(VLOOKUP($M17,'[2]OEM Group'!$B$6:$D$22,3,FALSE)&lt;&gt;0,VLOOKUP($M17,'[2]OEM Group'!$B$6:$D$22,3,FALSE),"")</f>
        <v/>
      </c>
      <c r="CG17" s="413" t="str">
        <f>IF(VLOOKUP($M17,'[2]OEM Group'!$B$6:$F$22,4,FALSE)&lt;&gt;"",VLOOKUP($M17,'[2]OEM Group'!$B$6:$F$22,4,FALSE),"")</f>
        <v>Aravind Durai</v>
      </c>
      <c r="CH17" s="414" t="str">
        <f>IF(VLOOKUP($M17,'[2]OEM Group'!$B$6:$F$22,5,FALSE)&lt;&gt;"",VLOOKUP($M17,'[2]OEM Group'!$B$6:$F$22,5,FALSE),"")</f>
        <v>David McCalib</v>
      </c>
    </row>
    <row r="18" spans="2:86">
      <c r="B18" s="333">
        <v>9</v>
      </c>
      <c r="C18" s="30" t="s">
        <v>172</v>
      </c>
      <c r="D18" s="392" t="s">
        <v>103</v>
      </c>
      <c r="E18" s="33">
        <v>50</v>
      </c>
      <c r="F18" s="293" t="s">
        <v>173</v>
      </c>
      <c r="G18" s="393">
        <v>1</v>
      </c>
      <c r="J18" s="394">
        <v>2</v>
      </c>
      <c r="K18" s="394" t="s">
        <v>106</v>
      </c>
      <c r="L18" s="32">
        <v>1</v>
      </c>
      <c r="M18" s="168" t="s">
        <v>137</v>
      </c>
      <c r="N18" s="415">
        <v>30000</v>
      </c>
      <c r="O18" s="416">
        <v>25000</v>
      </c>
      <c r="P18" s="416">
        <v>20000</v>
      </c>
      <c r="Q18" s="417">
        <v>0</v>
      </c>
      <c r="R18" s="417">
        <v>0</v>
      </c>
      <c r="S18" s="417">
        <v>0</v>
      </c>
      <c r="T18" s="418">
        <v>6</v>
      </c>
      <c r="U18" s="326">
        <f t="shared" si="0"/>
        <v>120000</v>
      </c>
      <c r="V18" s="264">
        <f t="shared" si="1"/>
        <v>120000</v>
      </c>
      <c r="W18" s="419" t="s">
        <v>0</v>
      </c>
      <c r="X18" s="420" t="s">
        <v>0</v>
      </c>
      <c r="Y18" s="32"/>
      <c r="Z18" s="421">
        <v>0</v>
      </c>
      <c r="AA18" s="422"/>
      <c r="AB18" s="422">
        <v>0</v>
      </c>
      <c r="AC18" s="423">
        <v>0</v>
      </c>
      <c r="AD18" s="424">
        <v>0</v>
      </c>
      <c r="AE18" s="422"/>
      <c r="AF18" s="422">
        <v>0</v>
      </c>
      <c r="AG18" s="425">
        <v>0</v>
      </c>
      <c r="AH18" s="421">
        <v>0</v>
      </c>
      <c r="AI18" s="422"/>
      <c r="AJ18" s="422">
        <v>0</v>
      </c>
      <c r="AK18" s="425">
        <v>0</v>
      </c>
      <c r="AL18" s="421">
        <v>0</v>
      </c>
      <c r="AM18" s="422"/>
      <c r="AN18" s="422">
        <v>0</v>
      </c>
      <c r="AO18" s="423">
        <v>0</v>
      </c>
      <c r="AP18" s="424">
        <v>0</v>
      </c>
      <c r="AQ18" s="422"/>
      <c r="AR18" s="422">
        <v>0</v>
      </c>
      <c r="AS18" s="423">
        <v>0</v>
      </c>
      <c r="AT18" s="424">
        <v>0</v>
      </c>
      <c r="AU18" s="422"/>
      <c r="AV18" s="422">
        <v>0</v>
      </c>
      <c r="AW18" s="423">
        <v>0</v>
      </c>
      <c r="AX18" s="424">
        <v>0</v>
      </c>
      <c r="AY18" s="422"/>
      <c r="AZ18" s="422">
        <v>0</v>
      </c>
      <c r="BA18" s="423">
        <v>0</v>
      </c>
      <c r="BB18" s="424">
        <v>0</v>
      </c>
      <c r="BC18" s="422"/>
      <c r="BD18" s="422">
        <v>0</v>
      </c>
      <c r="BE18" s="425">
        <v>0</v>
      </c>
      <c r="BF18" s="421">
        <v>0</v>
      </c>
      <c r="BG18" s="422"/>
      <c r="BH18" s="422">
        <v>0</v>
      </c>
      <c r="BI18" s="425">
        <v>0</v>
      </c>
      <c r="BJ18" s="421">
        <v>0</v>
      </c>
      <c r="BK18" s="422"/>
      <c r="BL18" s="422">
        <v>0</v>
      </c>
      <c r="BM18" s="425">
        <v>0</v>
      </c>
      <c r="BN18" s="421">
        <v>0</v>
      </c>
      <c r="BO18" s="422"/>
      <c r="BP18" s="422">
        <v>0</v>
      </c>
      <c r="BQ18" s="423">
        <v>0</v>
      </c>
      <c r="BR18" s="424">
        <v>0</v>
      </c>
      <c r="BS18" s="422"/>
      <c r="BT18" s="422">
        <v>0</v>
      </c>
      <c r="BU18" s="425">
        <v>0</v>
      </c>
      <c r="BV18" s="326"/>
      <c r="BZ18" s="408">
        <f t="shared" si="5"/>
        <v>0</v>
      </c>
      <c r="CA18" s="426">
        <f t="shared" si="2"/>
        <v>0</v>
      </c>
      <c r="CB18" s="427">
        <f t="shared" si="3"/>
        <v>0</v>
      </c>
      <c r="CC18" s="428">
        <f t="shared" si="3"/>
        <v>0</v>
      </c>
      <c r="CD18" s="412" t="str">
        <f t="shared" si="4"/>
        <v/>
      </c>
      <c r="CE18" s="413" t="str">
        <f>IF(VLOOKUP($M18,'[2]OEM Group'!$B$6:$D$22,2,FALSE)&lt;&gt;0,VLOOKUP($M18,'[2]OEM Group'!$B$6:$D$22,2,FALSE),"")</f>
        <v>Shuttleworth (Promach)</v>
      </c>
      <c r="CF18" s="414" t="str">
        <f>IF(VLOOKUP($M18,'[2]OEM Group'!$B$6:$D$22,3,FALSE)&lt;&gt;0,VLOOKUP($M18,'[2]OEM Group'!$B$6:$D$22,3,FALSE),"")</f>
        <v/>
      </c>
      <c r="CG18" s="413" t="str">
        <f>IF(VLOOKUP($M18,'[2]OEM Group'!$B$6:$F$22,4,FALSE)&lt;&gt;"",VLOOKUP($M18,'[2]OEM Group'!$B$6:$F$22,4,FALSE),"")</f>
        <v>Aravind Durai</v>
      </c>
      <c r="CH18" s="414" t="str">
        <f>IF(VLOOKUP($M18,'[2]OEM Group'!$B$6:$F$22,5,FALSE)&lt;&gt;"",VLOOKUP($M18,'[2]OEM Group'!$B$6:$F$22,5,FALSE),"")</f>
        <v>David McCalib</v>
      </c>
    </row>
    <row r="19" spans="2:86">
      <c r="B19" s="333">
        <v>2</v>
      </c>
      <c r="C19" s="30" t="s">
        <v>119</v>
      </c>
      <c r="D19" s="392" t="s">
        <v>103</v>
      </c>
      <c r="E19" s="33">
        <v>13</v>
      </c>
      <c r="F19" s="293" t="s">
        <v>124</v>
      </c>
      <c r="G19" s="393">
        <v>2</v>
      </c>
      <c r="I19" s="325" t="s">
        <v>106</v>
      </c>
      <c r="J19" s="394">
        <v>2</v>
      </c>
      <c r="K19" s="394" t="s">
        <v>106</v>
      </c>
      <c r="L19" s="32">
        <v>1</v>
      </c>
      <c r="M19" s="168" t="s">
        <v>125</v>
      </c>
      <c r="N19" s="415">
        <v>16000</v>
      </c>
      <c r="O19" s="416">
        <v>12000</v>
      </c>
      <c r="P19" s="416">
        <v>8000</v>
      </c>
      <c r="Q19" s="417">
        <v>0</v>
      </c>
      <c r="R19" s="417">
        <v>0</v>
      </c>
      <c r="S19" s="417">
        <v>0</v>
      </c>
      <c r="T19" s="418">
        <v>50</v>
      </c>
      <c r="U19" s="326">
        <f t="shared" si="0"/>
        <v>400000</v>
      </c>
      <c r="V19" s="264">
        <f t="shared" si="1"/>
        <v>400000</v>
      </c>
      <c r="W19" s="419">
        <v>10000</v>
      </c>
      <c r="X19" s="420">
        <v>15000</v>
      </c>
      <c r="Y19" s="32"/>
      <c r="Z19" s="421">
        <v>0</v>
      </c>
      <c r="AA19" s="422"/>
      <c r="AB19" s="422">
        <v>0</v>
      </c>
      <c r="AC19" s="423">
        <v>0</v>
      </c>
      <c r="AD19" s="424">
        <v>0</v>
      </c>
      <c r="AE19" s="422"/>
      <c r="AF19" s="422">
        <v>0</v>
      </c>
      <c r="AG19" s="425">
        <v>0</v>
      </c>
      <c r="AH19" s="421">
        <v>0</v>
      </c>
      <c r="AI19" s="422"/>
      <c r="AJ19" s="422">
        <v>0</v>
      </c>
      <c r="AK19" s="425">
        <v>0</v>
      </c>
      <c r="AL19" s="421">
        <v>0</v>
      </c>
      <c r="AM19" s="422"/>
      <c r="AN19" s="422">
        <v>2</v>
      </c>
      <c r="AO19" s="423">
        <v>0</v>
      </c>
      <c r="AP19" s="424">
        <v>0</v>
      </c>
      <c r="AQ19" s="422"/>
      <c r="AR19" s="422">
        <v>0</v>
      </c>
      <c r="AS19" s="423">
        <v>0</v>
      </c>
      <c r="AT19" s="424">
        <v>0</v>
      </c>
      <c r="AU19" s="422"/>
      <c r="AV19" s="422">
        <v>0</v>
      </c>
      <c r="AW19" s="423">
        <v>0</v>
      </c>
      <c r="AX19" s="424">
        <v>0</v>
      </c>
      <c r="AY19" s="422"/>
      <c r="AZ19" s="422">
        <v>0</v>
      </c>
      <c r="BA19" s="423">
        <v>0</v>
      </c>
      <c r="BB19" s="424">
        <v>0</v>
      </c>
      <c r="BC19" s="422"/>
      <c r="BD19" s="422">
        <v>0</v>
      </c>
      <c r="BE19" s="425">
        <v>0</v>
      </c>
      <c r="BF19" s="421">
        <v>0</v>
      </c>
      <c r="BG19" s="422"/>
      <c r="BH19" s="422">
        <v>0</v>
      </c>
      <c r="BI19" s="425">
        <v>0</v>
      </c>
      <c r="BJ19" s="421">
        <v>0</v>
      </c>
      <c r="BK19" s="422"/>
      <c r="BL19" s="422">
        <v>0</v>
      </c>
      <c r="BM19" s="425">
        <v>0</v>
      </c>
      <c r="BN19" s="421">
        <v>0</v>
      </c>
      <c r="BO19" s="422"/>
      <c r="BP19" s="422">
        <v>0</v>
      </c>
      <c r="BQ19" s="423">
        <v>0</v>
      </c>
      <c r="BR19" s="424">
        <v>0</v>
      </c>
      <c r="BS19" s="422"/>
      <c r="BT19" s="422">
        <v>0</v>
      </c>
      <c r="BU19" s="425">
        <v>0</v>
      </c>
      <c r="BV19" s="326"/>
      <c r="BZ19" s="408">
        <f t="shared" si="5"/>
        <v>25000</v>
      </c>
      <c r="CA19" s="426">
        <f t="shared" si="2"/>
        <v>0</v>
      </c>
      <c r="CB19" s="427">
        <f t="shared" si="3"/>
        <v>2</v>
      </c>
      <c r="CC19" s="428">
        <f t="shared" si="3"/>
        <v>0</v>
      </c>
      <c r="CD19" s="412" t="str">
        <f t="shared" si="4"/>
        <v>Stack moving</v>
      </c>
      <c r="CE19" s="413" t="str">
        <f>IF(VLOOKUP($M19,'[2]OEM Group'!$B$6:$D$22,2,FALSE)&lt;&gt;0,VLOOKUP($M19,'[2]OEM Group'!$B$6:$D$22,2,FALSE),"")</f>
        <v>Viastore</v>
      </c>
      <c r="CF19" s="414" t="str">
        <f>IF(VLOOKUP($M19,'[2]OEM Group'!$B$6:$D$22,3,FALSE)&lt;&gt;0,VLOOKUP($M19,'[2]OEM Group'!$B$6:$D$22,3,FALSE),"")</f>
        <v/>
      </c>
      <c r="CG19" s="413" t="str">
        <f>IF(VLOOKUP($M19,'[2]OEM Group'!$B$6:$F$22,4,FALSE)&lt;&gt;"",VLOOKUP($M19,'[2]OEM Group'!$B$6:$F$22,4,FALSE),"")</f>
        <v>Dave Johnston</v>
      </c>
      <c r="CH19" s="414" t="str">
        <f>IF(VLOOKUP($M19,'[2]OEM Group'!$B$6:$F$22,5,FALSE)&lt;&gt;"",VLOOKUP($M19,'[2]OEM Group'!$B$6:$F$22,5,FALSE),"")</f>
        <v>Dave Johnston</v>
      </c>
    </row>
    <row r="20" spans="2:86">
      <c r="B20" s="333">
        <v>3</v>
      </c>
      <c r="C20" s="30" t="s">
        <v>66</v>
      </c>
      <c r="D20" s="392" t="s">
        <v>103</v>
      </c>
      <c r="E20" s="33">
        <v>28</v>
      </c>
      <c r="F20" s="293" t="s">
        <v>72</v>
      </c>
      <c r="G20" s="393"/>
      <c r="J20" s="394">
        <v>2</v>
      </c>
      <c r="K20" s="394" t="s">
        <v>106</v>
      </c>
      <c r="L20" s="32" t="s">
        <v>0</v>
      </c>
      <c r="M20" s="168" t="s">
        <v>125</v>
      </c>
      <c r="N20" s="415">
        <v>40000</v>
      </c>
      <c r="O20" s="416">
        <v>30000</v>
      </c>
      <c r="P20" s="416">
        <v>20000</v>
      </c>
      <c r="Q20" s="417">
        <v>0</v>
      </c>
      <c r="R20" s="417">
        <v>0</v>
      </c>
      <c r="S20" s="417">
        <v>0</v>
      </c>
      <c r="T20" s="418">
        <v>2</v>
      </c>
      <c r="U20" s="326">
        <f t="shared" si="0"/>
        <v>40000</v>
      </c>
      <c r="V20" s="264">
        <f t="shared" si="1"/>
        <v>40000</v>
      </c>
      <c r="W20" s="419">
        <v>0</v>
      </c>
      <c r="X20" s="420">
        <v>0</v>
      </c>
      <c r="Y20" s="32"/>
      <c r="Z20" s="421">
        <v>0</v>
      </c>
      <c r="AA20" s="422"/>
      <c r="AB20" s="422">
        <v>0</v>
      </c>
      <c r="AC20" s="423">
        <v>0</v>
      </c>
      <c r="AD20" s="424">
        <v>0</v>
      </c>
      <c r="AE20" s="422"/>
      <c r="AF20" s="422">
        <v>0</v>
      </c>
      <c r="AG20" s="425">
        <v>0</v>
      </c>
      <c r="AH20" s="421">
        <v>0</v>
      </c>
      <c r="AI20" s="422"/>
      <c r="AJ20" s="422">
        <v>0</v>
      </c>
      <c r="AK20" s="425">
        <v>0</v>
      </c>
      <c r="AL20" s="421">
        <v>0</v>
      </c>
      <c r="AM20" s="422"/>
      <c r="AN20" s="422">
        <v>0</v>
      </c>
      <c r="AO20" s="423">
        <v>0</v>
      </c>
      <c r="AP20" s="424">
        <v>0</v>
      </c>
      <c r="AQ20" s="422"/>
      <c r="AR20" s="422">
        <v>0</v>
      </c>
      <c r="AS20" s="423">
        <v>0</v>
      </c>
      <c r="AT20" s="424">
        <v>0</v>
      </c>
      <c r="AU20" s="422"/>
      <c r="AV20" s="422">
        <v>0</v>
      </c>
      <c r="AW20" s="423">
        <v>0</v>
      </c>
      <c r="AX20" s="424">
        <v>0</v>
      </c>
      <c r="AY20" s="422"/>
      <c r="AZ20" s="422">
        <v>0</v>
      </c>
      <c r="BA20" s="423">
        <v>0</v>
      </c>
      <c r="BB20" s="424">
        <v>0</v>
      </c>
      <c r="BC20" s="422"/>
      <c r="BD20" s="422">
        <v>0</v>
      </c>
      <c r="BE20" s="425">
        <v>0</v>
      </c>
      <c r="BF20" s="421">
        <v>0</v>
      </c>
      <c r="BG20" s="422"/>
      <c r="BH20" s="422">
        <v>0</v>
      </c>
      <c r="BI20" s="425">
        <v>0</v>
      </c>
      <c r="BJ20" s="421">
        <v>0</v>
      </c>
      <c r="BK20" s="422"/>
      <c r="BL20" s="422">
        <v>0</v>
      </c>
      <c r="BM20" s="425">
        <v>0</v>
      </c>
      <c r="BN20" s="421">
        <v>0</v>
      </c>
      <c r="BO20" s="422"/>
      <c r="BP20" s="422">
        <v>0</v>
      </c>
      <c r="BQ20" s="423">
        <v>0</v>
      </c>
      <c r="BR20" s="424">
        <v>0</v>
      </c>
      <c r="BS20" s="422"/>
      <c r="BT20" s="422">
        <v>0</v>
      </c>
      <c r="BU20" s="425">
        <v>0</v>
      </c>
      <c r="BV20" s="326"/>
      <c r="BZ20" s="408">
        <f t="shared" si="5"/>
        <v>0</v>
      </c>
      <c r="CA20" s="426">
        <f t="shared" si="2"/>
        <v>0</v>
      </c>
      <c r="CB20" s="427">
        <f t="shared" si="3"/>
        <v>0</v>
      </c>
      <c r="CC20" s="428">
        <f t="shared" si="3"/>
        <v>0</v>
      </c>
      <c r="CD20" s="412" t="str">
        <f t="shared" si="4"/>
        <v/>
      </c>
      <c r="CE20" s="413" t="str">
        <f>IF(VLOOKUP($M20,'[2]OEM Group'!$B$6:$D$22,2,FALSE)&lt;&gt;0,VLOOKUP($M20,'[2]OEM Group'!$B$6:$D$22,2,FALSE),"")</f>
        <v>Viastore</v>
      </c>
      <c r="CF20" s="414" t="str">
        <f>IF(VLOOKUP($M20,'[2]OEM Group'!$B$6:$D$22,3,FALSE)&lt;&gt;0,VLOOKUP($M20,'[2]OEM Group'!$B$6:$D$22,3,FALSE),"")</f>
        <v/>
      </c>
      <c r="CG20" s="413" t="str">
        <f>IF(VLOOKUP($M20,'[2]OEM Group'!$B$6:$F$22,4,FALSE)&lt;&gt;"",VLOOKUP($M20,'[2]OEM Group'!$B$6:$F$22,4,FALSE),"")</f>
        <v>Dave Johnston</v>
      </c>
      <c r="CH20" s="414" t="str">
        <f>IF(VLOOKUP($M20,'[2]OEM Group'!$B$6:$F$22,5,FALSE)&lt;&gt;"",VLOOKUP($M20,'[2]OEM Group'!$B$6:$F$22,5,FALSE),"")</f>
        <v>Dave Johnston</v>
      </c>
    </row>
    <row r="21" spans="2:86">
      <c r="B21" s="333">
        <v>8</v>
      </c>
      <c r="C21" s="30" t="s">
        <v>87</v>
      </c>
      <c r="D21" s="392" t="s">
        <v>103</v>
      </c>
      <c r="E21" s="33">
        <v>39</v>
      </c>
      <c r="F21" s="293" t="s">
        <v>152</v>
      </c>
      <c r="G21" s="393"/>
      <c r="J21" s="394">
        <v>2</v>
      </c>
      <c r="K21" s="394" t="s">
        <v>106</v>
      </c>
      <c r="L21" s="32" t="s">
        <v>0</v>
      </c>
      <c r="M21" s="168" t="s">
        <v>125</v>
      </c>
      <c r="N21" s="415">
        <v>20000</v>
      </c>
      <c r="O21" s="416">
        <v>17000</v>
      </c>
      <c r="P21" s="416">
        <v>15000</v>
      </c>
      <c r="Q21" s="417">
        <v>0</v>
      </c>
      <c r="R21" s="417">
        <v>0</v>
      </c>
      <c r="S21" s="417">
        <v>0</v>
      </c>
      <c r="T21" s="418">
        <v>2</v>
      </c>
      <c r="U21" s="326">
        <f t="shared" si="0"/>
        <v>30000</v>
      </c>
      <c r="V21" s="264">
        <f t="shared" si="1"/>
        <v>30000</v>
      </c>
      <c r="W21" s="419">
        <v>10000</v>
      </c>
      <c r="X21" s="420">
        <v>50000</v>
      </c>
      <c r="Y21" s="32"/>
      <c r="Z21" s="421">
        <v>0</v>
      </c>
      <c r="AA21" s="422"/>
      <c r="AB21" s="422">
        <v>0</v>
      </c>
      <c r="AC21" s="423">
        <v>0</v>
      </c>
      <c r="AD21" s="424">
        <v>0</v>
      </c>
      <c r="AE21" s="422"/>
      <c r="AF21" s="422">
        <v>0</v>
      </c>
      <c r="AG21" s="425">
        <v>0</v>
      </c>
      <c r="AH21" s="421">
        <v>0</v>
      </c>
      <c r="AI21" s="422"/>
      <c r="AJ21" s="422">
        <v>0</v>
      </c>
      <c r="AK21" s="425">
        <v>0</v>
      </c>
      <c r="AL21" s="421">
        <v>0</v>
      </c>
      <c r="AM21" s="422"/>
      <c r="AN21" s="422">
        <v>1</v>
      </c>
      <c r="AO21" s="423">
        <v>0</v>
      </c>
      <c r="AP21" s="424">
        <v>0</v>
      </c>
      <c r="AQ21" s="422"/>
      <c r="AR21" s="422">
        <v>0</v>
      </c>
      <c r="AS21" s="423">
        <v>0</v>
      </c>
      <c r="AT21" s="424">
        <v>0</v>
      </c>
      <c r="AU21" s="422"/>
      <c r="AV21" s="422">
        <v>0</v>
      </c>
      <c r="AW21" s="423">
        <v>0</v>
      </c>
      <c r="AX21" s="424">
        <v>0</v>
      </c>
      <c r="AY21" s="422"/>
      <c r="AZ21" s="422">
        <v>0</v>
      </c>
      <c r="BA21" s="423">
        <v>0</v>
      </c>
      <c r="BB21" s="424">
        <v>0</v>
      </c>
      <c r="BC21" s="422"/>
      <c r="BD21" s="422">
        <v>0</v>
      </c>
      <c r="BE21" s="425">
        <v>0</v>
      </c>
      <c r="BF21" s="421">
        <v>0</v>
      </c>
      <c r="BG21" s="422"/>
      <c r="BH21" s="422">
        <v>0</v>
      </c>
      <c r="BI21" s="425">
        <v>0</v>
      </c>
      <c r="BJ21" s="421">
        <v>0</v>
      </c>
      <c r="BK21" s="422"/>
      <c r="BL21" s="422">
        <v>0</v>
      </c>
      <c r="BM21" s="425">
        <v>0</v>
      </c>
      <c r="BN21" s="421">
        <v>0</v>
      </c>
      <c r="BO21" s="422"/>
      <c r="BP21" s="422">
        <v>0</v>
      </c>
      <c r="BQ21" s="423">
        <v>0</v>
      </c>
      <c r="BR21" s="424">
        <v>0</v>
      </c>
      <c r="BS21" s="422"/>
      <c r="BT21" s="422">
        <v>0</v>
      </c>
      <c r="BU21" s="425">
        <v>0</v>
      </c>
      <c r="BV21" s="326"/>
      <c r="BZ21" s="408">
        <f t="shared" si="5"/>
        <v>60000</v>
      </c>
      <c r="CA21" s="426">
        <f t="shared" si="2"/>
        <v>0</v>
      </c>
      <c r="CB21" s="427">
        <f t="shared" si="3"/>
        <v>1</v>
      </c>
      <c r="CC21" s="428">
        <f t="shared" si="3"/>
        <v>0</v>
      </c>
      <c r="CD21" s="412" t="str">
        <f t="shared" si="4"/>
        <v>Stack moving</v>
      </c>
      <c r="CE21" s="413" t="str">
        <f>IF(VLOOKUP($M21,'[2]OEM Group'!$B$6:$D$22,2,FALSE)&lt;&gt;0,VLOOKUP($M21,'[2]OEM Group'!$B$6:$D$22,2,FALSE),"")</f>
        <v>Viastore</v>
      </c>
      <c r="CF21" s="414" t="str">
        <f>IF(VLOOKUP($M21,'[2]OEM Group'!$B$6:$D$22,3,FALSE)&lt;&gt;0,VLOOKUP($M21,'[2]OEM Group'!$B$6:$D$22,3,FALSE),"")</f>
        <v/>
      </c>
      <c r="CG21" s="413" t="str">
        <f>IF(VLOOKUP($M21,'[2]OEM Group'!$B$6:$F$22,4,FALSE)&lt;&gt;"",VLOOKUP($M21,'[2]OEM Group'!$B$6:$F$22,4,FALSE),"")</f>
        <v>Dave Johnston</v>
      </c>
      <c r="CH21" s="414" t="str">
        <f>IF(VLOOKUP($M21,'[2]OEM Group'!$B$6:$F$22,5,FALSE)&lt;&gt;"",VLOOKUP($M21,'[2]OEM Group'!$B$6:$F$22,5,FALSE),"")</f>
        <v>Dave Johnston</v>
      </c>
    </row>
    <row r="22" spans="2:86">
      <c r="B22" s="333">
        <v>8</v>
      </c>
      <c r="C22" s="30" t="s">
        <v>87</v>
      </c>
      <c r="D22" s="392" t="s">
        <v>103</v>
      </c>
      <c r="E22" s="33">
        <v>41</v>
      </c>
      <c r="F22" s="293" t="s">
        <v>154</v>
      </c>
      <c r="G22" s="393"/>
      <c r="J22" s="394">
        <v>2</v>
      </c>
      <c r="K22" s="394" t="s">
        <v>106</v>
      </c>
      <c r="L22" s="32">
        <v>1</v>
      </c>
      <c r="M22" s="168" t="s">
        <v>125</v>
      </c>
      <c r="N22" s="415">
        <v>10000</v>
      </c>
      <c r="O22" s="416">
        <v>8000</v>
      </c>
      <c r="P22" s="416">
        <v>7000</v>
      </c>
      <c r="Q22" s="417">
        <v>0</v>
      </c>
      <c r="R22" s="417">
        <v>0</v>
      </c>
      <c r="S22" s="417">
        <v>0</v>
      </c>
      <c r="T22" s="418">
        <v>2</v>
      </c>
      <c r="U22" s="326">
        <f t="shared" si="0"/>
        <v>14000</v>
      </c>
      <c r="V22" s="264">
        <f t="shared" si="1"/>
        <v>14000</v>
      </c>
      <c r="W22" s="419">
        <v>25000</v>
      </c>
      <c r="X22" s="420">
        <v>50000</v>
      </c>
      <c r="Y22" s="32"/>
      <c r="Z22" s="421">
        <v>0</v>
      </c>
      <c r="AA22" s="422"/>
      <c r="AB22" s="422">
        <v>0</v>
      </c>
      <c r="AC22" s="423">
        <v>0</v>
      </c>
      <c r="AD22" s="424">
        <v>0</v>
      </c>
      <c r="AE22" s="422"/>
      <c r="AF22" s="422">
        <v>0</v>
      </c>
      <c r="AG22" s="425">
        <v>0</v>
      </c>
      <c r="AH22" s="421">
        <v>0</v>
      </c>
      <c r="AI22" s="422"/>
      <c r="AJ22" s="422">
        <v>0</v>
      </c>
      <c r="AK22" s="425">
        <v>0</v>
      </c>
      <c r="AL22" s="421">
        <v>1</v>
      </c>
      <c r="AM22" s="422"/>
      <c r="AN22" s="422">
        <v>1</v>
      </c>
      <c r="AO22" s="423">
        <v>1</v>
      </c>
      <c r="AP22" s="424">
        <v>0</v>
      </c>
      <c r="AQ22" s="422"/>
      <c r="AR22" s="422">
        <v>0</v>
      </c>
      <c r="AS22" s="423">
        <v>0</v>
      </c>
      <c r="AT22" s="424">
        <v>0</v>
      </c>
      <c r="AU22" s="422"/>
      <c r="AV22" s="422">
        <v>0</v>
      </c>
      <c r="AW22" s="423">
        <v>0</v>
      </c>
      <c r="AX22" s="424">
        <v>0</v>
      </c>
      <c r="AY22" s="422"/>
      <c r="AZ22" s="422">
        <v>0</v>
      </c>
      <c r="BA22" s="423">
        <v>0</v>
      </c>
      <c r="BB22" s="424">
        <v>0</v>
      </c>
      <c r="BC22" s="422"/>
      <c r="BD22" s="422">
        <v>0</v>
      </c>
      <c r="BE22" s="425">
        <v>0</v>
      </c>
      <c r="BF22" s="421">
        <v>0</v>
      </c>
      <c r="BG22" s="422"/>
      <c r="BH22" s="422">
        <v>0</v>
      </c>
      <c r="BI22" s="425">
        <v>0</v>
      </c>
      <c r="BJ22" s="421">
        <v>0</v>
      </c>
      <c r="BK22" s="422"/>
      <c r="BL22" s="422">
        <v>0</v>
      </c>
      <c r="BM22" s="425">
        <v>0</v>
      </c>
      <c r="BN22" s="421">
        <v>0</v>
      </c>
      <c r="BO22" s="422"/>
      <c r="BP22" s="422">
        <v>0</v>
      </c>
      <c r="BQ22" s="423">
        <v>0</v>
      </c>
      <c r="BR22" s="424">
        <v>0</v>
      </c>
      <c r="BS22" s="422"/>
      <c r="BT22" s="422">
        <v>0</v>
      </c>
      <c r="BU22" s="425">
        <v>0</v>
      </c>
      <c r="BV22" s="326"/>
      <c r="BZ22" s="408">
        <f t="shared" si="5"/>
        <v>75000</v>
      </c>
      <c r="CA22" s="426">
        <f t="shared" si="2"/>
        <v>1</v>
      </c>
      <c r="CB22" s="427">
        <f t="shared" si="3"/>
        <v>1</v>
      </c>
      <c r="CC22" s="428">
        <f t="shared" si="3"/>
        <v>1</v>
      </c>
      <c r="CD22" s="412" t="str">
        <f t="shared" si="4"/>
        <v>Stack moving</v>
      </c>
      <c r="CE22" s="413" t="str">
        <f>IF(VLOOKUP($M22,'[2]OEM Group'!$B$6:$D$22,2,FALSE)&lt;&gt;0,VLOOKUP($M22,'[2]OEM Group'!$B$6:$D$22,2,FALSE),"")</f>
        <v>Viastore</v>
      </c>
      <c r="CF22" s="414" t="str">
        <f>IF(VLOOKUP($M22,'[2]OEM Group'!$B$6:$D$22,3,FALSE)&lt;&gt;0,VLOOKUP($M22,'[2]OEM Group'!$B$6:$D$22,3,FALSE),"")</f>
        <v/>
      </c>
      <c r="CG22" s="413" t="str">
        <f>IF(VLOOKUP($M22,'[2]OEM Group'!$B$6:$F$22,4,FALSE)&lt;&gt;"",VLOOKUP($M22,'[2]OEM Group'!$B$6:$F$22,4,FALSE),"")</f>
        <v>Dave Johnston</v>
      </c>
      <c r="CH22" s="414" t="str">
        <f>IF(VLOOKUP($M22,'[2]OEM Group'!$B$6:$F$22,5,FALSE)&lt;&gt;"",VLOOKUP($M22,'[2]OEM Group'!$B$6:$F$22,5,FALSE),"")</f>
        <v>Dave Johnston</v>
      </c>
    </row>
    <row r="23" spans="2:86">
      <c r="B23" s="333">
        <v>8</v>
      </c>
      <c r="C23" s="30" t="s">
        <v>87</v>
      </c>
      <c r="D23" s="392" t="s">
        <v>103</v>
      </c>
      <c r="E23" s="33">
        <v>43</v>
      </c>
      <c r="F23" s="293" t="s">
        <v>156</v>
      </c>
      <c r="G23" s="393"/>
      <c r="J23" s="394">
        <v>2</v>
      </c>
      <c r="K23" s="394" t="s">
        <v>106</v>
      </c>
      <c r="L23" s="32">
        <v>1</v>
      </c>
      <c r="M23" s="168" t="s">
        <v>125</v>
      </c>
      <c r="N23" s="415">
        <v>50000</v>
      </c>
      <c r="O23" s="416">
        <v>45000</v>
      </c>
      <c r="P23" s="416">
        <v>40000</v>
      </c>
      <c r="Q23" s="417">
        <v>0</v>
      </c>
      <c r="R23" s="417">
        <v>0</v>
      </c>
      <c r="S23" s="417">
        <v>0</v>
      </c>
      <c r="T23" s="418">
        <v>2</v>
      </c>
      <c r="U23" s="326">
        <f t="shared" si="0"/>
        <v>80000</v>
      </c>
      <c r="V23" s="264">
        <f t="shared" si="1"/>
        <v>80000</v>
      </c>
      <c r="W23" s="419">
        <v>50000</v>
      </c>
      <c r="X23" s="420">
        <v>100000</v>
      </c>
      <c r="Y23" s="32"/>
      <c r="Z23" s="421">
        <v>0</v>
      </c>
      <c r="AA23" s="422"/>
      <c r="AB23" s="422">
        <v>0</v>
      </c>
      <c r="AC23" s="423">
        <v>0</v>
      </c>
      <c r="AD23" s="424">
        <v>0</v>
      </c>
      <c r="AE23" s="422"/>
      <c r="AF23" s="422">
        <v>0</v>
      </c>
      <c r="AG23" s="425">
        <v>0</v>
      </c>
      <c r="AH23" s="421">
        <v>0</v>
      </c>
      <c r="AI23" s="422"/>
      <c r="AJ23" s="422">
        <v>0</v>
      </c>
      <c r="AK23" s="425">
        <v>0</v>
      </c>
      <c r="AL23" s="421">
        <v>0</v>
      </c>
      <c r="AM23" s="422"/>
      <c r="AN23" s="422">
        <v>0</v>
      </c>
      <c r="AO23" s="423">
        <v>0</v>
      </c>
      <c r="AP23" s="424">
        <v>0</v>
      </c>
      <c r="AQ23" s="422"/>
      <c r="AR23" s="422">
        <v>0</v>
      </c>
      <c r="AS23" s="423">
        <v>0</v>
      </c>
      <c r="AT23" s="424">
        <v>0</v>
      </c>
      <c r="AU23" s="422"/>
      <c r="AV23" s="422">
        <v>0</v>
      </c>
      <c r="AW23" s="423">
        <v>0</v>
      </c>
      <c r="AX23" s="424">
        <v>0</v>
      </c>
      <c r="AY23" s="422"/>
      <c r="AZ23" s="422">
        <v>0</v>
      </c>
      <c r="BA23" s="423">
        <v>0</v>
      </c>
      <c r="BB23" s="424">
        <v>0</v>
      </c>
      <c r="BC23" s="422"/>
      <c r="BD23" s="422">
        <v>0</v>
      </c>
      <c r="BE23" s="425">
        <v>0</v>
      </c>
      <c r="BF23" s="421">
        <v>1</v>
      </c>
      <c r="BG23" s="422"/>
      <c r="BH23" s="422">
        <v>1</v>
      </c>
      <c r="BI23" s="425">
        <v>1</v>
      </c>
      <c r="BJ23" s="421">
        <v>0</v>
      </c>
      <c r="BK23" s="422"/>
      <c r="BL23" s="422">
        <v>0</v>
      </c>
      <c r="BM23" s="425">
        <v>0</v>
      </c>
      <c r="BN23" s="421">
        <v>0</v>
      </c>
      <c r="BO23" s="422"/>
      <c r="BP23" s="422">
        <v>0</v>
      </c>
      <c r="BQ23" s="423">
        <v>0</v>
      </c>
      <c r="BR23" s="424">
        <v>0</v>
      </c>
      <c r="BS23" s="422"/>
      <c r="BT23" s="422">
        <v>0</v>
      </c>
      <c r="BU23" s="425">
        <v>0</v>
      </c>
      <c r="BV23" s="326"/>
      <c r="BZ23" s="408">
        <f t="shared" si="5"/>
        <v>150000</v>
      </c>
      <c r="CA23" s="426">
        <f t="shared" si="2"/>
        <v>1</v>
      </c>
      <c r="CB23" s="427">
        <f t="shared" si="3"/>
        <v>1</v>
      </c>
      <c r="CC23" s="428">
        <f t="shared" si="3"/>
        <v>1</v>
      </c>
      <c r="CD23" s="412" t="str">
        <f t="shared" si="4"/>
        <v>Picking</v>
      </c>
      <c r="CE23" s="413" t="str">
        <f>IF(VLOOKUP($M23,'[2]OEM Group'!$B$6:$D$22,2,FALSE)&lt;&gt;0,VLOOKUP($M23,'[2]OEM Group'!$B$6:$D$22,2,FALSE),"")</f>
        <v>Viastore</v>
      </c>
      <c r="CF23" s="414" t="str">
        <f>IF(VLOOKUP($M23,'[2]OEM Group'!$B$6:$D$22,3,FALSE)&lt;&gt;0,VLOOKUP($M23,'[2]OEM Group'!$B$6:$D$22,3,FALSE),"")</f>
        <v/>
      </c>
      <c r="CG23" s="413" t="str">
        <f>IF(VLOOKUP($M23,'[2]OEM Group'!$B$6:$F$22,4,FALSE)&lt;&gt;"",VLOOKUP($M23,'[2]OEM Group'!$B$6:$F$22,4,FALSE),"")</f>
        <v>Dave Johnston</v>
      </c>
      <c r="CH23" s="414" t="str">
        <f>IF(VLOOKUP($M23,'[2]OEM Group'!$B$6:$F$22,5,FALSE)&lt;&gt;"",VLOOKUP($M23,'[2]OEM Group'!$B$6:$F$22,5,FALSE),"")</f>
        <v>Dave Johnston</v>
      </c>
    </row>
    <row r="24" spans="2:86">
      <c r="B24" s="333">
        <v>13</v>
      </c>
      <c r="C24" s="30" t="s">
        <v>88</v>
      </c>
      <c r="D24" s="392" t="s">
        <v>110</v>
      </c>
      <c r="E24" s="33">
        <v>55</v>
      </c>
      <c r="F24" s="293" t="s">
        <v>170</v>
      </c>
      <c r="G24" s="393"/>
      <c r="H24" s="293" t="s">
        <v>691</v>
      </c>
      <c r="J24" s="394">
        <v>2</v>
      </c>
      <c r="K24" s="394" t="s">
        <v>106</v>
      </c>
      <c r="L24" s="32">
        <v>1</v>
      </c>
      <c r="M24" s="168" t="s">
        <v>125</v>
      </c>
      <c r="N24" s="415">
        <v>10000</v>
      </c>
      <c r="O24" s="416">
        <v>8000</v>
      </c>
      <c r="P24" s="416">
        <v>6000</v>
      </c>
      <c r="Q24" s="417">
        <v>0</v>
      </c>
      <c r="R24" s="417">
        <v>0</v>
      </c>
      <c r="S24" s="417">
        <v>0</v>
      </c>
      <c r="T24" s="418">
        <v>1</v>
      </c>
      <c r="U24" s="326">
        <f t="shared" si="0"/>
        <v>6000</v>
      </c>
      <c r="V24" s="264">
        <f t="shared" si="1"/>
        <v>6000</v>
      </c>
      <c r="W24" s="419">
        <v>0</v>
      </c>
      <c r="X24" s="420">
        <v>0</v>
      </c>
      <c r="Y24" s="32"/>
      <c r="Z24" s="421">
        <v>0</v>
      </c>
      <c r="AA24" s="422"/>
      <c r="AB24" s="422">
        <v>0</v>
      </c>
      <c r="AC24" s="423">
        <v>0</v>
      </c>
      <c r="AD24" s="424">
        <v>0</v>
      </c>
      <c r="AE24" s="422"/>
      <c r="AF24" s="422">
        <v>0</v>
      </c>
      <c r="AG24" s="425">
        <v>0</v>
      </c>
      <c r="AH24" s="421">
        <v>0</v>
      </c>
      <c r="AI24" s="422"/>
      <c r="AJ24" s="422">
        <v>0</v>
      </c>
      <c r="AK24" s="425">
        <v>0</v>
      </c>
      <c r="AL24" s="421">
        <v>0</v>
      </c>
      <c r="AM24" s="422"/>
      <c r="AN24" s="422">
        <v>0</v>
      </c>
      <c r="AO24" s="423">
        <v>0</v>
      </c>
      <c r="AP24" s="424">
        <v>0</v>
      </c>
      <c r="AQ24" s="422"/>
      <c r="AR24" s="422">
        <v>0</v>
      </c>
      <c r="AS24" s="423">
        <v>0</v>
      </c>
      <c r="AT24" s="424">
        <v>0</v>
      </c>
      <c r="AU24" s="422"/>
      <c r="AV24" s="422">
        <v>0</v>
      </c>
      <c r="AW24" s="423">
        <v>0</v>
      </c>
      <c r="AX24" s="424">
        <v>0</v>
      </c>
      <c r="AY24" s="422"/>
      <c r="AZ24" s="422">
        <v>0</v>
      </c>
      <c r="BA24" s="423">
        <v>0</v>
      </c>
      <c r="BB24" s="424">
        <v>0</v>
      </c>
      <c r="BC24" s="422"/>
      <c r="BD24" s="422">
        <v>0</v>
      </c>
      <c r="BE24" s="425">
        <v>0</v>
      </c>
      <c r="BF24" s="421">
        <v>0</v>
      </c>
      <c r="BG24" s="422"/>
      <c r="BH24" s="422">
        <v>0</v>
      </c>
      <c r="BI24" s="425">
        <v>0</v>
      </c>
      <c r="BJ24" s="421">
        <v>0</v>
      </c>
      <c r="BK24" s="422"/>
      <c r="BL24" s="422">
        <v>0</v>
      </c>
      <c r="BM24" s="425">
        <v>0</v>
      </c>
      <c r="BN24" s="421">
        <v>0</v>
      </c>
      <c r="BO24" s="422"/>
      <c r="BP24" s="422">
        <v>0</v>
      </c>
      <c r="BQ24" s="423">
        <v>0</v>
      </c>
      <c r="BR24" s="424">
        <v>0</v>
      </c>
      <c r="BS24" s="422"/>
      <c r="BT24" s="422">
        <v>0</v>
      </c>
      <c r="BU24" s="425">
        <v>0</v>
      </c>
      <c r="BV24" s="326"/>
      <c r="BZ24" s="408">
        <f t="shared" si="5"/>
        <v>0</v>
      </c>
      <c r="CA24" s="426">
        <f t="shared" si="2"/>
        <v>0</v>
      </c>
      <c r="CB24" s="427">
        <f t="shared" si="3"/>
        <v>0</v>
      </c>
      <c r="CC24" s="428">
        <f t="shared" si="3"/>
        <v>0</v>
      </c>
      <c r="CD24" s="412" t="str">
        <f t="shared" si="4"/>
        <v/>
      </c>
      <c r="CE24" s="413" t="str">
        <f>IF(VLOOKUP($M24,'[2]OEM Group'!$B$6:$D$22,2,FALSE)&lt;&gt;0,VLOOKUP($M24,'[2]OEM Group'!$B$6:$D$22,2,FALSE),"")</f>
        <v>Viastore</v>
      </c>
      <c r="CF24" s="414" t="str">
        <f>IF(VLOOKUP($M24,'[2]OEM Group'!$B$6:$D$22,3,FALSE)&lt;&gt;0,VLOOKUP($M24,'[2]OEM Group'!$B$6:$D$22,3,FALSE),"")</f>
        <v/>
      </c>
      <c r="CG24" s="413" t="str">
        <f>IF(VLOOKUP($M24,'[2]OEM Group'!$B$6:$F$22,4,FALSE)&lt;&gt;"",VLOOKUP($M24,'[2]OEM Group'!$B$6:$F$22,4,FALSE),"")</f>
        <v>Dave Johnston</v>
      </c>
      <c r="CH24" s="414" t="str">
        <f>IF(VLOOKUP($M24,'[2]OEM Group'!$B$6:$F$22,5,FALSE)&lt;&gt;"",VLOOKUP($M24,'[2]OEM Group'!$B$6:$F$22,5,FALSE),"")</f>
        <v>Dave Johnston</v>
      </c>
    </row>
    <row r="25" spans="2:86">
      <c r="B25" s="333">
        <v>13</v>
      </c>
      <c r="C25" s="30" t="s">
        <v>88</v>
      </c>
      <c r="D25" s="392" t="s">
        <v>110</v>
      </c>
      <c r="E25" s="33">
        <v>56</v>
      </c>
      <c r="F25" s="293" t="s">
        <v>171</v>
      </c>
      <c r="G25" s="393"/>
      <c r="H25" s="293" t="s">
        <v>691</v>
      </c>
      <c r="J25" s="394">
        <v>2</v>
      </c>
      <c r="K25" s="394" t="s">
        <v>106</v>
      </c>
      <c r="L25" s="32">
        <v>1</v>
      </c>
      <c r="M25" s="168" t="s">
        <v>125</v>
      </c>
      <c r="N25" s="415">
        <v>30000</v>
      </c>
      <c r="O25" s="416">
        <v>25000</v>
      </c>
      <c r="P25" s="416">
        <v>20000</v>
      </c>
      <c r="Q25" s="417">
        <v>0</v>
      </c>
      <c r="R25" s="417">
        <v>0</v>
      </c>
      <c r="S25" s="417">
        <v>0</v>
      </c>
      <c r="T25" s="418">
        <v>1</v>
      </c>
      <c r="U25" s="326">
        <f t="shared" si="0"/>
        <v>20000</v>
      </c>
      <c r="V25" s="264">
        <f t="shared" si="1"/>
        <v>20000</v>
      </c>
      <c r="W25" s="419">
        <v>0</v>
      </c>
      <c r="X25" s="420">
        <v>0</v>
      </c>
      <c r="Y25" s="32"/>
      <c r="Z25" s="421">
        <v>0</v>
      </c>
      <c r="AA25" s="422"/>
      <c r="AB25" s="422">
        <v>0</v>
      </c>
      <c r="AC25" s="423">
        <v>0</v>
      </c>
      <c r="AD25" s="424">
        <v>0</v>
      </c>
      <c r="AE25" s="422"/>
      <c r="AF25" s="422">
        <v>0</v>
      </c>
      <c r="AG25" s="425">
        <v>0</v>
      </c>
      <c r="AH25" s="421">
        <v>0</v>
      </c>
      <c r="AI25" s="422"/>
      <c r="AJ25" s="422">
        <v>0</v>
      </c>
      <c r="AK25" s="425">
        <v>0</v>
      </c>
      <c r="AL25" s="421">
        <v>0</v>
      </c>
      <c r="AM25" s="422"/>
      <c r="AN25" s="422">
        <v>0</v>
      </c>
      <c r="AO25" s="423">
        <v>0</v>
      </c>
      <c r="AP25" s="424">
        <v>0</v>
      </c>
      <c r="AQ25" s="422"/>
      <c r="AR25" s="422">
        <v>0</v>
      </c>
      <c r="AS25" s="423">
        <v>0</v>
      </c>
      <c r="AT25" s="424">
        <v>0</v>
      </c>
      <c r="AU25" s="422"/>
      <c r="AV25" s="422">
        <v>0</v>
      </c>
      <c r="AW25" s="423">
        <v>0</v>
      </c>
      <c r="AX25" s="424">
        <v>0</v>
      </c>
      <c r="AY25" s="422"/>
      <c r="AZ25" s="422">
        <v>0</v>
      </c>
      <c r="BA25" s="423">
        <v>0</v>
      </c>
      <c r="BB25" s="424">
        <v>0</v>
      </c>
      <c r="BC25" s="422"/>
      <c r="BD25" s="422">
        <v>0</v>
      </c>
      <c r="BE25" s="425">
        <v>0</v>
      </c>
      <c r="BF25" s="421">
        <v>0</v>
      </c>
      <c r="BG25" s="422"/>
      <c r="BH25" s="422">
        <v>0</v>
      </c>
      <c r="BI25" s="425">
        <v>0</v>
      </c>
      <c r="BJ25" s="421">
        <v>0</v>
      </c>
      <c r="BK25" s="422"/>
      <c r="BL25" s="422">
        <v>0</v>
      </c>
      <c r="BM25" s="425">
        <v>0</v>
      </c>
      <c r="BN25" s="421">
        <v>0</v>
      </c>
      <c r="BO25" s="422"/>
      <c r="BP25" s="422">
        <v>0</v>
      </c>
      <c r="BQ25" s="423">
        <v>0</v>
      </c>
      <c r="BR25" s="424">
        <v>0</v>
      </c>
      <c r="BS25" s="422"/>
      <c r="BT25" s="422">
        <v>0</v>
      </c>
      <c r="BU25" s="425">
        <v>0</v>
      </c>
      <c r="BV25" s="326"/>
      <c r="BZ25" s="408">
        <f t="shared" si="5"/>
        <v>0</v>
      </c>
      <c r="CA25" s="426">
        <f t="shared" si="2"/>
        <v>0</v>
      </c>
      <c r="CB25" s="427">
        <f t="shared" si="3"/>
        <v>0</v>
      </c>
      <c r="CC25" s="428">
        <f t="shared" si="3"/>
        <v>0</v>
      </c>
      <c r="CD25" s="412" t="str">
        <f t="shared" si="4"/>
        <v/>
      </c>
      <c r="CE25" s="413" t="str">
        <f>IF(VLOOKUP($M25,'[2]OEM Group'!$B$6:$D$22,2,FALSE)&lt;&gt;0,VLOOKUP($M25,'[2]OEM Group'!$B$6:$D$22,2,FALSE),"")</f>
        <v>Viastore</v>
      </c>
      <c r="CF25" s="414" t="str">
        <f>IF(VLOOKUP($M25,'[2]OEM Group'!$B$6:$D$22,3,FALSE)&lt;&gt;0,VLOOKUP($M25,'[2]OEM Group'!$B$6:$D$22,3,FALSE),"")</f>
        <v/>
      </c>
      <c r="CG25" s="413" t="str">
        <f>IF(VLOOKUP($M25,'[2]OEM Group'!$B$6:$F$22,4,FALSE)&lt;&gt;"",VLOOKUP($M25,'[2]OEM Group'!$B$6:$F$22,4,FALSE),"")</f>
        <v>Dave Johnston</v>
      </c>
      <c r="CH25" s="414" t="str">
        <f>IF(VLOOKUP($M25,'[2]OEM Group'!$B$6:$F$22,5,FALSE)&lt;&gt;"",VLOOKUP($M25,'[2]OEM Group'!$B$6:$F$22,5,FALSE),"")</f>
        <v>Dave Johnston</v>
      </c>
    </row>
    <row r="26" spans="2:86">
      <c r="B26" s="333">
        <v>13</v>
      </c>
      <c r="C26" s="30" t="s">
        <v>88</v>
      </c>
      <c r="D26" s="392" t="s">
        <v>110</v>
      </c>
      <c r="E26" s="33">
        <v>60</v>
      </c>
      <c r="F26" s="293" t="s">
        <v>176</v>
      </c>
      <c r="G26" s="393"/>
      <c r="H26" s="293" t="s">
        <v>691</v>
      </c>
      <c r="J26" s="394">
        <v>2</v>
      </c>
      <c r="K26" s="394" t="s">
        <v>106</v>
      </c>
      <c r="L26" s="32">
        <v>1</v>
      </c>
      <c r="M26" s="168" t="s">
        <v>125</v>
      </c>
      <c r="N26" s="415">
        <v>10000</v>
      </c>
      <c r="O26" s="416">
        <v>8000</v>
      </c>
      <c r="P26" s="416">
        <v>7000</v>
      </c>
      <c r="Q26" s="417">
        <v>0</v>
      </c>
      <c r="R26" s="417">
        <v>0</v>
      </c>
      <c r="S26" s="417">
        <v>0</v>
      </c>
      <c r="T26" s="418">
        <v>1</v>
      </c>
      <c r="U26" s="326">
        <f t="shared" si="0"/>
        <v>7000</v>
      </c>
      <c r="V26" s="264">
        <f t="shared" si="1"/>
        <v>7000</v>
      </c>
      <c r="W26" s="419">
        <v>0</v>
      </c>
      <c r="X26" s="420">
        <v>0</v>
      </c>
      <c r="Y26" s="32"/>
      <c r="Z26" s="421">
        <v>0</v>
      </c>
      <c r="AA26" s="422"/>
      <c r="AB26" s="422">
        <v>0</v>
      </c>
      <c r="AC26" s="423">
        <v>0</v>
      </c>
      <c r="AD26" s="424">
        <v>0</v>
      </c>
      <c r="AE26" s="422"/>
      <c r="AF26" s="422">
        <v>0</v>
      </c>
      <c r="AG26" s="425">
        <v>0</v>
      </c>
      <c r="AH26" s="421">
        <v>0</v>
      </c>
      <c r="AI26" s="422"/>
      <c r="AJ26" s="422">
        <v>0</v>
      </c>
      <c r="AK26" s="425">
        <v>0</v>
      </c>
      <c r="AL26" s="421">
        <v>0</v>
      </c>
      <c r="AM26" s="422"/>
      <c r="AN26" s="422">
        <v>0</v>
      </c>
      <c r="AO26" s="423">
        <v>0</v>
      </c>
      <c r="AP26" s="424">
        <v>0</v>
      </c>
      <c r="AQ26" s="422"/>
      <c r="AR26" s="422">
        <v>0</v>
      </c>
      <c r="AS26" s="423">
        <v>0</v>
      </c>
      <c r="AT26" s="424">
        <v>0</v>
      </c>
      <c r="AU26" s="422"/>
      <c r="AV26" s="422">
        <v>0</v>
      </c>
      <c r="AW26" s="423">
        <v>0</v>
      </c>
      <c r="AX26" s="424">
        <v>0</v>
      </c>
      <c r="AY26" s="422"/>
      <c r="AZ26" s="422">
        <v>0</v>
      </c>
      <c r="BA26" s="423">
        <v>0</v>
      </c>
      <c r="BB26" s="424">
        <v>0</v>
      </c>
      <c r="BC26" s="422"/>
      <c r="BD26" s="422">
        <v>0</v>
      </c>
      <c r="BE26" s="425">
        <v>0</v>
      </c>
      <c r="BF26" s="421">
        <v>0</v>
      </c>
      <c r="BG26" s="422"/>
      <c r="BH26" s="422">
        <v>0</v>
      </c>
      <c r="BI26" s="425">
        <v>0</v>
      </c>
      <c r="BJ26" s="421">
        <v>0</v>
      </c>
      <c r="BK26" s="422"/>
      <c r="BL26" s="422">
        <v>0</v>
      </c>
      <c r="BM26" s="425">
        <v>0</v>
      </c>
      <c r="BN26" s="421">
        <v>0</v>
      </c>
      <c r="BO26" s="422"/>
      <c r="BP26" s="422">
        <v>0</v>
      </c>
      <c r="BQ26" s="423">
        <v>0</v>
      </c>
      <c r="BR26" s="424">
        <v>0</v>
      </c>
      <c r="BS26" s="422"/>
      <c r="BT26" s="422">
        <v>0</v>
      </c>
      <c r="BU26" s="425">
        <v>0</v>
      </c>
      <c r="BV26" s="326"/>
      <c r="BZ26" s="408">
        <f t="shared" si="5"/>
        <v>0</v>
      </c>
      <c r="CA26" s="426">
        <f t="shared" si="2"/>
        <v>0</v>
      </c>
      <c r="CB26" s="427">
        <f t="shared" si="3"/>
        <v>0</v>
      </c>
      <c r="CC26" s="428">
        <f t="shared" si="3"/>
        <v>0</v>
      </c>
      <c r="CD26" s="412" t="str">
        <f t="shared" si="4"/>
        <v/>
      </c>
      <c r="CE26" s="413" t="str">
        <f>IF(VLOOKUP($M26,'[2]OEM Group'!$B$6:$D$22,2,FALSE)&lt;&gt;0,VLOOKUP($M26,'[2]OEM Group'!$B$6:$D$22,2,FALSE),"")</f>
        <v>Viastore</v>
      </c>
      <c r="CF26" s="414" t="str">
        <f>IF(VLOOKUP($M26,'[2]OEM Group'!$B$6:$D$22,3,FALSE)&lt;&gt;0,VLOOKUP($M26,'[2]OEM Group'!$B$6:$D$22,3,FALSE),"")</f>
        <v/>
      </c>
      <c r="CG26" s="413" t="str">
        <f>IF(VLOOKUP($M26,'[2]OEM Group'!$B$6:$F$22,4,FALSE)&lt;&gt;"",VLOOKUP($M26,'[2]OEM Group'!$B$6:$F$22,4,FALSE),"")</f>
        <v>Dave Johnston</v>
      </c>
      <c r="CH26" s="414" t="str">
        <f>IF(VLOOKUP($M26,'[2]OEM Group'!$B$6:$F$22,5,FALSE)&lt;&gt;"",VLOOKUP($M26,'[2]OEM Group'!$B$6:$F$22,5,FALSE),"")</f>
        <v>Dave Johnston</v>
      </c>
    </row>
    <row r="27" spans="2:86">
      <c r="B27" s="333">
        <v>13</v>
      </c>
      <c r="C27" s="30" t="s">
        <v>88</v>
      </c>
      <c r="D27" s="392" t="s">
        <v>110</v>
      </c>
      <c r="E27" s="33">
        <v>64</v>
      </c>
      <c r="F27" s="293" t="s">
        <v>180</v>
      </c>
      <c r="G27" s="393"/>
      <c r="H27" s="293" t="s">
        <v>691</v>
      </c>
      <c r="J27" s="394">
        <v>2</v>
      </c>
      <c r="K27" s="394" t="s">
        <v>106</v>
      </c>
      <c r="L27" s="32">
        <v>1</v>
      </c>
      <c r="M27" s="168" t="s">
        <v>125</v>
      </c>
      <c r="N27" s="415">
        <v>30000</v>
      </c>
      <c r="O27" s="416">
        <v>25000</v>
      </c>
      <c r="P27" s="416">
        <v>20000</v>
      </c>
      <c r="Q27" s="417">
        <v>0</v>
      </c>
      <c r="R27" s="417">
        <v>0</v>
      </c>
      <c r="S27" s="417">
        <v>0</v>
      </c>
      <c r="T27" s="418">
        <v>1</v>
      </c>
      <c r="U27" s="326">
        <f t="shared" si="0"/>
        <v>20000</v>
      </c>
      <c r="V27" s="264">
        <f t="shared" si="1"/>
        <v>20000</v>
      </c>
      <c r="W27" s="419">
        <v>0</v>
      </c>
      <c r="X27" s="420">
        <v>0</v>
      </c>
      <c r="Y27" s="32"/>
      <c r="Z27" s="421">
        <v>0</v>
      </c>
      <c r="AA27" s="422"/>
      <c r="AB27" s="422">
        <v>0</v>
      </c>
      <c r="AC27" s="423">
        <v>0</v>
      </c>
      <c r="AD27" s="424">
        <v>0</v>
      </c>
      <c r="AE27" s="422"/>
      <c r="AF27" s="422">
        <v>0</v>
      </c>
      <c r="AG27" s="425">
        <v>0</v>
      </c>
      <c r="AH27" s="421">
        <v>0</v>
      </c>
      <c r="AI27" s="422"/>
      <c r="AJ27" s="422">
        <v>0</v>
      </c>
      <c r="AK27" s="425">
        <v>0</v>
      </c>
      <c r="AL27" s="421">
        <v>0</v>
      </c>
      <c r="AM27" s="422"/>
      <c r="AN27" s="422">
        <v>0</v>
      </c>
      <c r="AO27" s="423">
        <v>0</v>
      </c>
      <c r="AP27" s="424">
        <v>0</v>
      </c>
      <c r="AQ27" s="422"/>
      <c r="AR27" s="422">
        <v>0</v>
      </c>
      <c r="AS27" s="423">
        <v>0</v>
      </c>
      <c r="AT27" s="424">
        <v>0</v>
      </c>
      <c r="AU27" s="422"/>
      <c r="AV27" s="422">
        <v>0</v>
      </c>
      <c r="AW27" s="423">
        <v>0</v>
      </c>
      <c r="AX27" s="424">
        <v>0</v>
      </c>
      <c r="AY27" s="422"/>
      <c r="AZ27" s="422">
        <v>0</v>
      </c>
      <c r="BA27" s="423">
        <v>0</v>
      </c>
      <c r="BB27" s="424">
        <v>0</v>
      </c>
      <c r="BC27" s="422"/>
      <c r="BD27" s="422">
        <v>0</v>
      </c>
      <c r="BE27" s="425">
        <v>0</v>
      </c>
      <c r="BF27" s="421">
        <v>0</v>
      </c>
      <c r="BG27" s="422"/>
      <c r="BH27" s="422">
        <v>0</v>
      </c>
      <c r="BI27" s="425">
        <v>0</v>
      </c>
      <c r="BJ27" s="421">
        <v>0</v>
      </c>
      <c r="BK27" s="422"/>
      <c r="BL27" s="422">
        <v>0</v>
      </c>
      <c r="BM27" s="425">
        <v>0</v>
      </c>
      <c r="BN27" s="421">
        <v>0</v>
      </c>
      <c r="BO27" s="422"/>
      <c r="BP27" s="422">
        <v>0</v>
      </c>
      <c r="BQ27" s="423">
        <v>0</v>
      </c>
      <c r="BR27" s="424">
        <v>0</v>
      </c>
      <c r="BS27" s="422"/>
      <c r="BT27" s="422">
        <v>0</v>
      </c>
      <c r="BU27" s="425">
        <v>0</v>
      </c>
      <c r="BV27" s="326"/>
      <c r="BZ27" s="408">
        <f t="shared" si="5"/>
        <v>0</v>
      </c>
      <c r="CA27" s="426">
        <f t="shared" si="2"/>
        <v>0</v>
      </c>
      <c r="CB27" s="427">
        <f t="shared" si="3"/>
        <v>0</v>
      </c>
      <c r="CC27" s="428">
        <f t="shared" si="3"/>
        <v>0</v>
      </c>
      <c r="CD27" s="412" t="str">
        <f t="shared" si="4"/>
        <v/>
      </c>
      <c r="CE27" s="413" t="str">
        <f>IF(VLOOKUP($M27,'[2]OEM Group'!$B$6:$D$22,2,FALSE)&lt;&gt;0,VLOOKUP($M27,'[2]OEM Group'!$B$6:$D$22,2,FALSE),"")</f>
        <v>Viastore</v>
      </c>
      <c r="CF27" s="414" t="str">
        <f>IF(VLOOKUP($M27,'[2]OEM Group'!$B$6:$D$22,3,FALSE)&lt;&gt;0,VLOOKUP($M27,'[2]OEM Group'!$B$6:$D$22,3,FALSE),"")</f>
        <v/>
      </c>
      <c r="CG27" s="413" t="str">
        <f>IF(VLOOKUP($M27,'[2]OEM Group'!$B$6:$F$22,4,FALSE)&lt;&gt;"",VLOOKUP($M27,'[2]OEM Group'!$B$6:$F$22,4,FALSE),"")</f>
        <v>Dave Johnston</v>
      </c>
      <c r="CH27" s="414" t="str">
        <f>IF(VLOOKUP($M27,'[2]OEM Group'!$B$6:$F$22,5,FALSE)&lt;&gt;"",VLOOKUP($M27,'[2]OEM Group'!$B$6:$F$22,5,FALSE),"")</f>
        <v>Dave Johnston</v>
      </c>
    </row>
    <row r="28" spans="2:86">
      <c r="B28" s="333">
        <v>15</v>
      </c>
      <c r="C28" s="30" t="s">
        <v>187</v>
      </c>
      <c r="D28" s="392" t="s">
        <v>103</v>
      </c>
      <c r="E28" s="33">
        <v>70</v>
      </c>
      <c r="F28" s="293" t="s">
        <v>187</v>
      </c>
      <c r="G28" s="393"/>
      <c r="H28" s="293" t="s">
        <v>691</v>
      </c>
      <c r="J28" s="394">
        <v>3</v>
      </c>
      <c r="K28" s="394" t="s">
        <v>106</v>
      </c>
      <c r="L28" s="32">
        <v>1</v>
      </c>
      <c r="M28" s="168" t="s">
        <v>198</v>
      </c>
      <c r="N28" s="415">
        <v>30000</v>
      </c>
      <c r="O28" s="416">
        <v>20000</v>
      </c>
      <c r="P28" s="416">
        <v>10000</v>
      </c>
      <c r="Q28" s="417">
        <v>0</v>
      </c>
      <c r="R28" s="417">
        <v>0</v>
      </c>
      <c r="S28" s="417">
        <v>0</v>
      </c>
      <c r="T28" s="418">
        <v>10</v>
      </c>
      <c r="U28" s="326">
        <f t="shared" si="0"/>
        <v>100000</v>
      </c>
      <c r="V28" s="264">
        <f t="shared" si="1"/>
        <v>100000</v>
      </c>
      <c r="W28" s="419">
        <v>0</v>
      </c>
      <c r="X28" s="420">
        <v>0</v>
      </c>
      <c r="Y28" s="32"/>
      <c r="Z28" s="421">
        <v>0</v>
      </c>
      <c r="AA28" s="422"/>
      <c r="AB28" s="422">
        <v>0</v>
      </c>
      <c r="AC28" s="423">
        <v>0</v>
      </c>
      <c r="AD28" s="424">
        <v>0</v>
      </c>
      <c r="AE28" s="422"/>
      <c r="AF28" s="422">
        <v>0</v>
      </c>
      <c r="AG28" s="425">
        <v>0</v>
      </c>
      <c r="AH28" s="421">
        <v>0</v>
      </c>
      <c r="AI28" s="422"/>
      <c r="AJ28" s="422">
        <v>0</v>
      </c>
      <c r="AK28" s="425">
        <v>0</v>
      </c>
      <c r="AL28" s="421">
        <v>0</v>
      </c>
      <c r="AM28" s="422"/>
      <c r="AN28" s="422">
        <v>0</v>
      </c>
      <c r="AO28" s="423">
        <v>0</v>
      </c>
      <c r="AP28" s="424">
        <v>0</v>
      </c>
      <c r="AQ28" s="422"/>
      <c r="AR28" s="422">
        <v>0</v>
      </c>
      <c r="AS28" s="423">
        <v>0</v>
      </c>
      <c r="AT28" s="424">
        <v>0</v>
      </c>
      <c r="AU28" s="422"/>
      <c r="AV28" s="422">
        <v>0</v>
      </c>
      <c r="AW28" s="423">
        <v>0</v>
      </c>
      <c r="AX28" s="424">
        <v>0</v>
      </c>
      <c r="AY28" s="422"/>
      <c r="AZ28" s="422">
        <v>0</v>
      </c>
      <c r="BA28" s="423">
        <v>0</v>
      </c>
      <c r="BB28" s="424">
        <v>0</v>
      </c>
      <c r="BC28" s="422"/>
      <c r="BD28" s="422">
        <v>0</v>
      </c>
      <c r="BE28" s="425">
        <v>0</v>
      </c>
      <c r="BF28" s="421">
        <v>0</v>
      </c>
      <c r="BG28" s="422"/>
      <c r="BH28" s="422">
        <v>0</v>
      </c>
      <c r="BI28" s="425">
        <v>0</v>
      </c>
      <c r="BJ28" s="421">
        <v>0</v>
      </c>
      <c r="BK28" s="422"/>
      <c r="BL28" s="422">
        <v>0</v>
      </c>
      <c r="BM28" s="425">
        <v>0</v>
      </c>
      <c r="BN28" s="421">
        <v>0</v>
      </c>
      <c r="BO28" s="422"/>
      <c r="BP28" s="422">
        <v>0</v>
      </c>
      <c r="BQ28" s="423">
        <v>0</v>
      </c>
      <c r="BR28" s="424">
        <v>0</v>
      </c>
      <c r="BS28" s="422"/>
      <c r="BT28" s="422">
        <v>0</v>
      </c>
      <c r="BU28" s="425">
        <v>0</v>
      </c>
      <c r="BV28" s="326"/>
      <c r="BZ28" s="408">
        <f t="shared" si="5"/>
        <v>0</v>
      </c>
      <c r="CA28" s="426">
        <f t="shared" si="2"/>
        <v>0</v>
      </c>
      <c r="CB28" s="427">
        <f t="shared" si="3"/>
        <v>0</v>
      </c>
      <c r="CC28" s="428">
        <f t="shared" si="3"/>
        <v>0</v>
      </c>
      <c r="CD28" s="412" t="str">
        <f t="shared" si="4"/>
        <v/>
      </c>
      <c r="CE28" s="413" t="str">
        <f>IF(VLOOKUP($M28,'[2]OEM Group'!$B$6:$D$22,2,FALSE)&lt;&gt;0,VLOOKUP($M28,'[2]OEM Group'!$B$6:$D$22,2,FALSE),"")</f>
        <v>Unknown</v>
      </c>
      <c r="CF28" s="414" t="str">
        <f>IF(VLOOKUP($M28,'[2]OEM Group'!$B$6:$D$22,3,FALSE)&lt;&gt;0,VLOOKUP($M28,'[2]OEM Group'!$B$6:$D$22,3,FALSE),"")</f>
        <v/>
      </c>
      <c r="CG28" s="413" t="str">
        <f>IF(VLOOKUP($M28,'[2]OEM Group'!$B$6:$F$22,4,FALSE)&lt;&gt;"",VLOOKUP($M28,'[2]OEM Group'!$B$6:$F$22,4,FALSE),"")</f>
        <v>Aravind Durai</v>
      </c>
      <c r="CH28" s="414" t="str">
        <f>IF(VLOOKUP($M28,'[2]OEM Group'!$B$6:$F$22,5,FALSE)&lt;&gt;"",VLOOKUP($M28,'[2]OEM Group'!$B$6:$F$22,5,FALSE),"")</f>
        <v>David McCalib</v>
      </c>
    </row>
    <row r="29" spans="2:86">
      <c r="B29" s="333">
        <v>8</v>
      </c>
      <c r="C29" s="30" t="s">
        <v>87</v>
      </c>
      <c r="D29" s="392" t="s">
        <v>103</v>
      </c>
      <c r="E29" s="33">
        <v>47</v>
      </c>
      <c r="F29" s="293" t="s">
        <v>134</v>
      </c>
      <c r="G29" s="393">
        <v>1</v>
      </c>
      <c r="I29" s="325" t="s">
        <v>106</v>
      </c>
      <c r="J29" s="394">
        <v>2</v>
      </c>
      <c r="K29" s="394" t="s">
        <v>106</v>
      </c>
      <c r="L29" s="32">
        <v>1</v>
      </c>
      <c r="M29" s="168" t="s">
        <v>135</v>
      </c>
      <c r="N29" s="429">
        <v>10000</v>
      </c>
      <c r="O29" s="430">
        <v>8000</v>
      </c>
      <c r="P29" s="430">
        <v>6000</v>
      </c>
      <c r="Q29" s="417">
        <v>0</v>
      </c>
      <c r="R29" s="417">
        <v>0</v>
      </c>
      <c r="S29" s="417">
        <v>0</v>
      </c>
      <c r="T29" s="418">
        <v>16</v>
      </c>
      <c r="U29" s="326">
        <f t="shared" si="0"/>
        <v>96000</v>
      </c>
      <c r="V29" s="264">
        <f t="shared" si="1"/>
        <v>96000</v>
      </c>
      <c r="W29" s="419">
        <v>0</v>
      </c>
      <c r="X29" s="420">
        <v>0</v>
      </c>
      <c r="Y29" s="32"/>
      <c r="Z29" s="421">
        <v>0</v>
      </c>
      <c r="AA29" s="422"/>
      <c r="AB29" s="422">
        <v>0</v>
      </c>
      <c r="AC29" s="423">
        <v>0</v>
      </c>
      <c r="AD29" s="424">
        <v>0</v>
      </c>
      <c r="AE29" s="422"/>
      <c r="AF29" s="422">
        <v>0</v>
      </c>
      <c r="AG29" s="425">
        <v>0</v>
      </c>
      <c r="AH29" s="421">
        <v>0</v>
      </c>
      <c r="AI29" s="422"/>
      <c r="AJ29" s="422">
        <v>0</v>
      </c>
      <c r="AK29" s="425">
        <v>0</v>
      </c>
      <c r="AL29" s="421">
        <v>0</v>
      </c>
      <c r="AM29" s="422"/>
      <c r="AN29" s="422">
        <v>0</v>
      </c>
      <c r="AO29" s="423">
        <v>0</v>
      </c>
      <c r="AP29" s="424">
        <v>0</v>
      </c>
      <c r="AQ29" s="422"/>
      <c r="AR29" s="422">
        <v>0</v>
      </c>
      <c r="AS29" s="423">
        <v>0</v>
      </c>
      <c r="AT29" s="424">
        <v>0</v>
      </c>
      <c r="AU29" s="422"/>
      <c r="AV29" s="422">
        <v>0</v>
      </c>
      <c r="AW29" s="423">
        <v>0</v>
      </c>
      <c r="AX29" s="424">
        <v>0</v>
      </c>
      <c r="AY29" s="422"/>
      <c r="AZ29" s="422">
        <v>0</v>
      </c>
      <c r="BA29" s="423">
        <v>0</v>
      </c>
      <c r="BB29" s="424">
        <v>0</v>
      </c>
      <c r="BC29" s="422"/>
      <c r="BD29" s="422">
        <v>0</v>
      </c>
      <c r="BE29" s="425">
        <v>0</v>
      </c>
      <c r="BF29" s="421">
        <v>0</v>
      </c>
      <c r="BG29" s="422"/>
      <c r="BH29" s="422">
        <v>0</v>
      </c>
      <c r="BI29" s="425">
        <v>0</v>
      </c>
      <c r="BJ29" s="421">
        <v>0</v>
      </c>
      <c r="BK29" s="422"/>
      <c r="BL29" s="422">
        <v>0</v>
      </c>
      <c r="BM29" s="425">
        <v>0</v>
      </c>
      <c r="BN29" s="421">
        <v>0</v>
      </c>
      <c r="BO29" s="422"/>
      <c r="BP29" s="422">
        <v>0</v>
      </c>
      <c r="BQ29" s="423">
        <v>0</v>
      </c>
      <c r="BR29" s="424">
        <v>0</v>
      </c>
      <c r="BS29" s="422"/>
      <c r="BT29" s="422">
        <v>0</v>
      </c>
      <c r="BU29" s="425">
        <v>0</v>
      </c>
      <c r="BV29" s="326"/>
      <c r="BZ29" s="408">
        <f t="shared" si="5"/>
        <v>0</v>
      </c>
      <c r="CA29" s="426">
        <f t="shared" si="2"/>
        <v>0</v>
      </c>
      <c r="CB29" s="427">
        <f t="shared" si="3"/>
        <v>0</v>
      </c>
      <c r="CC29" s="428">
        <f t="shared" si="3"/>
        <v>0</v>
      </c>
      <c r="CD29" s="412" t="str">
        <f t="shared" si="4"/>
        <v/>
      </c>
      <c r="CE29" s="413" t="str">
        <f>IF(VLOOKUP($M29,'[2]OEM Group'!$B$6:$D$22,2,FALSE)&lt;&gt;0,VLOOKUP($M29,'[2]OEM Group'!$B$6:$D$22,2,FALSE),"")</f>
        <v>ViaStore</v>
      </c>
      <c r="CF29" s="414" t="str">
        <f>IF(VLOOKUP($M29,'[2]OEM Group'!$B$6:$D$22,3,FALSE)&lt;&gt;0,VLOOKUP($M29,'[2]OEM Group'!$B$6:$D$22,3,FALSE),"")</f>
        <v/>
      </c>
      <c r="CG29" s="413" t="str">
        <f>IF(VLOOKUP($M29,'[2]OEM Group'!$B$6:$F$22,4,FALSE)&lt;&gt;"",VLOOKUP($M29,'[2]OEM Group'!$B$6:$F$22,4,FALSE),"")</f>
        <v>Dave Johnston</v>
      </c>
      <c r="CH29" s="414" t="str">
        <f>IF(VLOOKUP($M29,'[2]OEM Group'!$B$6:$F$22,5,FALSE)&lt;&gt;"",VLOOKUP($M29,'[2]OEM Group'!$B$6:$F$22,5,FALSE),"")</f>
        <v>David McCalib</v>
      </c>
    </row>
    <row r="30" spans="2:86">
      <c r="B30" s="333">
        <v>8</v>
      </c>
      <c r="C30" s="30" t="s">
        <v>87</v>
      </c>
      <c r="D30" s="392" t="s">
        <v>103</v>
      </c>
      <c r="E30" s="33">
        <v>48</v>
      </c>
      <c r="F30" s="293" t="s">
        <v>139</v>
      </c>
      <c r="G30" s="393">
        <v>1</v>
      </c>
      <c r="I30" s="325" t="s">
        <v>106</v>
      </c>
      <c r="J30" s="394">
        <v>2</v>
      </c>
      <c r="K30" s="394" t="s">
        <v>106</v>
      </c>
      <c r="L30" s="326">
        <v>1</v>
      </c>
      <c r="M30" s="168" t="s">
        <v>135</v>
      </c>
      <c r="N30" s="415">
        <v>4000</v>
      </c>
      <c r="O30" s="416">
        <v>3000</v>
      </c>
      <c r="P30" s="416">
        <v>2000</v>
      </c>
      <c r="Q30" s="417">
        <v>0</v>
      </c>
      <c r="R30" s="417">
        <v>0</v>
      </c>
      <c r="S30" s="417">
        <v>0</v>
      </c>
      <c r="T30" s="418">
        <v>16</v>
      </c>
      <c r="U30" s="326">
        <f t="shared" si="0"/>
        <v>32000</v>
      </c>
      <c r="V30" s="264">
        <f t="shared" si="1"/>
        <v>32000</v>
      </c>
      <c r="W30" s="419">
        <v>0</v>
      </c>
      <c r="X30" s="420">
        <v>0</v>
      </c>
      <c r="Y30" s="32"/>
      <c r="Z30" s="421">
        <v>0</v>
      </c>
      <c r="AA30" s="422"/>
      <c r="AB30" s="422">
        <v>0</v>
      </c>
      <c r="AC30" s="423">
        <v>0</v>
      </c>
      <c r="AD30" s="424">
        <v>0</v>
      </c>
      <c r="AE30" s="422"/>
      <c r="AF30" s="422">
        <v>0</v>
      </c>
      <c r="AG30" s="425">
        <v>0</v>
      </c>
      <c r="AH30" s="421">
        <v>0</v>
      </c>
      <c r="AI30" s="422"/>
      <c r="AJ30" s="422">
        <v>0</v>
      </c>
      <c r="AK30" s="425">
        <v>0</v>
      </c>
      <c r="AL30" s="421">
        <v>0</v>
      </c>
      <c r="AM30" s="422"/>
      <c r="AN30" s="422">
        <v>0</v>
      </c>
      <c r="AO30" s="423">
        <v>0</v>
      </c>
      <c r="AP30" s="424">
        <v>0</v>
      </c>
      <c r="AQ30" s="422"/>
      <c r="AR30" s="422">
        <v>0</v>
      </c>
      <c r="AS30" s="423">
        <v>0</v>
      </c>
      <c r="AT30" s="424">
        <v>0</v>
      </c>
      <c r="AU30" s="422"/>
      <c r="AV30" s="422">
        <v>0</v>
      </c>
      <c r="AW30" s="423">
        <v>0</v>
      </c>
      <c r="AX30" s="424">
        <v>0</v>
      </c>
      <c r="AY30" s="422"/>
      <c r="AZ30" s="422">
        <v>0</v>
      </c>
      <c r="BA30" s="423">
        <v>0</v>
      </c>
      <c r="BB30" s="424">
        <v>0</v>
      </c>
      <c r="BC30" s="422"/>
      <c r="BD30" s="422">
        <v>0</v>
      </c>
      <c r="BE30" s="425">
        <v>0</v>
      </c>
      <c r="BF30" s="421">
        <v>0</v>
      </c>
      <c r="BG30" s="422"/>
      <c r="BH30" s="422">
        <v>0</v>
      </c>
      <c r="BI30" s="425">
        <v>0</v>
      </c>
      <c r="BJ30" s="421">
        <v>0</v>
      </c>
      <c r="BK30" s="422"/>
      <c r="BL30" s="422">
        <v>0</v>
      </c>
      <c r="BM30" s="425">
        <v>0</v>
      </c>
      <c r="BN30" s="421">
        <v>0</v>
      </c>
      <c r="BO30" s="422"/>
      <c r="BP30" s="422">
        <v>0</v>
      </c>
      <c r="BQ30" s="423">
        <v>0</v>
      </c>
      <c r="BR30" s="424">
        <v>0</v>
      </c>
      <c r="BS30" s="422"/>
      <c r="BT30" s="422">
        <v>0</v>
      </c>
      <c r="BU30" s="425">
        <v>0</v>
      </c>
      <c r="BV30" s="326"/>
      <c r="BZ30" s="408">
        <f t="shared" si="5"/>
        <v>0</v>
      </c>
      <c r="CA30" s="426">
        <f t="shared" si="2"/>
        <v>0</v>
      </c>
      <c r="CB30" s="427">
        <f t="shared" si="3"/>
        <v>0</v>
      </c>
      <c r="CC30" s="428">
        <f t="shared" si="3"/>
        <v>0</v>
      </c>
      <c r="CD30" s="412" t="str">
        <f t="shared" si="4"/>
        <v/>
      </c>
      <c r="CE30" s="413" t="str">
        <f>IF(VLOOKUP($M30,'[2]OEM Group'!$B$6:$D$22,2,FALSE)&lt;&gt;0,VLOOKUP($M30,'[2]OEM Group'!$B$6:$D$22,2,FALSE),"")</f>
        <v>ViaStore</v>
      </c>
      <c r="CF30" s="414" t="str">
        <f>IF(VLOOKUP($M30,'[2]OEM Group'!$B$6:$D$22,3,FALSE)&lt;&gt;0,VLOOKUP($M30,'[2]OEM Group'!$B$6:$D$22,3,FALSE),"")</f>
        <v/>
      </c>
      <c r="CG30" s="413" t="str">
        <f>IF(VLOOKUP($M30,'[2]OEM Group'!$B$6:$F$22,4,FALSE)&lt;&gt;"",VLOOKUP($M30,'[2]OEM Group'!$B$6:$F$22,4,FALSE),"")</f>
        <v>Dave Johnston</v>
      </c>
      <c r="CH30" s="414" t="str">
        <f>IF(VLOOKUP($M30,'[2]OEM Group'!$B$6:$F$22,5,FALSE)&lt;&gt;"",VLOOKUP($M30,'[2]OEM Group'!$B$6:$F$22,5,FALSE),"")</f>
        <v>David McCalib</v>
      </c>
    </row>
    <row r="31" spans="2:86">
      <c r="B31" s="333">
        <v>13</v>
      </c>
      <c r="C31" s="30" t="s">
        <v>88</v>
      </c>
      <c r="D31" s="392" t="s">
        <v>110</v>
      </c>
      <c r="E31" s="33">
        <v>61</v>
      </c>
      <c r="F31" s="293" t="s">
        <v>177</v>
      </c>
      <c r="G31" s="393"/>
      <c r="H31" s="293" t="s">
        <v>691</v>
      </c>
      <c r="J31" s="394">
        <v>2</v>
      </c>
      <c r="K31" s="394" t="s">
        <v>106</v>
      </c>
      <c r="L31" s="32">
        <v>1</v>
      </c>
      <c r="M31" s="168" t="s">
        <v>135</v>
      </c>
      <c r="N31" s="415">
        <v>500</v>
      </c>
      <c r="O31" s="416">
        <v>500</v>
      </c>
      <c r="P31" s="416">
        <v>500</v>
      </c>
      <c r="Q31" s="417">
        <v>0</v>
      </c>
      <c r="R31" s="417">
        <v>0</v>
      </c>
      <c r="S31" s="417">
        <v>0</v>
      </c>
      <c r="T31" s="418">
        <v>1</v>
      </c>
      <c r="U31" s="326">
        <f t="shared" si="0"/>
        <v>500</v>
      </c>
      <c r="V31" s="264">
        <f t="shared" si="1"/>
        <v>500</v>
      </c>
      <c r="W31" s="419">
        <v>0</v>
      </c>
      <c r="X31" s="420">
        <v>0</v>
      </c>
      <c r="Y31" s="32"/>
      <c r="Z31" s="421">
        <v>0</v>
      </c>
      <c r="AA31" s="422"/>
      <c r="AB31" s="422">
        <v>0</v>
      </c>
      <c r="AC31" s="423">
        <v>0</v>
      </c>
      <c r="AD31" s="424">
        <v>0</v>
      </c>
      <c r="AE31" s="422"/>
      <c r="AF31" s="422">
        <v>0</v>
      </c>
      <c r="AG31" s="425">
        <v>0</v>
      </c>
      <c r="AH31" s="421">
        <v>0</v>
      </c>
      <c r="AI31" s="422"/>
      <c r="AJ31" s="422">
        <v>0</v>
      </c>
      <c r="AK31" s="425">
        <v>0</v>
      </c>
      <c r="AL31" s="421">
        <v>0</v>
      </c>
      <c r="AM31" s="422"/>
      <c r="AN31" s="422">
        <v>0</v>
      </c>
      <c r="AO31" s="423">
        <v>0</v>
      </c>
      <c r="AP31" s="424">
        <v>0</v>
      </c>
      <c r="AQ31" s="422"/>
      <c r="AR31" s="422">
        <v>0</v>
      </c>
      <c r="AS31" s="423">
        <v>0</v>
      </c>
      <c r="AT31" s="424">
        <v>0</v>
      </c>
      <c r="AU31" s="422"/>
      <c r="AV31" s="422">
        <v>0</v>
      </c>
      <c r="AW31" s="423">
        <v>0</v>
      </c>
      <c r="AX31" s="424">
        <v>0</v>
      </c>
      <c r="AY31" s="422"/>
      <c r="AZ31" s="422">
        <v>0</v>
      </c>
      <c r="BA31" s="423">
        <v>0</v>
      </c>
      <c r="BB31" s="424">
        <v>0</v>
      </c>
      <c r="BC31" s="422"/>
      <c r="BD31" s="422">
        <v>0</v>
      </c>
      <c r="BE31" s="425">
        <v>0</v>
      </c>
      <c r="BF31" s="421">
        <v>0</v>
      </c>
      <c r="BG31" s="422"/>
      <c r="BH31" s="422">
        <v>0</v>
      </c>
      <c r="BI31" s="425">
        <v>0</v>
      </c>
      <c r="BJ31" s="421">
        <v>0</v>
      </c>
      <c r="BK31" s="422"/>
      <c r="BL31" s="422">
        <v>0</v>
      </c>
      <c r="BM31" s="425">
        <v>0</v>
      </c>
      <c r="BN31" s="421">
        <v>0</v>
      </c>
      <c r="BO31" s="422"/>
      <c r="BP31" s="422">
        <v>0</v>
      </c>
      <c r="BQ31" s="423">
        <v>0</v>
      </c>
      <c r="BR31" s="424">
        <v>0</v>
      </c>
      <c r="BS31" s="422"/>
      <c r="BT31" s="422">
        <v>0</v>
      </c>
      <c r="BU31" s="425">
        <v>0</v>
      </c>
      <c r="BV31" s="326"/>
      <c r="BZ31" s="408">
        <f t="shared" si="5"/>
        <v>0</v>
      </c>
      <c r="CA31" s="426">
        <f t="shared" si="2"/>
        <v>0</v>
      </c>
      <c r="CB31" s="427">
        <f t="shared" si="3"/>
        <v>0</v>
      </c>
      <c r="CC31" s="428">
        <f t="shared" si="3"/>
        <v>0</v>
      </c>
      <c r="CD31" s="412" t="str">
        <f t="shared" si="4"/>
        <v/>
      </c>
      <c r="CE31" s="413" t="str">
        <f>IF(VLOOKUP($M31,'[2]OEM Group'!$B$6:$D$22,2,FALSE)&lt;&gt;0,VLOOKUP($M31,'[2]OEM Group'!$B$6:$D$22,2,FALSE),"")</f>
        <v>ViaStore</v>
      </c>
      <c r="CF31" s="414" t="str">
        <f>IF(VLOOKUP($M31,'[2]OEM Group'!$B$6:$D$22,3,FALSE)&lt;&gt;0,VLOOKUP($M31,'[2]OEM Group'!$B$6:$D$22,3,FALSE),"")</f>
        <v/>
      </c>
      <c r="CG31" s="413" t="str">
        <f>IF(VLOOKUP($M31,'[2]OEM Group'!$B$6:$F$22,4,FALSE)&lt;&gt;"",VLOOKUP($M31,'[2]OEM Group'!$B$6:$F$22,4,FALSE),"")</f>
        <v>Dave Johnston</v>
      </c>
      <c r="CH31" s="414" t="str">
        <f>IF(VLOOKUP($M31,'[2]OEM Group'!$B$6:$F$22,5,FALSE)&lt;&gt;"",VLOOKUP($M31,'[2]OEM Group'!$B$6:$F$22,5,FALSE),"")</f>
        <v>David McCalib</v>
      </c>
    </row>
    <row r="32" spans="2:86">
      <c r="B32" s="333">
        <v>2</v>
      </c>
      <c r="C32" s="30" t="s">
        <v>119</v>
      </c>
      <c r="D32" s="392" t="s">
        <v>110</v>
      </c>
      <c r="E32" s="33">
        <v>15</v>
      </c>
      <c r="F32" s="293" t="s">
        <v>128</v>
      </c>
      <c r="G32" s="393"/>
      <c r="H32" s="293" t="s">
        <v>691</v>
      </c>
      <c r="J32" s="394">
        <v>2</v>
      </c>
      <c r="K32" s="394" t="s">
        <v>106</v>
      </c>
      <c r="L32" s="326">
        <v>1</v>
      </c>
      <c r="M32" s="168" t="s">
        <v>129</v>
      </c>
      <c r="N32" s="415">
        <v>15000</v>
      </c>
      <c r="O32" s="416">
        <v>13000</v>
      </c>
      <c r="P32" s="416">
        <v>11000</v>
      </c>
      <c r="Q32" s="417">
        <v>0</v>
      </c>
      <c r="R32" s="417">
        <v>0</v>
      </c>
      <c r="S32" s="417">
        <v>0</v>
      </c>
      <c r="T32" s="418">
        <v>3</v>
      </c>
      <c r="U32" s="326">
        <f t="shared" si="0"/>
        <v>33000</v>
      </c>
      <c r="V32" s="264">
        <f t="shared" si="1"/>
        <v>33000</v>
      </c>
      <c r="W32" s="419">
        <v>30000</v>
      </c>
      <c r="X32" s="420">
        <v>30000</v>
      </c>
      <c r="Y32" s="32"/>
      <c r="Z32" s="421">
        <v>0</v>
      </c>
      <c r="AA32" s="422"/>
      <c r="AB32" s="422">
        <v>0</v>
      </c>
      <c r="AC32" s="423">
        <v>0</v>
      </c>
      <c r="AD32" s="424">
        <v>0</v>
      </c>
      <c r="AE32" s="422"/>
      <c r="AF32" s="422">
        <v>0</v>
      </c>
      <c r="AG32" s="425">
        <v>0</v>
      </c>
      <c r="AH32" s="421">
        <v>0</v>
      </c>
      <c r="AI32" s="422"/>
      <c r="AJ32" s="422">
        <v>0</v>
      </c>
      <c r="AK32" s="425">
        <v>0</v>
      </c>
      <c r="AL32" s="421">
        <v>0</v>
      </c>
      <c r="AM32" s="422"/>
      <c r="AN32" s="422">
        <v>1</v>
      </c>
      <c r="AO32" s="423">
        <v>0</v>
      </c>
      <c r="AP32" s="424">
        <v>0</v>
      </c>
      <c r="AQ32" s="422"/>
      <c r="AR32" s="422">
        <v>0</v>
      </c>
      <c r="AS32" s="423">
        <v>0</v>
      </c>
      <c r="AT32" s="424">
        <v>0</v>
      </c>
      <c r="AU32" s="422"/>
      <c r="AV32" s="422">
        <v>0</v>
      </c>
      <c r="AW32" s="423">
        <v>0</v>
      </c>
      <c r="AX32" s="424">
        <v>0</v>
      </c>
      <c r="AY32" s="422"/>
      <c r="AZ32" s="422">
        <v>0</v>
      </c>
      <c r="BA32" s="423">
        <v>0</v>
      </c>
      <c r="BB32" s="424">
        <v>0</v>
      </c>
      <c r="BC32" s="422"/>
      <c r="BD32" s="422">
        <v>0</v>
      </c>
      <c r="BE32" s="425">
        <v>0</v>
      </c>
      <c r="BF32" s="421">
        <v>0</v>
      </c>
      <c r="BG32" s="422"/>
      <c r="BH32" s="422">
        <v>0</v>
      </c>
      <c r="BI32" s="425">
        <v>0</v>
      </c>
      <c r="BJ32" s="421">
        <v>0</v>
      </c>
      <c r="BK32" s="422"/>
      <c r="BL32" s="422">
        <v>0</v>
      </c>
      <c r="BM32" s="425">
        <v>0</v>
      </c>
      <c r="BN32" s="421">
        <v>0</v>
      </c>
      <c r="BO32" s="422"/>
      <c r="BP32" s="422">
        <v>0</v>
      </c>
      <c r="BQ32" s="423">
        <v>0</v>
      </c>
      <c r="BR32" s="424">
        <v>0</v>
      </c>
      <c r="BS32" s="422"/>
      <c r="BT32" s="422">
        <v>0</v>
      </c>
      <c r="BU32" s="425">
        <v>0</v>
      </c>
      <c r="BV32" s="326"/>
      <c r="BZ32" s="408">
        <f t="shared" si="5"/>
        <v>60000</v>
      </c>
      <c r="CA32" s="426">
        <f t="shared" si="2"/>
        <v>0</v>
      </c>
      <c r="CB32" s="427">
        <f t="shared" si="3"/>
        <v>1</v>
      </c>
      <c r="CC32" s="428">
        <f t="shared" si="3"/>
        <v>0</v>
      </c>
      <c r="CD32" s="412" t="str">
        <f t="shared" si="4"/>
        <v>Stack moving</v>
      </c>
      <c r="CE32" s="413" t="str">
        <f>IF(VLOOKUP($M32,'[2]OEM Group'!$B$6:$D$22,2,FALSE)&lt;&gt;0,VLOOKUP($M32,'[2]OEM Group'!$B$6:$D$22,2,FALSE),"")</f>
        <v/>
      </c>
      <c r="CF32" s="414" t="str">
        <f>IF(VLOOKUP($M32,'[2]OEM Group'!$B$6:$D$22,3,FALSE)&lt;&gt;0,VLOOKUP($M32,'[2]OEM Group'!$B$6:$D$22,3,FALSE),"")</f>
        <v>Brenton (Promach)</v>
      </c>
      <c r="CG32" s="413" t="str">
        <f>IF(VLOOKUP($M32,'[2]OEM Group'!$B$6:$F$22,4,FALSE)&lt;&gt;"",VLOOKUP($M32,'[2]OEM Group'!$B$6:$F$22,4,FALSE),"")</f>
        <v>Unassigned</v>
      </c>
      <c r="CH32" s="414" t="str">
        <f>IF(VLOOKUP($M32,'[2]OEM Group'!$B$6:$F$22,5,FALSE)&lt;&gt;"",VLOOKUP($M32,'[2]OEM Group'!$B$6:$F$22,5,FALSE),"")</f>
        <v>Unassigned</v>
      </c>
    </row>
    <row r="33" spans="2:86">
      <c r="B33" s="333">
        <v>2</v>
      </c>
      <c r="C33" s="30" t="s">
        <v>119</v>
      </c>
      <c r="D33" s="392" t="s">
        <v>110</v>
      </c>
      <c r="E33" s="33">
        <v>16</v>
      </c>
      <c r="F33" s="293" t="s">
        <v>130</v>
      </c>
      <c r="G33" s="393"/>
      <c r="H33" s="293" t="s">
        <v>691</v>
      </c>
      <c r="I33" s="325" t="s">
        <v>106</v>
      </c>
      <c r="J33" s="394">
        <v>2</v>
      </c>
      <c r="K33" s="394" t="s">
        <v>106</v>
      </c>
      <c r="L33" s="32" t="s">
        <v>0</v>
      </c>
      <c r="M33" s="168" t="s">
        <v>129</v>
      </c>
      <c r="N33" s="415">
        <v>30000</v>
      </c>
      <c r="O33" s="416">
        <v>25000</v>
      </c>
      <c r="P33" s="416">
        <v>20000</v>
      </c>
      <c r="Q33" s="417">
        <v>0</v>
      </c>
      <c r="R33" s="417">
        <v>0</v>
      </c>
      <c r="S33" s="417">
        <v>0</v>
      </c>
      <c r="T33" s="418">
        <v>3</v>
      </c>
      <c r="U33" s="326">
        <f t="shared" si="0"/>
        <v>60000</v>
      </c>
      <c r="V33" s="264">
        <f t="shared" si="1"/>
        <v>60000</v>
      </c>
      <c r="W33" s="419">
        <v>50000</v>
      </c>
      <c r="X33" s="420">
        <v>75000</v>
      </c>
      <c r="Y33" s="32"/>
      <c r="Z33" s="421">
        <v>0</v>
      </c>
      <c r="AA33" s="422"/>
      <c r="AB33" s="422">
        <v>0</v>
      </c>
      <c r="AC33" s="423">
        <v>0</v>
      </c>
      <c r="AD33" s="424">
        <v>0</v>
      </c>
      <c r="AE33" s="422"/>
      <c r="AF33" s="422">
        <v>0</v>
      </c>
      <c r="AG33" s="425">
        <v>0</v>
      </c>
      <c r="AH33" s="421">
        <v>0</v>
      </c>
      <c r="AI33" s="422"/>
      <c r="AJ33" s="422">
        <v>0</v>
      </c>
      <c r="AK33" s="425">
        <v>0</v>
      </c>
      <c r="AL33" s="421">
        <v>0</v>
      </c>
      <c r="AM33" s="422"/>
      <c r="AN33" s="422">
        <v>1</v>
      </c>
      <c r="AO33" s="423">
        <v>0</v>
      </c>
      <c r="AP33" s="424">
        <v>0</v>
      </c>
      <c r="AQ33" s="422"/>
      <c r="AR33" s="422">
        <v>0</v>
      </c>
      <c r="AS33" s="423">
        <v>0</v>
      </c>
      <c r="AT33" s="424">
        <v>0</v>
      </c>
      <c r="AU33" s="422"/>
      <c r="AV33" s="422">
        <v>0</v>
      </c>
      <c r="AW33" s="423">
        <v>0</v>
      </c>
      <c r="AX33" s="424">
        <v>0</v>
      </c>
      <c r="AY33" s="422"/>
      <c r="AZ33" s="422">
        <v>0</v>
      </c>
      <c r="BA33" s="423">
        <v>0</v>
      </c>
      <c r="BB33" s="424">
        <v>0</v>
      </c>
      <c r="BC33" s="422"/>
      <c r="BD33" s="422">
        <v>0</v>
      </c>
      <c r="BE33" s="425">
        <v>0</v>
      </c>
      <c r="BF33" s="421">
        <v>0</v>
      </c>
      <c r="BG33" s="422"/>
      <c r="BH33" s="422">
        <v>0</v>
      </c>
      <c r="BI33" s="425">
        <v>0</v>
      </c>
      <c r="BJ33" s="421">
        <v>0</v>
      </c>
      <c r="BK33" s="422"/>
      <c r="BL33" s="422">
        <v>0</v>
      </c>
      <c r="BM33" s="425">
        <v>0</v>
      </c>
      <c r="BN33" s="421">
        <v>0</v>
      </c>
      <c r="BO33" s="422"/>
      <c r="BP33" s="422">
        <v>0</v>
      </c>
      <c r="BQ33" s="423">
        <v>0</v>
      </c>
      <c r="BR33" s="424">
        <v>0</v>
      </c>
      <c r="BS33" s="422"/>
      <c r="BT33" s="422">
        <v>0</v>
      </c>
      <c r="BU33" s="425">
        <v>0</v>
      </c>
      <c r="BV33" s="326"/>
      <c r="BZ33" s="408">
        <f t="shared" si="5"/>
        <v>125000</v>
      </c>
      <c r="CA33" s="426">
        <f t="shared" si="2"/>
        <v>0</v>
      </c>
      <c r="CB33" s="427">
        <f t="shared" si="3"/>
        <v>1</v>
      </c>
      <c r="CC33" s="428">
        <f t="shared" si="3"/>
        <v>0</v>
      </c>
      <c r="CD33" s="412" t="str">
        <f t="shared" si="4"/>
        <v>Stack moving</v>
      </c>
      <c r="CE33" s="413" t="str">
        <f>IF(VLOOKUP($M33,'[2]OEM Group'!$B$6:$D$22,2,FALSE)&lt;&gt;0,VLOOKUP($M33,'[2]OEM Group'!$B$6:$D$22,2,FALSE),"")</f>
        <v/>
      </c>
      <c r="CF33" s="414" t="str">
        <f>IF(VLOOKUP($M33,'[2]OEM Group'!$B$6:$D$22,3,FALSE)&lt;&gt;0,VLOOKUP($M33,'[2]OEM Group'!$B$6:$D$22,3,FALSE),"")</f>
        <v>Brenton (Promach)</v>
      </c>
      <c r="CG33" s="413" t="str">
        <f>IF(VLOOKUP($M33,'[2]OEM Group'!$B$6:$F$22,4,FALSE)&lt;&gt;"",VLOOKUP($M33,'[2]OEM Group'!$B$6:$F$22,4,FALSE),"")</f>
        <v>Unassigned</v>
      </c>
      <c r="CH33" s="414" t="str">
        <f>IF(VLOOKUP($M33,'[2]OEM Group'!$B$6:$F$22,5,FALSE)&lt;&gt;"",VLOOKUP($M33,'[2]OEM Group'!$B$6:$F$22,5,FALSE),"")</f>
        <v>Unassigned</v>
      </c>
    </row>
    <row r="34" spans="2:86">
      <c r="B34" s="333">
        <v>8</v>
      </c>
      <c r="C34" s="30" t="s">
        <v>87</v>
      </c>
      <c r="D34" s="392" t="s">
        <v>103</v>
      </c>
      <c r="E34" s="33">
        <v>40</v>
      </c>
      <c r="F34" s="293" t="s">
        <v>153</v>
      </c>
      <c r="G34" s="393"/>
      <c r="I34" s="325" t="s">
        <v>106</v>
      </c>
      <c r="J34" s="394">
        <v>2</v>
      </c>
      <c r="K34" s="394" t="s">
        <v>106</v>
      </c>
      <c r="L34" s="32">
        <v>1</v>
      </c>
      <c r="M34" s="168" t="s">
        <v>129</v>
      </c>
      <c r="N34" s="415">
        <v>30000</v>
      </c>
      <c r="O34" s="416">
        <v>25000</v>
      </c>
      <c r="P34" s="416">
        <v>20000</v>
      </c>
      <c r="Q34" s="417">
        <v>0</v>
      </c>
      <c r="R34" s="417">
        <v>0</v>
      </c>
      <c r="S34" s="417">
        <v>0</v>
      </c>
      <c r="T34" s="418">
        <v>2</v>
      </c>
      <c r="U34" s="326">
        <f t="shared" si="0"/>
        <v>40000</v>
      </c>
      <c r="V34" s="264">
        <f t="shared" si="1"/>
        <v>40000</v>
      </c>
      <c r="W34" s="419">
        <v>50000</v>
      </c>
      <c r="X34" s="420">
        <v>75000</v>
      </c>
      <c r="Y34" s="32"/>
      <c r="Z34" s="421">
        <v>0</v>
      </c>
      <c r="AA34" s="422"/>
      <c r="AB34" s="422">
        <v>0</v>
      </c>
      <c r="AC34" s="423">
        <v>0</v>
      </c>
      <c r="AD34" s="424">
        <v>0</v>
      </c>
      <c r="AE34" s="422"/>
      <c r="AF34" s="422">
        <v>0</v>
      </c>
      <c r="AG34" s="425">
        <v>0</v>
      </c>
      <c r="AH34" s="421">
        <v>0</v>
      </c>
      <c r="AI34" s="422"/>
      <c r="AJ34" s="422">
        <v>0</v>
      </c>
      <c r="AK34" s="425">
        <v>0</v>
      </c>
      <c r="AL34" s="421">
        <v>0</v>
      </c>
      <c r="AM34" s="422"/>
      <c r="AN34" s="422">
        <v>1</v>
      </c>
      <c r="AO34" s="423">
        <v>0</v>
      </c>
      <c r="AP34" s="424">
        <v>0</v>
      </c>
      <c r="AQ34" s="422"/>
      <c r="AR34" s="422">
        <v>0</v>
      </c>
      <c r="AS34" s="423">
        <v>0</v>
      </c>
      <c r="AT34" s="424">
        <v>0</v>
      </c>
      <c r="AU34" s="422"/>
      <c r="AV34" s="422">
        <v>0</v>
      </c>
      <c r="AW34" s="423">
        <v>0</v>
      </c>
      <c r="AX34" s="424">
        <v>0</v>
      </c>
      <c r="AY34" s="422"/>
      <c r="AZ34" s="422">
        <v>0</v>
      </c>
      <c r="BA34" s="423">
        <v>0</v>
      </c>
      <c r="BB34" s="424">
        <v>0</v>
      </c>
      <c r="BC34" s="422"/>
      <c r="BD34" s="422">
        <v>0</v>
      </c>
      <c r="BE34" s="425">
        <v>0</v>
      </c>
      <c r="BF34" s="421">
        <v>0</v>
      </c>
      <c r="BG34" s="422"/>
      <c r="BH34" s="422">
        <v>0</v>
      </c>
      <c r="BI34" s="425">
        <v>0</v>
      </c>
      <c r="BJ34" s="421">
        <v>0</v>
      </c>
      <c r="BK34" s="422"/>
      <c r="BL34" s="422">
        <v>0</v>
      </c>
      <c r="BM34" s="425">
        <v>0</v>
      </c>
      <c r="BN34" s="421">
        <v>0</v>
      </c>
      <c r="BO34" s="422"/>
      <c r="BP34" s="422">
        <v>0</v>
      </c>
      <c r="BQ34" s="423">
        <v>0</v>
      </c>
      <c r="BR34" s="424">
        <v>0</v>
      </c>
      <c r="BS34" s="422"/>
      <c r="BT34" s="422">
        <v>0</v>
      </c>
      <c r="BU34" s="425">
        <v>0</v>
      </c>
      <c r="BV34" s="326"/>
      <c r="BZ34" s="408">
        <f t="shared" si="5"/>
        <v>125000</v>
      </c>
      <c r="CA34" s="426">
        <f t="shared" si="2"/>
        <v>0</v>
      </c>
      <c r="CB34" s="427">
        <f t="shared" si="3"/>
        <v>1</v>
      </c>
      <c r="CC34" s="428">
        <f t="shared" si="3"/>
        <v>0</v>
      </c>
      <c r="CD34" s="412" t="str">
        <f t="shared" si="4"/>
        <v>Stack moving</v>
      </c>
      <c r="CE34" s="413" t="str">
        <f>IF(VLOOKUP($M34,'[2]OEM Group'!$B$6:$D$22,2,FALSE)&lt;&gt;0,VLOOKUP($M34,'[2]OEM Group'!$B$6:$D$22,2,FALSE),"")</f>
        <v/>
      </c>
      <c r="CF34" s="414" t="str">
        <f>IF(VLOOKUP($M34,'[2]OEM Group'!$B$6:$D$22,3,FALSE)&lt;&gt;0,VLOOKUP($M34,'[2]OEM Group'!$B$6:$D$22,3,FALSE),"")</f>
        <v>Brenton (Promach)</v>
      </c>
      <c r="CG34" s="413" t="str">
        <f>IF(VLOOKUP($M34,'[2]OEM Group'!$B$6:$F$22,4,FALSE)&lt;&gt;"",VLOOKUP($M34,'[2]OEM Group'!$B$6:$F$22,4,FALSE),"")</f>
        <v>Unassigned</v>
      </c>
      <c r="CH34" s="414" t="str">
        <f>IF(VLOOKUP($M34,'[2]OEM Group'!$B$6:$F$22,5,FALSE)&lt;&gt;"",VLOOKUP($M34,'[2]OEM Group'!$B$6:$F$22,5,FALSE),"")</f>
        <v>Unassigned</v>
      </c>
    </row>
    <row r="35" spans="2:86">
      <c r="B35" s="333">
        <v>13</v>
      </c>
      <c r="C35" s="30" t="s">
        <v>88</v>
      </c>
      <c r="D35" s="392" t="s">
        <v>110</v>
      </c>
      <c r="E35" s="33">
        <v>59</v>
      </c>
      <c r="F35" s="293" t="s">
        <v>175</v>
      </c>
      <c r="G35" s="393"/>
      <c r="H35" s="293" t="s">
        <v>691</v>
      </c>
      <c r="J35" s="394">
        <v>2</v>
      </c>
      <c r="K35" s="394" t="s">
        <v>106</v>
      </c>
      <c r="L35" s="32" t="s">
        <v>0</v>
      </c>
      <c r="M35" s="168" t="s">
        <v>129</v>
      </c>
      <c r="N35" s="415">
        <v>4000</v>
      </c>
      <c r="O35" s="416">
        <v>3000</v>
      </c>
      <c r="P35" s="416">
        <v>2000</v>
      </c>
      <c r="Q35" s="417">
        <v>0</v>
      </c>
      <c r="R35" s="417">
        <v>0</v>
      </c>
      <c r="S35" s="417">
        <v>0</v>
      </c>
      <c r="T35" s="418">
        <v>1</v>
      </c>
      <c r="U35" s="326">
        <f t="shared" si="0"/>
        <v>2000</v>
      </c>
      <c r="V35" s="264">
        <f t="shared" si="1"/>
        <v>2000</v>
      </c>
      <c r="W35" s="419">
        <v>30000</v>
      </c>
      <c r="X35" s="420">
        <v>75000</v>
      </c>
      <c r="Y35" s="32"/>
      <c r="Z35" s="421">
        <v>0</v>
      </c>
      <c r="AA35" s="422"/>
      <c r="AB35" s="422">
        <v>0</v>
      </c>
      <c r="AC35" s="423">
        <v>0</v>
      </c>
      <c r="AD35" s="424">
        <v>0</v>
      </c>
      <c r="AE35" s="422"/>
      <c r="AF35" s="422">
        <v>0</v>
      </c>
      <c r="AG35" s="425">
        <v>0</v>
      </c>
      <c r="AH35" s="421">
        <v>0</v>
      </c>
      <c r="AI35" s="422"/>
      <c r="AJ35" s="422">
        <v>0</v>
      </c>
      <c r="AK35" s="425">
        <v>0</v>
      </c>
      <c r="AL35" s="421">
        <v>0</v>
      </c>
      <c r="AM35" s="422"/>
      <c r="AN35" s="422">
        <v>0</v>
      </c>
      <c r="AO35" s="423">
        <v>0</v>
      </c>
      <c r="AP35" s="424">
        <v>0</v>
      </c>
      <c r="AQ35" s="422"/>
      <c r="AR35" s="422">
        <v>1</v>
      </c>
      <c r="AS35" s="423">
        <v>0</v>
      </c>
      <c r="AT35" s="424">
        <v>0</v>
      </c>
      <c r="AU35" s="422"/>
      <c r="AV35" s="422">
        <v>0</v>
      </c>
      <c r="AW35" s="423">
        <v>0</v>
      </c>
      <c r="AX35" s="424">
        <v>0</v>
      </c>
      <c r="AY35" s="422"/>
      <c r="AZ35" s="422">
        <v>0</v>
      </c>
      <c r="BA35" s="423">
        <v>0</v>
      </c>
      <c r="BB35" s="424">
        <v>0</v>
      </c>
      <c r="BC35" s="422"/>
      <c r="BD35" s="422">
        <v>0</v>
      </c>
      <c r="BE35" s="425">
        <v>0</v>
      </c>
      <c r="BF35" s="421">
        <v>0</v>
      </c>
      <c r="BG35" s="422"/>
      <c r="BH35" s="422">
        <v>0</v>
      </c>
      <c r="BI35" s="425">
        <v>0</v>
      </c>
      <c r="BJ35" s="421">
        <v>0</v>
      </c>
      <c r="BK35" s="422"/>
      <c r="BL35" s="422">
        <v>0</v>
      </c>
      <c r="BM35" s="425">
        <v>0</v>
      </c>
      <c r="BN35" s="421">
        <v>0</v>
      </c>
      <c r="BO35" s="422"/>
      <c r="BP35" s="422">
        <v>0</v>
      </c>
      <c r="BQ35" s="423">
        <v>0</v>
      </c>
      <c r="BR35" s="424">
        <v>0</v>
      </c>
      <c r="BS35" s="422"/>
      <c r="BT35" s="422">
        <v>0</v>
      </c>
      <c r="BU35" s="425">
        <v>0</v>
      </c>
      <c r="BV35" s="326"/>
      <c r="BZ35" s="408">
        <f t="shared" si="5"/>
        <v>105000</v>
      </c>
      <c r="CA35" s="426">
        <f t="shared" si="2"/>
        <v>0</v>
      </c>
      <c r="CB35" s="427">
        <f t="shared" si="3"/>
        <v>1</v>
      </c>
      <c r="CC35" s="428">
        <f t="shared" si="3"/>
        <v>0</v>
      </c>
      <c r="CD35" s="412" t="str">
        <f t="shared" si="4"/>
        <v>Stack moving</v>
      </c>
      <c r="CE35" s="413" t="str">
        <f>IF(VLOOKUP($M35,'[2]OEM Group'!$B$6:$D$22,2,FALSE)&lt;&gt;0,VLOOKUP($M35,'[2]OEM Group'!$B$6:$D$22,2,FALSE),"")</f>
        <v/>
      </c>
      <c r="CF35" s="414" t="str">
        <f>IF(VLOOKUP($M35,'[2]OEM Group'!$B$6:$D$22,3,FALSE)&lt;&gt;0,VLOOKUP($M35,'[2]OEM Group'!$B$6:$D$22,3,FALSE),"")</f>
        <v>Brenton (Promach)</v>
      </c>
      <c r="CG35" s="413" t="str">
        <f>IF(VLOOKUP($M35,'[2]OEM Group'!$B$6:$F$22,4,FALSE)&lt;&gt;"",VLOOKUP($M35,'[2]OEM Group'!$B$6:$F$22,4,FALSE),"")</f>
        <v>Unassigned</v>
      </c>
      <c r="CH35" s="414" t="str">
        <f>IF(VLOOKUP($M35,'[2]OEM Group'!$B$6:$F$22,5,FALSE)&lt;&gt;"",VLOOKUP($M35,'[2]OEM Group'!$B$6:$F$22,5,FALSE),"")</f>
        <v>Unassigned</v>
      </c>
    </row>
    <row r="36" spans="2:86">
      <c r="B36" s="333">
        <v>13</v>
      </c>
      <c r="C36" s="30" t="s">
        <v>88</v>
      </c>
      <c r="D36" s="392" t="s">
        <v>110</v>
      </c>
      <c r="E36" s="33">
        <v>62</v>
      </c>
      <c r="F36" s="293" t="s">
        <v>178</v>
      </c>
      <c r="G36" s="393"/>
      <c r="H36" s="293" t="s">
        <v>691</v>
      </c>
      <c r="I36" s="325" t="s">
        <v>106</v>
      </c>
      <c r="J36" s="394">
        <v>2</v>
      </c>
      <c r="K36" s="394" t="s">
        <v>106</v>
      </c>
      <c r="L36" s="32" t="s">
        <v>0</v>
      </c>
      <c r="M36" s="168" t="s">
        <v>129</v>
      </c>
      <c r="N36" s="415">
        <v>4000</v>
      </c>
      <c r="O36" s="416">
        <v>3000</v>
      </c>
      <c r="P36" s="416">
        <v>2000</v>
      </c>
      <c r="Q36" s="417">
        <v>0</v>
      </c>
      <c r="R36" s="417">
        <v>0</v>
      </c>
      <c r="S36" s="417">
        <v>0</v>
      </c>
      <c r="T36" s="418">
        <v>1</v>
      </c>
      <c r="U36" s="326">
        <f t="shared" si="0"/>
        <v>2000</v>
      </c>
      <c r="V36" s="264">
        <f t="shared" si="1"/>
        <v>2000</v>
      </c>
      <c r="W36" s="419">
        <v>0</v>
      </c>
      <c r="X36" s="420">
        <v>0</v>
      </c>
      <c r="Y36" s="32"/>
      <c r="Z36" s="421">
        <v>0</v>
      </c>
      <c r="AA36" s="422"/>
      <c r="AB36" s="422">
        <v>0</v>
      </c>
      <c r="AC36" s="423">
        <v>0</v>
      </c>
      <c r="AD36" s="424">
        <v>0</v>
      </c>
      <c r="AE36" s="422"/>
      <c r="AF36" s="422">
        <v>0</v>
      </c>
      <c r="AG36" s="425">
        <v>0</v>
      </c>
      <c r="AH36" s="421">
        <v>0</v>
      </c>
      <c r="AI36" s="422"/>
      <c r="AJ36" s="422">
        <v>0</v>
      </c>
      <c r="AK36" s="425">
        <v>0</v>
      </c>
      <c r="AL36" s="421">
        <v>0</v>
      </c>
      <c r="AM36" s="422"/>
      <c r="AN36" s="422">
        <v>0</v>
      </c>
      <c r="AO36" s="423">
        <v>0</v>
      </c>
      <c r="AP36" s="424">
        <v>0</v>
      </c>
      <c r="AQ36" s="422"/>
      <c r="AR36" s="422">
        <v>0</v>
      </c>
      <c r="AS36" s="423">
        <v>0</v>
      </c>
      <c r="AT36" s="424">
        <v>0</v>
      </c>
      <c r="AU36" s="422"/>
      <c r="AV36" s="422">
        <v>0</v>
      </c>
      <c r="AW36" s="423">
        <v>0</v>
      </c>
      <c r="AX36" s="424">
        <v>0</v>
      </c>
      <c r="AY36" s="422"/>
      <c r="AZ36" s="422">
        <v>0</v>
      </c>
      <c r="BA36" s="423">
        <v>0</v>
      </c>
      <c r="BB36" s="424">
        <v>0</v>
      </c>
      <c r="BC36" s="422"/>
      <c r="BD36" s="422">
        <v>0</v>
      </c>
      <c r="BE36" s="425">
        <v>0</v>
      </c>
      <c r="BF36" s="421">
        <v>0</v>
      </c>
      <c r="BG36" s="422"/>
      <c r="BH36" s="422">
        <v>0</v>
      </c>
      <c r="BI36" s="425">
        <v>0</v>
      </c>
      <c r="BJ36" s="421">
        <v>0</v>
      </c>
      <c r="BK36" s="422"/>
      <c r="BL36" s="422">
        <v>0</v>
      </c>
      <c r="BM36" s="425">
        <v>0</v>
      </c>
      <c r="BN36" s="421">
        <v>0</v>
      </c>
      <c r="BO36" s="422"/>
      <c r="BP36" s="422">
        <v>0</v>
      </c>
      <c r="BQ36" s="423">
        <v>0</v>
      </c>
      <c r="BR36" s="424">
        <v>0</v>
      </c>
      <c r="BS36" s="422"/>
      <c r="BT36" s="422">
        <v>0</v>
      </c>
      <c r="BU36" s="425">
        <v>0</v>
      </c>
      <c r="BV36" s="326"/>
      <c r="BZ36" s="408">
        <f t="shared" si="5"/>
        <v>0</v>
      </c>
      <c r="CA36" s="426">
        <f t="shared" si="2"/>
        <v>0</v>
      </c>
      <c r="CB36" s="427">
        <f t="shared" si="3"/>
        <v>0</v>
      </c>
      <c r="CC36" s="428">
        <f t="shared" si="3"/>
        <v>0</v>
      </c>
      <c r="CD36" s="412" t="str">
        <f t="shared" si="4"/>
        <v/>
      </c>
      <c r="CE36" s="413" t="str">
        <f>IF(VLOOKUP($M36,'[2]OEM Group'!$B$6:$D$22,2,FALSE)&lt;&gt;0,VLOOKUP($M36,'[2]OEM Group'!$B$6:$D$22,2,FALSE),"")</f>
        <v/>
      </c>
      <c r="CF36" s="414" t="str">
        <f>IF(VLOOKUP($M36,'[2]OEM Group'!$B$6:$D$22,3,FALSE)&lt;&gt;0,VLOOKUP($M36,'[2]OEM Group'!$B$6:$D$22,3,FALSE),"")</f>
        <v>Brenton (Promach)</v>
      </c>
      <c r="CG36" s="413" t="str">
        <f>IF(VLOOKUP($M36,'[2]OEM Group'!$B$6:$F$22,4,FALSE)&lt;&gt;"",VLOOKUP($M36,'[2]OEM Group'!$B$6:$F$22,4,FALSE),"")</f>
        <v>Unassigned</v>
      </c>
      <c r="CH36" s="414" t="str">
        <f>IF(VLOOKUP($M36,'[2]OEM Group'!$B$6:$F$22,5,FALSE)&lt;&gt;"",VLOOKUP($M36,'[2]OEM Group'!$B$6:$F$22,5,FALSE),"")</f>
        <v>Unassigned</v>
      </c>
    </row>
    <row r="37" spans="2:86">
      <c r="B37" s="333">
        <v>5</v>
      </c>
      <c r="C37" s="30" t="s">
        <v>51</v>
      </c>
      <c r="D37" s="392" t="s">
        <v>103</v>
      </c>
      <c r="E37" s="33">
        <v>32</v>
      </c>
      <c r="F37" s="293" t="s">
        <v>104</v>
      </c>
      <c r="G37" s="393">
        <v>1</v>
      </c>
      <c r="I37" s="325" t="s">
        <v>106</v>
      </c>
      <c r="J37" s="394">
        <v>1</v>
      </c>
      <c r="K37" s="394" t="s">
        <v>106</v>
      </c>
      <c r="L37" s="32">
        <v>1</v>
      </c>
      <c r="M37" s="168" t="s">
        <v>107</v>
      </c>
      <c r="N37" s="415">
        <v>5</v>
      </c>
      <c r="O37" s="416">
        <v>4</v>
      </c>
      <c r="P37" s="416">
        <v>3</v>
      </c>
      <c r="Q37" s="417">
        <v>0</v>
      </c>
      <c r="R37" s="417">
        <v>0</v>
      </c>
      <c r="S37" s="417">
        <v>0</v>
      </c>
      <c r="T37" s="418">
        <v>1200</v>
      </c>
      <c r="U37" s="326">
        <f t="shared" si="0"/>
        <v>3600</v>
      </c>
      <c r="V37" s="264">
        <f t="shared" si="1"/>
        <v>3600</v>
      </c>
      <c r="W37" s="419">
        <v>2000</v>
      </c>
      <c r="X37" s="420">
        <v>500</v>
      </c>
      <c r="Y37" s="32"/>
      <c r="Z37" s="421">
        <v>0</v>
      </c>
      <c r="AA37" s="422"/>
      <c r="AB37" s="422">
        <v>0</v>
      </c>
      <c r="AC37" s="423">
        <v>0</v>
      </c>
      <c r="AD37" s="424">
        <v>0</v>
      </c>
      <c r="AE37" s="422"/>
      <c r="AF37" s="422">
        <v>0</v>
      </c>
      <c r="AG37" s="425">
        <v>0</v>
      </c>
      <c r="AH37" s="421">
        <v>0</v>
      </c>
      <c r="AI37" s="422"/>
      <c r="AJ37" s="422">
        <v>0</v>
      </c>
      <c r="AK37" s="425">
        <v>0</v>
      </c>
      <c r="AL37" s="421">
        <v>0</v>
      </c>
      <c r="AM37" s="422"/>
      <c r="AN37" s="422">
        <v>0</v>
      </c>
      <c r="AO37" s="423">
        <v>0</v>
      </c>
      <c r="AP37" s="424">
        <v>0</v>
      </c>
      <c r="AQ37" s="422"/>
      <c r="AR37" s="422">
        <v>0</v>
      </c>
      <c r="AS37" s="423">
        <v>0</v>
      </c>
      <c r="AT37" s="424">
        <v>0</v>
      </c>
      <c r="AU37" s="422"/>
      <c r="AV37" s="422">
        <v>0</v>
      </c>
      <c r="AW37" s="423">
        <v>0</v>
      </c>
      <c r="AX37" s="424">
        <v>0</v>
      </c>
      <c r="AY37" s="422"/>
      <c r="AZ37" s="422">
        <v>0</v>
      </c>
      <c r="BA37" s="423">
        <v>0</v>
      </c>
      <c r="BB37" s="424">
        <v>0</v>
      </c>
      <c r="BC37" s="422"/>
      <c r="BD37" s="422">
        <v>4</v>
      </c>
      <c r="BE37" s="425">
        <v>0</v>
      </c>
      <c r="BF37" s="421">
        <v>0</v>
      </c>
      <c r="BG37" s="422"/>
      <c r="BH37" s="422">
        <v>0</v>
      </c>
      <c r="BI37" s="425">
        <v>0</v>
      </c>
      <c r="BJ37" s="421">
        <v>0</v>
      </c>
      <c r="BK37" s="422"/>
      <c r="BL37" s="422">
        <v>0</v>
      </c>
      <c r="BM37" s="425">
        <v>0</v>
      </c>
      <c r="BN37" s="421">
        <v>0</v>
      </c>
      <c r="BO37" s="422"/>
      <c r="BP37" s="422">
        <v>0</v>
      </c>
      <c r="BQ37" s="423">
        <v>0</v>
      </c>
      <c r="BR37" s="424">
        <v>0</v>
      </c>
      <c r="BS37" s="422"/>
      <c r="BT37" s="422">
        <v>0</v>
      </c>
      <c r="BU37" s="425">
        <v>0</v>
      </c>
      <c r="BV37" s="326"/>
      <c r="BZ37" s="408">
        <f t="shared" si="5"/>
        <v>2500</v>
      </c>
      <c r="CA37" s="426">
        <f t="shared" si="2"/>
        <v>0</v>
      </c>
      <c r="CB37" s="427">
        <f t="shared" si="3"/>
        <v>4</v>
      </c>
      <c r="CC37" s="428">
        <f t="shared" si="3"/>
        <v>0</v>
      </c>
      <c r="CD37" s="412" t="str">
        <f t="shared" si="4"/>
        <v>Stack moving</v>
      </c>
      <c r="CE37" s="413" t="str">
        <f>IF(VLOOKUP($M37,'[2]OEM Group'!$B$6:$D$22,2,FALSE)&lt;&gt;0,VLOOKUP($M37,'[2]OEM Group'!$B$6:$D$22,2,FALSE),"")</f>
        <v>Unknown</v>
      </c>
      <c r="CF37" s="414" t="str">
        <f>IF(VLOOKUP($M37,'[2]OEM Group'!$B$6:$D$22,3,FALSE)&lt;&gt;0,VLOOKUP($M37,'[2]OEM Group'!$B$6:$D$22,3,FALSE),"")</f>
        <v/>
      </c>
      <c r="CG37" s="413" t="str">
        <f>IF(VLOOKUP($M37,'[2]OEM Group'!$B$6:$F$22,4,FALSE)&lt;&gt;"",VLOOKUP($M37,'[2]OEM Group'!$B$6:$F$22,4,FALSE),"")</f>
        <v>David McCalib</v>
      </c>
      <c r="CH37" s="414" t="str">
        <f>IF(VLOOKUP($M37,'[2]OEM Group'!$B$6:$F$22,5,FALSE)&lt;&gt;"",VLOOKUP($M37,'[2]OEM Group'!$B$6:$F$22,5,FALSE),"")</f>
        <v>Rich Oas</v>
      </c>
    </row>
    <row r="38" spans="2:86">
      <c r="B38" s="333">
        <v>6</v>
      </c>
      <c r="C38" s="30" t="s">
        <v>132</v>
      </c>
      <c r="D38" s="392" t="s">
        <v>103</v>
      </c>
      <c r="E38" s="33">
        <v>34</v>
      </c>
      <c r="F38" s="293" t="s">
        <v>148</v>
      </c>
      <c r="G38" s="393"/>
      <c r="I38" s="325" t="s">
        <v>106</v>
      </c>
      <c r="J38" s="394">
        <v>1</v>
      </c>
      <c r="K38" s="394" t="s">
        <v>0</v>
      </c>
      <c r="L38" s="32" t="s">
        <v>0</v>
      </c>
      <c r="M38" s="168" t="s">
        <v>107</v>
      </c>
      <c r="N38" s="415">
        <v>10</v>
      </c>
      <c r="O38" s="416">
        <v>10</v>
      </c>
      <c r="P38" s="416">
        <v>10</v>
      </c>
      <c r="Q38" s="417">
        <v>0</v>
      </c>
      <c r="R38" s="417">
        <v>0</v>
      </c>
      <c r="S38" s="417">
        <v>0</v>
      </c>
      <c r="T38" s="418">
        <v>20</v>
      </c>
      <c r="U38" s="326">
        <f t="shared" si="0"/>
        <v>200</v>
      </c>
      <c r="V38" s="264">
        <f t="shared" si="1"/>
        <v>200</v>
      </c>
      <c r="W38" s="419">
        <v>0</v>
      </c>
      <c r="X38" s="420">
        <v>0</v>
      </c>
      <c r="Y38" s="32"/>
      <c r="Z38" s="421">
        <v>0</v>
      </c>
      <c r="AA38" s="422"/>
      <c r="AB38" s="422">
        <v>0</v>
      </c>
      <c r="AC38" s="423">
        <v>0</v>
      </c>
      <c r="AD38" s="424">
        <v>0</v>
      </c>
      <c r="AE38" s="422"/>
      <c r="AF38" s="422">
        <v>0</v>
      </c>
      <c r="AG38" s="425">
        <v>0</v>
      </c>
      <c r="AH38" s="421">
        <v>0</v>
      </c>
      <c r="AI38" s="422"/>
      <c r="AJ38" s="422">
        <v>0</v>
      </c>
      <c r="AK38" s="425">
        <v>0</v>
      </c>
      <c r="AL38" s="421">
        <v>0</v>
      </c>
      <c r="AM38" s="422"/>
      <c r="AN38" s="422">
        <v>0</v>
      </c>
      <c r="AO38" s="423">
        <v>0</v>
      </c>
      <c r="AP38" s="424">
        <v>0</v>
      </c>
      <c r="AQ38" s="422"/>
      <c r="AR38" s="422">
        <v>0</v>
      </c>
      <c r="AS38" s="423">
        <v>0</v>
      </c>
      <c r="AT38" s="424">
        <v>0</v>
      </c>
      <c r="AU38" s="422"/>
      <c r="AV38" s="422">
        <v>0</v>
      </c>
      <c r="AW38" s="423">
        <v>0</v>
      </c>
      <c r="AX38" s="424">
        <v>0</v>
      </c>
      <c r="AY38" s="422"/>
      <c r="AZ38" s="422">
        <v>0</v>
      </c>
      <c r="BA38" s="423">
        <v>0</v>
      </c>
      <c r="BB38" s="424">
        <v>0</v>
      </c>
      <c r="BC38" s="422"/>
      <c r="BD38" s="422">
        <v>0</v>
      </c>
      <c r="BE38" s="425">
        <v>0</v>
      </c>
      <c r="BF38" s="421">
        <v>0</v>
      </c>
      <c r="BG38" s="422"/>
      <c r="BH38" s="422">
        <v>0</v>
      </c>
      <c r="BI38" s="425">
        <v>0</v>
      </c>
      <c r="BJ38" s="421">
        <v>0</v>
      </c>
      <c r="BK38" s="422"/>
      <c r="BL38" s="422">
        <v>0</v>
      </c>
      <c r="BM38" s="425">
        <v>0</v>
      </c>
      <c r="BN38" s="421">
        <v>0</v>
      </c>
      <c r="BO38" s="422"/>
      <c r="BP38" s="422">
        <v>0</v>
      </c>
      <c r="BQ38" s="423">
        <v>0</v>
      </c>
      <c r="BR38" s="424">
        <v>0</v>
      </c>
      <c r="BS38" s="422"/>
      <c r="BT38" s="422">
        <v>0</v>
      </c>
      <c r="BU38" s="425">
        <v>0</v>
      </c>
      <c r="BV38" s="326"/>
      <c r="BZ38" s="408">
        <f t="shared" si="5"/>
        <v>0</v>
      </c>
      <c r="CA38" s="426">
        <f t="shared" si="2"/>
        <v>0</v>
      </c>
      <c r="CB38" s="427">
        <f t="shared" si="3"/>
        <v>0</v>
      </c>
      <c r="CC38" s="428">
        <f t="shared" si="3"/>
        <v>0</v>
      </c>
      <c r="CD38" s="412" t="str">
        <f t="shared" si="4"/>
        <v/>
      </c>
      <c r="CE38" s="413" t="str">
        <f>IF(VLOOKUP($M38,'[2]OEM Group'!$B$6:$D$22,2,FALSE)&lt;&gt;0,VLOOKUP($M38,'[2]OEM Group'!$B$6:$D$22,2,FALSE),"")</f>
        <v>Unknown</v>
      </c>
      <c r="CF38" s="414" t="str">
        <f>IF(VLOOKUP($M38,'[2]OEM Group'!$B$6:$D$22,3,FALSE)&lt;&gt;0,VLOOKUP($M38,'[2]OEM Group'!$B$6:$D$22,3,FALSE),"")</f>
        <v/>
      </c>
      <c r="CG38" s="413" t="str">
        <f>IF(VLOOKUP($M38,'[2]OEM Group'!$B$6:$F$22,4,FALSE)&lt;&gt;"",VLOOKUP($M38,'[2]OEM Group'!$B$6:$F$22,4,FALSE),"")</f>
        <v>David McCalib</v>
      </c>
      <c r="CH38" s="414" t="str">
        <f>IF(VLOOKUP($M38,'[2]OEM Group'!$B$6:$F$22,5,FALSE)&lt;&gt;"",VLOOKUP($M38,'[2]OEM Group'!$B$6:$F$22,5,FALSE),"")</f>
        <v>Rich Oas</v>
      </c>
    </row>
    <row r="39" spans="2:86">
      <c r="B39" s="333">
        <v>11</v>
      </c>
      <c r="C39" s="30" t="s">
        <v>166</v>
      </c>
      <c r="D39" s="392" t="s">
        <v>103</v>
      </c>
      <c r="E39" s="33">
        <v>53</v>
      </c>
      <c r="F39" s="293" t="s">
        <v>168</v>
      </c>
      <c r="G39" s="393"/>
      <c r="I39" s="325" t="s">
        <v>106</v>
      </c>
      <c r="J39" s="394">
        <v>1</v>
      </c>
      <c r="K39" s="394" t="s">
        <v>106</v>
      </c>
      <c r="L39" s="32">
        <v>1</v>
      </c>
      <c r="M39" s="168" t="s">
        <v>107</v>
      </c>
      <c r="N39" s="415">
        <v>10</v>
      </c>
      <c r="O39" s="416">
        <v>10</v>
      </c>
      <c r="P39" s="416">
        <v>10</v>
      </c>
      <c r="Q39" s="417">
        <v>0</v>
      </c>
      <c r="R39" s="417">
        <v>0</v>
      </c>
      <c r="S39" s="417">
        <v>0</v>
      </c>
      <c r="T39" s="418">
        <v>20</v>
      </c>
      <c r="U39" s="326">
        <f t="shared" si="0"/>
        <v>200</v>
      </c>
      <c r="V39" s="264">
        <f t="shared" si="1"/>
        <v>200</v>
      </c>
      <c r="W39" s="419">
        <v>0</v>
      </c>
      <c r="X39" s="420">
        <v>0</v>
      </c>
      <c r="Y39" s="32"/>
      <c r="Z39" s="421">
        <v>0</v>
      </c>
      <c r="AA39" s="422"/>
      <c r="AB39" s="422">
        <v>0</v>
      </c>
      <c r="AC39" s="423">
        <v>0</v>
      </c>
      <c r="AD39" s="424">
        <v>0</v>
      </c>
      <c r="AE39" s="422"/>
      <c r="AF39" s="422">
        <v>0</v>
      </c>
      <c r="AG39" s="425">
        <v>0</v>
      </c>
      <c r="AH39" s="421">
        <v>0</v>
      </c>
      <c r="AI39" s="422"/>
      <c r="AJ39" s="422">
        <v>0</v>
      </c>
      <c r="AK39" s="425">
        <v>0</v>
      </c>
      <c r="AL39" s="421">
        <v>0</v>
      </c>
      <c r="AM39" s="422"/>
      <c r="AN39" s="422">
        <v>0</v>
      </c>
      <c r="AO39" s="423">
        <v>0</v>
      </c>
      <c r="AP39" s="424">
        <v>0</v>
      </c>
      <c r="AQ39" s="422"/>
      <c r="AR39" s="422">
        <v>0</v>
      </c>
      <c r="AS39" s="423">
        <v>0</v>
      </c>
      <c r="AT39" s="424">
        <v>0</v>
      </c>
      <c r="AU39" s="422"/>
      <c r="AV39" s="422">
        <v>0</v>
      </c>
      <c r="AW39" s="423">
        <v>0</v>
      </c>
      <c r="AX39" s="424">
        <v>0</v>
      </c>
      <c r="AY39" s="422"/>
      <c r="AZ39" s="422">
        <v>0</v>
      </c>
      <c r="BA39" s="423">
        <v>0</v>
      </c>
      <c r="BB39" s="424">
        <v>0</v>
      </c>
      <c r="BC39" s="422"/>
      <c r="BD39" s="422">
        <v>0</v>
      </c>
      <c r="BE39" s="425">
        <v>0</v>
      </c>
      <c r="BF39" s="421">
        <v>0</v>
      </c>
      <c r="BG39" s="422"/>
      <c r="BH39" s="422">
        <v>0</v>
      </c>
      <c r="BI39" s="425">
        <v>0</v>
      </c>
      <c r="BJ39" s="421">
        <v>0</v>
      </c>
      <c r="BK39" s="422"/>
      <c r="BL39" s="422">
        <v>0</v>
      </c>
      <c r="BM39" s="425">
        <v>0</v>
      </c>
      <c r="BN39" s="421">
        <v>0</v>
      </c>
      <c r="BO39" s="422"/>
      <c r="BP39" s="422">
        <v>0</v>
      </c>
      <c r="BQ39" s="423">
        <v>0</v>
      </c>
      <c r="BR39" s="424">
        <v>0</v>
      </c>
      <c r="BS39" s="422"/>
      <c r="BT39" s="422">
        <v>0</v>
      </c>
      <c r="BU39" s="425">
        <v>0</v>
      </c>
      <c r="BV39" s="326"/>
      <c r="BZ39" s="408">
        <f t="shared" si="5"/>
        <v>0</v>
      </c>
      <c r="CA39" s="426">
        <f t="shared" si="2"/>
        <v>0</v>
      </c>
      <c r="CB39" s="427">
        <f t="shared" si="3"/>
        <v>0</v>
      </c>
      <c r="CC39" s="428">
        <f t="shared" si="3"/>
        <v>0</v>
      </c>
      <c r="CD39" s="412" t="str">
        <f t="shared" ref="CD39:CD74" si="6">IF(SUM($Z39:$AG39)&gt;0,$Z$4,IF(SUM($AH39:$AK39)&gt;0,$AH$4,IF(SUM($AL39:$BE39)&gt;0,$AL$4,IF(SUM($BF39:$BI39)&gt;0,$BF$4,IF(SUM($BJ39:$BM39)&gt;0,$BJ$4,IF(SUM($BN39:$BU39)&gt;0,$BN$4,""))))))</f>
        <v/>
      </c>
      <c r="CE39" s="413" t="str">
        <f>IF(VLOOKUP($M39,'[2]OEM Group'!$B$6:$D$22,2,FALSE)&lt;&gt;0,VLOOKUP($M39,'[2]OEM Group'!$B$6:$D$22,2,FALSE),"")</f>
        <v>Unknown</v>
      </c>
      <c r="CF39" s="414" t="str">
        <f>IF(VLOOKUP($M39,'[2]OEM Group'!$B$6:$D$22,3,FALSE)&lt;&gt;0,VLOOKUP($M39,'[2]OEM Group'!$B$6:$D$22,3,FALSE),"")</f>
        <v/>
      </c>
      <c r="CG39" s="413" t="str">
        <f>IF(VLOOKUP($M39,'[2]OEM Group'!$B$6:$F$22,4,FALSE)&lt;&gt;"",VLOOKUP($M39,'[2]OEM Group'!$B$6:$F$22,4,FALSE),"")</f>
        <v>David McCalib</v>
      </c>
      <c r="CH39" s="414" t="str">
        <f>IF(VLOOKUP($M39,'[2]OEM Group'!$B$6:$F$22,5,FALSE)&lt;&gt;"",VLOOKUP($M39,'[2]OEM Group'!$B$6:$F$22,5,FALSE),"")</f>
        <v>Rich Oas</v>
      </c>
    </row>
    <row r="40" spans="2:86">
      <c r="B40" s="333">
        <v>11</v>
      </c>
      <c r="C40" s="30" t="s">
        <v>166</v>
      </c>
      <c r="D40" s="392" t="s">
        <v>103</v>
      </c>
      <c r="E40" s="33">
        <v>54</v>
      </c>
      <c r="F40" s="293" t="s">
        <v>169</v>
      </c>
      <c r="G40" s="393"/>
      <c r="I40" s="325" t="s">
        <v>106</v>
      </c>
      <c r="J40" s="394">
        <v>1</v>
      </c>
      <c r="K40" s="394" t="s">
        <v>106</v>
      </c>
      <c r="M40" s="168" t="s">
        <v>107</v>
      </c>
      <c r="N40" s="415">
        <v>10</v>
      </c>
      <c r="O40" s="416">
        <v>10</v>
      </c>
      <c r="P40" s="416">
        <v>10</v>
      </c>
      <c r="Q40" s="417">
        <v>0</v>
      </c>
      <c r="R40" s="417">
        <v>0</v>
      </c>
      <c r="S40" s="417">
        <v>0</v>
      </c>
      <c r="T40" s="418">
        <v>40</v>
      </c>
      <c r="U40" s="326">
        <f t="shared" si="0"/>
        <v>400</v>
      </c>
      <c r="V40" s="264">
        <f t="shared" si="1"/>
        <v>400</v>
      </c>
      <c r="W40" s="419">
        <v>0</v>
      </c>
      <c r="X40" s="420">
        <v>0</v>
      </c>
      <c r="Y40" s="32"/>
      <c r="Z40" s="421">
        <v>0</v>
      </c>
      <c r="AA40" s="422"/>
      <c r="AB40" s="422">
        <v>0</v>
      </c>
      <c r="AC40" s="423">
        <v>0</v>
      </c>
      <c r="AD40" s="424">
        <v>0</v>
      </c>
      <c r="AE40" s="422"/>
      <c r="AF40" s="422">
        <v>0</v>
      </c>
      <c r="AG40" s="425">
        <v>0</v>
      </c>
      <c r="AH40" s="421">
        <v>0</v>
      </c>
      <c r="AI40" s="422"/>
      <c r="AJ40" s="422">
        <v>0</v>
      </c>
      <c r="AK40" s="425">
        <v>0</v>
      </c>
      <c r="AL40" s="421">
        <v>0</v>
      </c>
      <c r="AM40" s="422"/>
      <c r="AN40" s="422">
        <v>0</v>
      </c>
      <c r="AO40" s="423">
        <v>0</v>
      </c>
      <c r="AP40" s="424">
        <v>0</v>
      </c>
      <c r="AQ40" s="422"/>
      <c r="AR40" s="422">
        <v>0</v>
      </c>
      <c r="AS40" s="423">
        <v>0</v>
      </c>
      <c r="AT40" s="424">
        <v>0</v>
      </c>
      <c r="AU40" s="422"/>
      <c r="AV40" s="422">
        <v>0</v>
      </c>
      <c r="AW40" s="423">
        <v>0</v>
      </c>
      <c r="AX40" s="424">
        <v>0</v>
      </c>
      <c r="AY40" s="422"/>
      <c r="AZ40" s="422">
        <v>0</v>
      </c>
      <c r="BA40" s="423">
        <v>0</v>
      </c>
      <c r="BB40" s="424">
        <v>0</v>
      </c>
      <c r="BC40" s="422"/>
      <c r="BD40" s="422">
        <v>0</v>
      </c>
      <c r="BE40" s="425">
        <v>0</v>
      </c>
      <c r="BF40" s="421">
        <v>0</v>
      </c>
      <c r="BG40" s="422"/>
      <c r="BH40" s="422">
        <v>0</v>
      </c>
      <c r="BI40" s="425">
        <v>0</v>
      </c>
      <c r="BJ40" s="421">
        <v>0</v>
      </c>
      <c r="BK40" s="422"/>
      <c r="BL40" s="422">
        <v>0</v>
      </c>
      <c r="BM40" s="425">
        <v>0</v>
      </c>
      <c r="BN40" s="421">
        <v>0</v>
      </c>
      <c r="BO40" s="422"/>
      <c r="BP40" s="422">
        <v>0</v>
      </c>
      <c r="BQ40" s="423">
        <v>0</v>
      </c>
      <c r="BR40" s="424">
        <v>0</v>
      </c>
      <c r="BS40" s="422"/>
      <c r="BT40" s="422">
        <v>0</v>
      </c>
      <c r="BU40" s="425">
        <v>0</v>
      </c>
      <c r="BV40" s="326"/>
      <c r="BZ40" s="408">
        <f t="shared" si="5"/>
        <v>0</v>
      </c>
      <c r="CA40" s="426">
        <f t="shared" si="2"/>
        <v>0</v>
      </c>
      <c r="CB40" s="427">
        <f t="shared" si="3"/>
        <v>0</v>
      </c>
      <c r="CC40" s="428">
        <f t="shared" si="3"/>
        <v>0</v>
      </c>
      <c r="CD40" s="412" t="str">
        <f t="shared" si="6"/>
        <v/>
      </c>
      <c r="CE40" s="413" t="str">
        <f>IF(VLOOKUP($M40,'[2]OEM Group'!$B$6:$D$22,2,FALSE)&lt;&gt;0,VLOOKUP($M40,'[2]OEM Group'!$B$6:$D$22,2,FALSE),"")</f>
        <v>Unknown</v>
      </c>
      <c r="CF40" s="414" t="str">
        <f>IF(VLOOKUP($M40,'[2]OEM Group'!$B$6:$D$22,3,FALSE)&lt;&gt;0,VLOOKUP($M40,'[2]OEM Group'!$B$6:$D$22,3,FALSE),"")</f>
        <v/>
      </c>
      <c r="CG40" s="413" t="str">
        <f>IF(VLOOKUP($M40,'[2]OEM Group'!$B$6:$F$22,4,FALSE)&lt;&gt;"",VLOOKUP($M40,'[2]OEM Group'!$B$6:$F$22,4,FALSE),"")</f>
        <v>David McCalib</v>
      </c>
      <c r="CH40" s="414" t="str">
        <f>IF(VLOOKUP($M40,'[2]OEM Group'!$B$6:$F$22,5,FALSE)&lt;&gt;"",VLOOKUP($M40,'[2]OEM Group'!$B$6:$F$22,5,FALSE),"")</f>
        <v>Rich Oas</v>
      </c>
    </row>
    <row r="41" spans="2:86">
      <c r="B41" s="333">
        <v>14</v>
      </c>
      <c r="C41" s="30" t="s">
        <v>181</v>
      </c>
      <c r="D41" s="392" t="s">
        <v>110</v>
      </c>
      <c r="E41" s="33">
        <v>68</v>
      </c>
      <c r="F41" s="293" t="s">
        <v>185</v>
      </c>
      <c r="G41" s="393"/>
      <c r="H41" s="293" t="s">
        <v>691</v>
      </c>
      <c r="J41" s="394">
        <v>2</v>
      </c>
      <c r="K41" s="394" t="s">
        <v>106</v>
      </c>
      <c r="L41" s="32">
        <v>1</v>
      </c>
      <c r="M41" s="168" t="s">
        <v>107</v>
      </c>
      <c r="N41" s="415">
        <v>400</v>
      </c>
      <c r="O41" s="416">
        <v>350</v>
      </c>
      <c r="P41" s="416">
        <v>300</v>
      </c>
      <c r="Q41" s="417">
        <v>0</v>
      </c>
      <c r="R41" s="417">
        <v>0</v>
      </c>
      <c r="S41" s="417">
        <v>0</v>
      </c>
      <c r="T41" s="418">
        <v>80</v>
      </c>
      <c r="U41" s="326">
        <f t="shared" si="0"/>
        <v>24000</v>
      </c>
      <c r="V41" s="264">
        <f t="shared" si="1"/>
        <v>24000</v>
      </c>
      <c r="W41" s="419">
        <v>0</v>
      </c>
      <c r="X41" s="420">
        <v>0</v>
      </c>
      <c r="Y41" s="32"/>
      <c r="Z41" s="421">
        <v>0</v>
      </c>
      <c r="AA41" s="422"/>
      <c r="AB41" s="422">
        <v>0</v>
      </c>
      <c r="AC41" s="423">
        <v>0</v>
      </c>
      <c r="AD41" s="424">
        <v>0</v>
      </c>
      <c r="AE41" s="422"/>
      <c r="AF41" s="422">
        <v>0</v>
      </c>
      <c r="AG41" s="425">
        <v>0</v>
      </c>
      <c r="AH41" s="421">
        <v>0</v>
      </c>
      <c r="AI41" s="422"/>
      <c r="AJ41" s="422">
        <v>0</v>
      </c>
      <c r="AK41" s="425">
        <v>0</v>
      </c>
      <c r="AL41" s="421">
        <v>0</v>
      </c>
      <c r="AM41" s="422"/>
      <c r="AN41" s="422">
        <v>0</v>
      </c>
      <c r="AO41" s="423">
        <v>0</v>
      </c>
      <c r="AP41" s="424">
        <v>0</v>
      </c>
      <c r="AQ41" s="422"/>
      <c r="AR41" s="422">
        <v>0</v>
      </c>
      <c r="AS41" s="423">
        <v>0</v>
      </c>
      <c r="AT41" s="424">
        <v>0</v>
      </c>
      <c r="AU41" s="422"/>
      <c r="AV41" s="422">
        <v>0</v>
      </c>
      <c r="AW41" s="423">
        <v>0</v>
      </c>
      <c r="AX41" s="424">
        <v>0</v>
      </c>
      <c r="AY41" s="422"/>
      <c r="AZ41" s="422">
        <v>0</v>
      </c>
      <c r="BA41" s="423">
        <v>0</v>
      </c>
      <c r="BB41" s="424">
        <v>0</v>
      </c>
      <c r="BC41" s="422"/>
      <c r="BD41" s="422">
        <v>0</v>
      </c>
      <c r="BE41" s="425">
        <v>0</v>
      </c>
      <c r="BF41" s="421">
        <v>0</v>
      </c>
      <c r="BG41" s="422"/>
      <c r="BH41" s="422">
        <v>0</v>
      </c>
      <c r="BI41" s="425">
        <v>0</v>
      </c>
      <c r="BJ41" s="421">
        <v>0</v>
      </c>
      <c r="BK41" s="422"/>
      <c r="BL41" s="422">
        <v>0</v>
      </c>
      <c r="BM41" s="425">
        <v>0</v>
      </c>
      <c r="BN41" s="421">
        <v>0</v>
      </c>
      <c r="BO41" s="422"/>
      <c r="BP41" s="422">
        <v>0</v>
      </c>
      <c r="BQ41" s="423">
        <v>0</v>
      </c>
      <c r="BR41" s="424">
        <v>0</v>
      </c>
      <c r="BS41" s="422"/>
      <c r="BT41" s="422">
        <v>0</v>
      </c>
      <c r="BU41" s="425">
        <v>0</v>
      </c>
      <c r="BV41" s="326"/>
      <c r="BZ41" s="408">
        <f t="shared" si="5"/>
        <v>0</v>
      </c>
      <c r="CA41" s="426">
        <f t="shared" si="2"/>
        <v>0</v>
      </c>
      <c r="CB41" s="427">
        <f t="shared" si="3"/>
        <v>0</v>
      </c>
      <c r="CC41" s="428">
        <f t="shared" si="3"/>
        <v>0</v>
      </c>
      <c r="CD41" s="412" t="str">
        <f t="shared" si="6"/>
        <v/>
      </c>
      <c r="CE41" s="413" t="str">
        <f>IF(VLOOKUP($M41,'[2]OEM Group'!$B$6:$D$22,2,FALSE)&lt;&gt;0,VLOOKUP($M41,'[2]OEM Group'!$B$6:$D$22,2,FALSE),"")</f>
        <v>Unknown</v>
      </c>
      <c r="CF41" s="414" t="str">
        <f>IF(VLOOKUP($M41,'[2]OEM Group'!$B$6:$D$22,3,FALSE)&lt;&gt;0,VLOOKUP($M41,'[2]OEM Group'!$B$6:$D$22,3,FALSE),"")</f>
        <v/>
      </c>
      <c r="CG41" s="413" t="str">
        <f>IF(VLOOKUP($M41,'[2]OEM Group'!$B$6:$F$22,4,FALSE)&lt;&gt;"",VLOOKUP($M41,'[2]OEM Group'!$B$6:$F$22,4,FALSE),"")</f>
        <v>David McCalib</v>
      </c>
      <c r="CH41" s="414" t="str">
        <f>IF(VLOOKUP($M41,'[2]OEM Group'!$B$6:$F$22,5,FALSE)&lt;&gt;"",VLOOKUP($M41,'[2]OEM Group'!$B$6:$F$22,5,FALSE),"")</f>
        <v>Rich Oas</v>
      </c>
    </row>
    <row r="42" spans="2:86">
      <c r="B42" s="333">
        <v>1</v>
      </c>
      <c r="C42" s="30" t="s">
        <v>75</v>
      </c>
      <c r="D42" s="392" t="s">
        <v>103</v>
      </c>
      <c r="E42" s="33">
        <v>3</v>
      </c>
      <c r="F42" s="293" t="s">
        <v>157</v>
      </c>
      <c r="G42" s="393">
        <v>1</v>
      </c>
      <c r="I42" s="325" t="s">
        <v>106</v>
      </c>
      <c r="J42" s="394">
        <v>3</v>
      </c>
      <c r="K42" s="394" t="s">
        <v>0</v>
      </c>
      <c r="L42" s="326">
        <v>1</v>
      </c>
      <c r="M42" s="168" t="s">
        <v>114</v>
      </c>
      <c r="N42" s="415">
        <v>40000</v>
      </c>
      <c r="O42" s="416">
        <v>35000</v>
      </c>
      <c r="P42" s="416">
        <v>30000</v>
      </c>
      <c r="Q42" s="417">
        <v>0</v>
      </c>
      <c r="R42" s="417">
        <v>0</v>
      </c>
      <c r="S42" s="417">
        <v>0</v>
      </c>
      <c r="T42" s="418">
        <v>10</v>
      </c>
      <c r="U42" s="326">
        <f t="shared" si="0"/>
        <v>300000</v>
      </c>
      <c r="V42" s="264">
        <f t="shared" si="1"/>
        <v>300000</v>
      </c>
      <c r="W42" s="419">
        <v>0</v>
      </c>
      <c r="X42" s="420">
        <v>0</v>
      </c>
      <c r="Y42" s="32"/>
      <c r="Z42" s="421">
        <v>0</v>
      </c>
      <c r="AA42" s="422"/>
      <c r="AB42" s="422">
        <v>0</v>
      </c>
      <c r="AC42" s="423">
        <v>0</v>
      </c>
      <c r="AD42" s="424">
        <v>0</v>
      </c>
      <c r="AE42" s="422"/>
      <c r="AF42" s="422">
        <v>0</v>
      </c>
      <c r="AG42" s="425">
        <v>0</v>
      </c>
      <c r="AH42" s="421">
        <v>0</v>
      </c>
      <c r="AI42" s="422"/>
      <c r="AJ42" s="422">
        <v>0</v>
      </c>
      <c r="AK42" s="425">
        <v>0</v>
      </c>
      <c r="AL42" s="421">
        <v>0</v>
      </c>
      <c r="AM42" s="422"/>
      <c r="AN42" s="422">
        <v>0</v>
      </c>
      <c r="AO42" s="423">
        <v>0</v>
      </c>
      <c r="AP42" s="424">
        <v>0</v>
      </c>
      <c r="AQ42" s="422"/>
      <c r="AR42" s="422">
        <v>0</v>
      </c>
      <c r="AS42" s="423">
        <v>0</v>
      </c>
      <c r="AT42" s="424">
        <v>0</v>
      </c>
      <c r="AU42" s="422"/>
      <c r="AV42" s="422">
        <v>0</v>
      </c>
      <c r="AW42" s="423">
        <v>0</v>
      </c>
      <c r="AX42" s="424">
        <v>0</v>
      </c>
      <c r="AY42" s="422"/>
      <c r="AZ42" s="422">
        <v>0</v>
      </c>
      <c r="BA42" s="423">
        <v>0</v>
      </c>
      <c r="BB42" s="424">
        <v>0</v>
      </c>
      <c r="BC42" s="422"/>
      <c r="BD42" s="422">
        <v>0</v>
      </c>
      <c r="BE42" s="425">
        <v>0</v>
      </c>
      <c r="BF42" s="421">
        <v>0</v>
      </c>
      <c r="BG42" s="422"/>
      <c r="BH42" s="422">
        <v>0</v>
      </c>
      <c r="BI42" s="425">
        <v>0</v>
      </c>
      <c r="BJ42" s="421">
        <v>0</v>
      </c>
      <c r="BK42" s="422"/>
      <c r="BL42" s="422">
        <v>0</v>
      </c>
      <c r="BM42" s="425">
        <v>0</v>
      </c>
      <c r="BN42" s="421">
        <v>0</v>
      </c>
      <c r="BO42" s="422"/>
      <c r="BP42" s="422">
        <v>0</v>
      </c>
      <c r="BQ42" s="423">
        <v>0</v>
      </c>
      <c r="BR42" s="424">
        <v>0</v>
      </c>
      <c r="BS42" s="422"/>
      <c r="BT42" s="422">
        <v>0</v>
      </c>
      <c r="BU42" s="425">
        <v>0</v>
      </c>
      <c r="BV42" s="326"/>
      <c r="BZ42" s="408">
        <f t="shared" si="5"/>
        <v>0</v>
      </c>
      <c r="CA42" s="426">
        <f t="shared" si="2"/>
        <v>0</v>
      </c>
      <c r="CB42" s="427">
        <f t="shared" si="3"/>
        <v>0</v>
      </c>
      <c r="CC42" s="428">
        <f t="shared" si="3"/>
        <v>0</v>
      </c>
      <c r="CD42" s="412" t="str">
        <f t="shared" si="6"/>
        <v/>
      </c>
      <c r="CE42" s="413" t="str">
        <f>IF(VLOOKUP($M42,'[2]OEM Group'!$B$6:$D$22,2,FALSE)&lt;&gt;0,VLOOKUP($M42,'[2]OEM Group'!$B$6:$D$22,2,FALSE),"")</f>
        <v/>
      </c>
      <c r="CF42" s="414" t="str">
        <f>IF(VLOOKUP($M42,'[2]OEM Group'!$B$6:$D$22,3,FALSE)&lt;&gt;0,VLOOKUP($M42,'[2]OEM Group'!$B$6:$D$22,3,FALSE),"")</f>
        <v>Bastian</v>
      </c>
      <c r="CG42" s="413" t="str">
        <f>IF(VLOOKUP($M42,'[2]OEM Group'!$B$6:$F$22,4,FALSE)&lt;&gt;"",VLOOKUP($M42,'[2]OEM Group'!$B$6:$F$22,4,FALSE),"")</f>
        <v>Aravind Durai</v>
      </c>
      <c r="CH42" s="414" t="str">
        <f>IF(VLOOKUP($M42,'[2]OEM Group'!$B$6:$F$22,5,FALSE)&lt;&gt;"",VLOOKUP($M42,'[2]OEM Group'!$B$6:$F$22,5,FALSE),"")</f>
        <v>Rich Oas</v>
      </c>
    </row>
    <row r="43" spans="2:86">
      <c r="B43" s="333">
        <v>1</v>
      </c>
      <c r="C43" s="30" t="s">
        <v>75</v>
      </c>
      <c r="D43" s="392" t="s">
        <v>103</v>
      </c>
      <c r="E43" s="33">
        <v>4</v>
      </c>
      <c r="F43" s="293" t="s">
        <v>113</v>
      </c>
      <c r="G43" s="393"/>
      <c r="I43" s="325" t="s">
        <v>106</v>
      </c>
      <c r="J43" s="394">
        <v>1</v>
      </c>
      <c r="K43" s="394" t="s">
        <v>0</v>
      </c>
      <c r="L43" s="32">
        <v>1</v>
      </c>
      <c r="M43" s="168" t="s">
        <v>114</v>
      </c>
      <c r="N43" s="415">
        <v>1000</v>
      </c>
      <c r="O43" s="416">
        <v>500</v>
      </c>
      <c r="P43" s="416">
        <v>500</v>
      </c>
      <c r="Q43" s="417">
        <v>0</v>
      </c>
      <c r="R43" s="417">
        <v>0</v>
      </c>
      <c r="S43" s="417">
        <v>0</v>
      </c>
      <c r="T43" s="418">
        <v>2</v>
      </c>
      <c r="U43" s="326">
        <f t="shared" si="0"/>
        <v>1000</v>
      </c>
      <c r="V43" s="264">
        <f t="shared" si="1"/>
        <v>1000</v>
      </c>
      <c r="W43" s="419">
        <v>0</v>
      </c>
      <c r="X43" s="420">
        <v>0</v>
      </c>
      <c r="Y43" s="32"/>
      <c r="Z43" s="421">
        <v>0</v>
      </c>
      <c r="AA43" s="422"/>
      <c r="AB43" s="422">
        <v>0</v>
      </c>
      <c r="AC43" s="423">
        <v>0</v>
      </c>
      <c r="AD43" s="424">
        <v>0</v>
      </c>
      <c r="AE43" s="422"/>
      <c r="AF43" s="422">
        <v>0</v>
      </c>
      <c r="AG43" s="425">
        <v>0</v>
      </c>
      <c r="AH43" s="421">
        <v>0</v>
      </c>
      <c r="AI43" s="422"/>
      <c r="AJ43" s="422">
        <v>0</v>
      </c>
      <c r="AK43" s="425">
        <v>0</v>
      </c>
      <c r="AL43" s="421">
        <v>0</v>
      </c>
      <c r="AM43" s="422"/>
      <c r="AN43" s="422">
        <v>0</v>
      </c>
      <c r="AO43" s="423">
        <v>0</v>
      </c>
      <c r="AP43" s="424">
        <v>0</v>
      </c>
      <c r="AQ43" s="422"/>
      <c r="AR43" s="422">
        <v>0</v>
      </c>
      <c r="AS43" s="423">
        <v>0</v>
      </c>
      <c r="AT43" s="424">
        <v>0</v>
      </c>
      <c r="AU43" s="422"/>
      <c r="AV43" s="422">
        <v>0</v>
      </c>
      <c r="AW43" s="423">
        <v>0</v>
      </c>
      <c r="AX43" s="424">
        <v>0</v>
      </c>
      <c r="AY43" s="422"/>
      <c r="AZ43" s="422">
        <v>0</v>
      </c>
      <c r="BA43" s="423">
        <v>0</v>
      </c>
      <c r="BB43" s="424">
        <v>0</v>
      </c>
      <c r="BC43" s="422"/>
      <c r="BD43" s="422">
        <v>0</v>
      </c>
      <c r="BE43" s="425">
        <v>0</v>
      </c>
      <c r="BF43" s="421">
        <v>0</v>
      </c>
      <c r="BG43" s="422"/>
      <c r="BH43" s="422">
        <v>0</v>
      </c>
      <c r="BI43" s="425">
        <v>0</v>
      </c>
      <c r="BJ43" s="421">
        <v>0</v>
      </c>
      <c r="BK43" s="422"/>
      <c r="BL43" s="422">
        <v>0</v>
      </c>
      <c r="BM43" s="425">
        <v>0</v>
      </c>
      <c r="BN43" s="421">
        <v>0</v>
      </c>
      <c r="BO43" s="422"/>
      <c r="BP43" s="422">
        <v>0</v>
      </c>
      <c r="BQ43" s="423">
        <v>0</v>
      </c>
      <c r="BR43" s="424">
        <v>0</v>
      </c>
      <c r="BS43" s="422"/>
      <c r="BT43" s="422">
        <v>0</v>
      </c>
      <c r="BU43" s="425">
        <v>0</v>
      </c>
      <c r="BV43" s="326"/>
      <c r="BZ43" s="408">
        <f t="shared" si="5"/>
        <v>0</v>
      </c>
      <c r="CA43" s="426">
        <f t="shared" si="2"/>
        <v>0</v>
      </c>
      <c r="CB43" s="427">
        <f t="shared" si="3"/>
        <v>0</v>
      </c>
      <c r="CC43" s="428">
        <f t="shared" si="3"/>
        <v>0</v>
      </c>
      <c r="CD43" s="412" t="str">
        <f t="shared" si="6"/>
        <v/>
      </c>
      <c r="CE43" s="413" t="str">
        <f>IF(VLOOKUP($M43,'[2]OEM Group'!$B$6:$D$22,2,FALSE)&lt;&gt;0,VLOOKUP($M43,'[2]OEM Group'!$B$6:$D$22,2,FALSE),"")</f>
        <v/>
      </c>
      <c r="CF43" s="414" t="str">
        <f>IF(VLOOKUP($M43,'[2]OEM Group'!$B$6:$D$22,3,FALSE)&lt;&gt;0,VLOOKUP($M43,'[2]OEM Group'!$B$6:$D$22,3,FALSE),"")</f>
        <v>Bastian</v>
      </c>
      <c r="CG43" s="413" t="str">
        <f>IF(VLOOKUP($M43,'[2]OEM Group'!$B$6:$F$22,4,FALSE)&lt;&gt;"",VLOOKUP($M43,'[2]OEM Group'!$B$6:$F$22,4,FALSE),"")</f>
        <v>Aravind Durai</v>
      </c>
      <c r="CH43" s="414" t="str">
        <f>IF(VLOOKUP($M43,'[2]OEM Group'!$B$6:$F$22,5,FALSE)&lt;&gt;"",VLOOKUP($M43,'[2]OEM Group'!$B$6:$F$22,5,FALSE),"")</f>
        <v>Rich Oas</v>
      </c>
    </row>
    <row r="44" spans="2:86">
      <c r="B44" s="333">
        <v>1</v>
      </c>
      <c r="C44" s="30" t="s">
        <v>75</v>
      </c>
      <c r="D44" s="392" t="s">
        <v>103</v>
      </c>
      <c r="E44" s="33">
        <v>5</v>
      </c>
      <c r="F44" s="293" t="s">
        <v>115</v>
      </c>
      <c r="G44" s="393" t="s">
        <v>0</v>
      </c>
      <c r="I44" s="325" t="s">
        <v>106</v>
      </c>
      <c r="J44" s="394">
        <v>1</v>
      </c>
      <c r="K44" s="394" t="s">
        <v>106</v>
      </c>
      <c r="L44" s="32">
        <v>1</v>
      </c>
      <c r="M44" s="168" t="s">
        <v>114</v>
      </c>
      <c r="N44" s="415">
        <v>30000</v>
      </c>
      <c r="O44" s="416">
        <v>27000</v>
      </c>
      <c r="P44" s="416">
        <v>24000</v>
      </c>
      <c r="Q44" s="417">
        <v>0</v>
      </c>
      <c r="R44" s="417">
        <v>0</v>
      </c>
      <c r="S44" s="417">
        <v>0</v>
      </c>
      <c r="T44" s="418">
        <v>3</v>
      </c>
      <c r="U44" s="326">
        <f t="shared" si="0"/>
        <v>72000</v>
      </c>
      <c r="V44" s="264">
        <f t="shared" si="1"/>
        <v>72000</v>
      </c>
      <c r="W44" s="419">
        <v>0</v>
      </c>
      <c r="X44" s="420">
        <v>0</v>
      </c>
      <c r="Y44" s="32"/>
      <c r="Z44" s="421">
        <v>0</v>
      </c>
      <c r="AA44" s="422"/>
      <c r="AB44" s="422">
        <v>0</v>
      </c>
      <c r="AC44" s="423">
        <v>0</v>
      </c>
      <c r="AD44" s="424">
        <v>0</v>
      </c>
      <c r="AE44" s="422"/>
      <c r="AF44" s="422">
        <v>0</v>
      </c>
      <c r="AG44" s="425">
        <v>0</v>
      </c>
      <c r="AH44" s="421">
        <v>0</v>
      </c>
      <c r="AI44" s="422"/>
      <c r="AJ44" s="422">
        <v>0</v>
      </c>
      <c r="AK44" s="425">
        <v>0</v>
      </c>
      <c r="AL44" s="421">
        <v>0</v>
      </c>
      <c r="AM44" s="422"/>
      <c r="AN44" s="422">
        <v>0</v>
      </c>
      <c r="AO44" s="423">
        <v>0</v>
      </c>
      <c r="AP44" s="424">
        <v>0</v>
      </c>
      <c r="AQ44" s="422"/>
      <c r="AR44" s="422">
        <v>0</v>
      </c>
      <c r="AS44" s="423">
        <v>0</v>
      </c>
      <c r="AT44" s="424">
        <v>0</v>
      </c>
      <c r="AU44" s="422"/>
      <c r="AV44" s="422">
        <v>0</v>
      </c>
      <c r="AW44" s="423">
        <v>0</v>
      </c>
      <c r="AX44" s="424">
        <v>0</v>
      </c>
      <c r="AY44" s="422"/>
      <c r="AZ44" s="422">
        <v>0</v>
      </c>
      <c r="BA44" s="423">
        <v>0</v>
      </c>
      <c r="BB44" s="424">
        <v>0</v>
      </c>
      <c r="BC44" s="422"/>
      <c r="BD44" s="422">
        <v>0</v>
      </c>
      <c r="BE44" s="425">
        <v>0</v>
      </c>
      <c r="BF44" s="421">
        <v>0</v>
      </c>
      <c r="BG44" s="422"/>
      <c r="BH44" s="422">
        <v>0</v>
      </c>
      <c r="BI44" s="425">
        <v>0</v>
      </c>
      <c r="BJ44" s="421">
        <v>0</v>
      </c>
      <c r="BK44" s="422"/>
      <c r="BL44" s="422">
        <v>0</v>
      </c>
      <c r="BM44" s="425">
        <v>0</v>
      </c>
      <c r="BN44" s="421">
        <v>0</v>
      </c>
      <c r="BO44" s="422"/>
      <c r="BP44" s="422">
        <v>0</v>
      </c>
      <c r="BQ44" s="423">
        <v>0</v>
      </c>
      <c r="BR44" s="424">
        <v>0</v>
      </c>
      <c r="BS44" s="422"/>
      <c r="BT44" s="422">
        <v>0</v>
      </c>
      <c r="BU44" s="425">
        <v>0</v>
      </c>
      <c r="BV44" s="326"/>
      <c r="BZ44" s="408">
        <f t="shared" si="5"/>
        <v>0</v>
      </c>
      <c r="CA44" s="426">
        <f t="shared" si="2"/>
        <v>0</v>
      </c>
      <c r="CB44" s="427">
        <f t="shared" si="3"/>
        <v>0</v>
      </c>
      <c r="CC44" s="428">
        <f t="shared" si="3"/>
        <v>0</v>
      </c>
      <c r="CD44" s="412" t="str">
        <f t="shared" si="6"/>
        <v/>
      </c>
      <c r="CE44" s="413" t="str">
        <f>IF(VLOOKUP($M44,'[2]OEM Group'!$B$6:$D$22,2,FALSE)&lt;&gt;0,VLOOKUP($M44,'[2]OEM Group'!$B$6:$D$22,2,FALSE),"")</f>
        <v/>
      </c>
      <c r="CF44" s="414" t="str">
        <f>IF(VLOOKUP($M44,'[2]OEM Group'!$B$6:$D$22,3,FALSE)&lt;&gt;0,VLOOKUP($M44,'[2]OEM Group'!$B$6:$D$22,3,FALSE),"")</f>
        <v>Bastian</v>
      </c>
      <c r="CG44" s="413" t="str">
        <f>IF(VLOOKUP($M44,'[2]OEM Group'!$B$6:$F$22,4,FALSE)&lt;&gt;"",VLOOKUP($M44,'[2]OEM Group'!$B$6:$F$22,4,FALSE),"")</f>
        <v>Aravind Durai</v>
      </c>
      <c r="CH44" s="414" t="str">
        <f>IF(VLOOKUP($M44,'[2]OEM Group'!$B$6:$F$22,5,FALSE)&lt;&gt;"",VLOOKUP($M44,'[2]OEM Group'!$B$6:$F$22,5,FALSE),"")</f>
        <v>Rich Oas</v>
      </c>
    </row>
    <row r="45" spans="2:86">
      <c r="B45" s="333">
        <v>1</v>
      </c>
      <c r="C45" s="30" t="s">
        <v>75</v>
      </c>
      <c r="D45" s="392" t="s">
        <v>103</v>
      </c>
      <c r="E45" s="33">
        <v>6</v>
      </c>
      <c r="F45" s="293" t="s">
        <v>116</v>
      </c>
      <c r="G45" s="393"/>
      <c r="I45" s="325" t="s">
        <v>106</v>
      </c>
      <c r="J45" s="394">
        <v>1</v>
      </c>
      <c r="K45" s="394" t="s">
        <v>106</v>
      </c>
      <c r="L45" s="32">
        <v>1</v>
      </c>
      <c r="M45" s="168" t="s">
        <v>114</v>
      </c>
      <c r="N45" s="415">
        <v>500</v>
      </c>
      <c r="O45" s="416">
        <v>500</v>
      </c>
      <c r="P45" s="416">
        <v>500</v>
      </c>
      <c r="Q45" s="417">
        <v>0</v>
      </c>
      <c r="R45" s="417">
        <v>0</v>
      </c>
      <c r="S45" s="417">
        <v>0</v>
      </c>
      <c r="T45" s="418">
        <v>2</v>
      </c>
      <c r="U45" s="326">
        <f t="shared" si="0"/>
        <v>1000</v>
      </c>
      <c r="V45" s="264">
        <f t="shared" si="1"/>
        <v>1000</v>
      </c>
      <c r="W45" s="419">
        <v>0</v>
      </c>
      <c r="X45" s="420">
        <v>0</v>
      </c>
      <c r="Y45" s="32"/>
      <c r="Z45" s="421">
        <v>0</v>
      </c>
      <c r="AA45" s="422"/>
      <c r="AB45" s="422">
        <v>0</v>
      </c>
      <c r="AC45" s="423">
        <v>0</v>
      </c>
      <c r="AD45" s="424">
        <v>0</v>
      </c>
      <c r="AE45" s="422"/>
      <c r="AF45" s="422">
        <v>0</v>
      </c>
      <c r="AG45" s="425">
        <v>0</v>
      </c>
      <c r="AH45" s="421">
        <v>0</v>
      </c>
      <c r="AI45" s="422"/>
      <c r="AJ45" s="422">
        <v>0</v>
      </c>
      <c r="AK45" s="425">
        <v>0</v>
      </c>
      <c r="AL45" s="421">
        <v>0</v>
      </c>
      <c r="AM45" s="422"/>
      <c r="AN45" s="422">
        <v>0</v>
      </c>
      <c r="AO45" s="423">
        <v>0</v>
      </c>
      <c r="AP45" s="424">
        <v>0</v>
      </c>
      <c r="AQ45" s="422"/>
      <c r="AR45" s="422">
        <v>0</v>
      </c>
      <c r="AS45" s="423">
        <v>0</v>
      </c>
      <c r="AT45" s="424">
        <v>0</v>
      </c>
      <c r="AU45" s="422"/>
      <c r="AV45" s="422">
        <v>0</v>
      </c>
      <c r="AW45" s="423">
        <v>0</v>
      </c>
      <c r="AX45" s="424">
        <v>0</v>
      </c>
      <c r="AY45" s="422"/>
      <c r="AZ45" s="422">
        <v>0</v>
      </c>
      <c r="BA45" s="423">
        <v>0</v>
      </c>
      <c r="BB45" s="424">
        <v>0</v>
      </c>
      <c r="BC45" s="422"/>
      <c r="BD45" s="422">
        <v>0</v>
      </c>
      <c r="BE45" s="425">
        <v>0</v>
      </c>
      <c r="BF45" s="421">
        <v>0</v>
      </c>
      <c r="BG45" s="422"/>
      <c r="BH45" s="422">
        <v>0</v>
      </c>
      <c r="BI45" s="425">
        <v>0</v>
      </c>
      <c r="BJ45" s="421">
        <v>0</v>
      </c>
      <c r="BK45" s="422"/>
      <c r="BL45" s="422">
        <v>0</v>
      </c>
      <c r="BM45" s="425">
        <v>0</v>
      </c>
      <c r="BN45" s="421">
        <v>0</v>
      </c>
      <c r="BO45" s="422"/>
      <c r="BP45" s="422">
        <v>0</v>
      </c>
      <c r="BQ45" s="423">
        <v>0</v>
      </c>
      <c r="BR45" s="424">
        <v>0</v>
      </c>
      <c r="BS45" s="422"/>
      <c r="BT45" s="422">
        <v>0</v>
      </c>
      <c r="BU45" s="425">
        <v>0</v>
      </c>
      <c r="BV45" s="326"/>
      <c r="BZ45" s="408">
        <f t="shared" si="5"/>
        <v>0</v>
      </c>
      <c r="CA45" s="426">
        <f t="shared" si="2"/>
        <v>0</v>
      </c>
      <c r="CB45" s="427">
        <f t="shared" si="3"/>
        <v>0</v>
      </c>
      <c r="CC45" s="428">
        <f t="shared" si="3"/>
        <v>0</v>
      </c>
      <c r="CD45" s="412" t="str">
        <f t="shared" si="6"/>
        <v/>
      </c>
      <c r="CE45" s="413" t="str">
        <f>IF(VLOOKUP($M45,'[2]OEM Group'!$B$6:$D$22,2,FALSE)&lt;&gt;0,VLOOKUP($M45,'[2]OEM Group'!$B$6:$D$22,2,FALSE),"")</f>
        <v/>
      </c>
      <c r="CF45" s="414" t="str">
        <f>IF(VLOOKUP($M45,'[2]OEM Group'!$B$6:$D$22,3,FALSE)&lt;&gt;0,VLOOKUP($M45,'[2]OEM Group'!$B$6:$D$22,3,FALSE),"")</f>
        <v>Bastian</v>
      </c>
      <c r="CG45" s="413" t="str">
        <f>IF(VLOOKUP($M45,'[2]OEM Group'!$B$6:$F$22,4,FALSE)&lt;&gt;"",VLOOKUP($M45,'[2]OEM Group'!$B$6:$F$22,4,FALSE),"")</f>
        <v>Aravind Durai</v>
      </c>
      <c r="CH45" s="414" t="str">
        <f>IF(VLOOKUP($M45,'[2]OEM Group'!$B$6:$F$22,5,FALSE)&lt;&gt;"",VLOOKUP($M45,'[2]OEM Group'!$B$6:$F$22,5,FALSE),"")</f>
        <v>Rich Oas</v>
      </c>
    </row>
    <row r="46" spans="2:86">
      <c r="B46" s="333">
        <v>1</v>
      </c>
      <c r="C46" s="30" t="s">
        <v>75</v>
      </c>
      <c r="D46" s="392" t="s">
        <v>103</v>
      </c>
      <c r="E46" s="33">
        <v>7</v>
      </c>
      <c r="F46" s="293" t="s">
        <v>117</v>
      </c>
      <c r="G46" s="393"/>
      <c r="I46" s="325" t="s">
        <v>106</v>
      </c>
      <c r="J46" s="394">
        <v>1</v>
      </c>
      <c r="K46" s="394" t="s">
        <v>106</v>
      </c>
      <c r="L46" s="32">
        <v>1</v>
      </c>
      <c r="M46" s="168" t="s">
        <v>114</v>
      </c>
      <c r="N46" s="415">
        <v>2000</v>
      </c>
      <c r="O46" s="416">
        <v>2000</v>
      </c>
      <c r="P46" s="416">
        <v>1500</v>
      </c>
      <c r="Q46" s="417">
        <v>0</v>
      </c>
      <c r="R46" s="417">
        <v>0</v>
      </c>
      <c r="S46" s="417">
        <v>0</v>
      </c>
      <c r="T46" s="418">
        <v>3</v>
      </c>
      <c r="U46" s="326">
        <f t="shared" si="0"/>
        <v>4500</v>
      </c>
      <c r="V46" s="264">
        <f t="shared" si="1"/>
        <v>4500</v>
      </c>
      <c r="W46" s="419">
        <v>0</v>
      </c>
      <c r="X46" s="420">
        <v>0</v>
      </c>
      <c r="Y46" s="32"/>
      <c r="Z46" s="421">
        <v>0</v>
      </c>
      <c r="AA46" s="422"/>
      <c r="AB46" s="422">
        <v>0</v>
      </c>
      <c r="AC46" s="423">
        <v>0</v>
      </c>
      <c r="AD46" s="424">
        <v>0</v>
      </c>
      <c r="AE46" s="422"/>
      <c r="AF46" s="422">
        <v>0</v>
      </c>
      <c r="AG46" s="425">
        <v>0</v>
      </c>
      <c r="AH46" s="421">
        <v>0</v>
      </c>
      <c r="AI46" s="422"/>
      <c r="AJ46" s="422">
        <v>0</v>
      </c>
      <c r="AK46" s="425">
        <v>0</v>
      </c>
      <c r="AL46" s="421">
        <v>0</v>
      </c>
      <c r="AM46" s="422"/>
      <c r="AN46" s="422">
        <v>0</v>
      </c>
      <c r="AO46" s="423">
        <v>0</v>
      </c>
      <c r="AP46" s="424">
        <v>0</v>
      </c>
      <c r="AQ46" s="422"/>
      <c r="AR46" s="422">
        <v>0</v>
      </c>
      <c r="AS46" s="423">
        <v>0</v>
      </c>
      <c r="AT46" s="424">
        <v>0</v>
      </c>
      <c r="AU46" s="422"/>
      <c r="AV46" s="422">
        <v>0</v>
      </c>
      <c r="AW46" s="423">
        <v>0</v>
      </c>
      <c r="AX46" s="424">
        <v>0</v>
      </c>
      <c r="AY46" s="422"/>
      <c r="AZ46" s="422">
        <v>0</v>
      </c>
      <c r="BA46" s="423">
        <v>0</v>
      </c>
      <c r="BB46" s="424">
        <v>0</v>
      </c>
      <c r="BC46" s="422"/>
      <c r="BD46" s="422">
        <v>0</v>
      </c>
      <c r="BE46" s="425">
        <v>0</v>
      </c>
      <c r="BF46" s="421">
        <v>0</v>
      </c>
      <c r="BG46" s="422"/>
      <c r="BH46" s="422">
        <v>0</v>
      </c>
      <c r="BI46" s="425">
        <v>0</v>
      </c>
      <c r="BJ46" s="421">
        <v>0</v>
      </c>
      <c r="BK46" s="422"/>
      <c r="BL46" s="422">
        <v>0</v>
      </c>
      <c r="BM46" s="425">
        <v>0</v>
      </c>
      <c r="BN46" s="421">
        <v>0</v>
      </c>
      <c r="BO46" s="422"/>
      <c r="BP46" s="422">
        <v>0</v>
      </c>
      <c r="BQ46" s="423">
        <v>0</v>
      </c>
      <c r="BR46" s="424">
        <v>0</v>
      </c>
      <c r="BS46" s="422"/>
      <c r="BT46" s="422">
        <v>0</v>
      </c>
      <c r="BU46" s="425">
        <v>0</v>
      </c>
      <c r="BV46" s="326"/>
      <c r="BZ46" s="408">
        <f t="shared" si="5"/>
        <v>0</v>
      </c>
      <c r="CA46" s="426">
        <f t="shared" si="2"/>
        <v>0</v>
      </c>
      <c r="CB46" s="427">
        <f t="shared" si="3"/>
        <v>0</v>
      </c>
      <c r="CC46" s="428">
        <f t="shared" si="3"/>
        <v>0</v>
      </c>
      <c r="CD46" s="412" t="str">
        <f t="shared" si="6"/>
        <v/>
      </c>
      <c r="CE46" s="413" t="str">
        <f>IF(VLOOKUP($M46,'[2]OEM Group'!$B$6:$D$22,2,FALSE)&lt;&gt;0,VLOOKUP($M46,'[2]OEM Group'!$B$6:$D$22,2,FALSE),"")</f>
        <v/>
      </c>
      <c r="CF46" s="414" t="str">
        <f>IF(VLOOKUP($M46,'[2]OEM Group'!$B$6:$D$22,3,FALSE)&lt;&gt;0,VLOOKUP($M46,'[2]OEM Group'!$B$6:$D$22,3,FALSE),"")</f>
        <v>Bastian</v>
      </c>
      <c r="CG46" s="413" t="str">
        <f>IF(VLOOKUP($M46,'[2]OEM Group'!$B$6:$F$22,4,FALSE)&lt;&gt;"",VLOOKUP($M46,'[2]OEM Group'!$B$6:$F$22,4,FALSE),"")</f>
        <v>Aravind Durai</v>
      </c>
      <c r="CH46" s="414" t="str">
        <f>IF(VLOOKUP($M46,'[2]OEM Group'!$B$6:$F$22,5,FALSE)&lt;&gt;"",VLOOKUP($M46,'[2]OEM Group'!$B$6:$F$22,5,FALSE),"")</f>
        <v>Rich Oas</v>
      </c>
    </row>
    <row r="47" spans="2:86">
      <c r="B47" s="333">
        <v>1</v>
      </c>
      <c r="C47" s="30" t="s">
        <v>75</v>
      </c>
      <c r="D47" s="392" t="s">
        <v>103</v>
      </c>
      <c r="E47" s="33">
        <v>8</v>
      </c>
      <c r="F47" s="293" t="s">
        <v>118</v>
      </c>
      <c r="G47" s="393"/>
      <c r="I47" s="325" t="s">
        <v>106</v>
      </c>
      <c r="J47" s="394">
        <v>1</v>
      </c>
      <c r="K47" s="394" t="s">
        <v>106</v>
      </c>
      <c r="L47" s="32"/>
      <c r="M47" s="168" t="s">
        <v>114</v>
      </c>
      <c r="N47" s="415">
        <v>500</v>
      </c>
      <c r="O47" s="416">
        <v>500</v>
      </c>
      <c r="P47" s="416">
        <v>500</v>
      </c>
      <c r="Q47" s="417">
        <v>0</v>
      </c>
      <c r="R47" s="417">
        <v>0</v>
      </c>
      <c r="S47" s="417">
        <v>0</v>
      </c>
      <c r="T47" s="418">
        <v>2</v>
      </c>
      <c r="U47" s="326">
        <f t="shared" si="0"/>
        <v>1000</v>
      </c>
      <c r="V47" s="264">
        <f t="shared" si="1"/>
        <v>1000</v>
      </c>
      <c r="W47" s="419">
        <v>0</v>
      </c>
      <c r="X47" s="420">
        <v>0</v>
      </c>
      <c r="Y47" s="32"/>
      <c r="Z47" s="421">
        <v>0</v>
      </c>
      <c r="AA47" s="422"/>
      <c r="AB47" s="422">
        <v>0</v>
      </c>
      <c r="AC47" s="423">
        <v>0</v>
      </c>
      <c r="AD47" s="424">
        <v>0</v>
      </c>
      <c r="AE47" s="422"/>
      <c r="AF47" s="422">
        <v>0</v>
      </c>
      <c r="AG47" s="425">
        <v>0</v>
      </c>
      <c r="AH47" s="421">
        <v>0</v>
      </c>
      <c r="AI47" s="422"/>
      <c r="AJ47" s="422">
        <v>0</v>
      </c>
      <c r="AK47" s="425">
        <v>0</v>
      </c>
      <c r="AL47" s="421">
        <v>0</v>
      </c>
      <c r="AM47" s="422"/>
      <c r="AN47" s="422">
        <v>0</v>
      </c>
      <c r="AO47" s="423">
        <v>0</v>
      </c>
      <c r="AP47" s="424">
        <v>0</v>
      </c>
      <c r="AQ47" s="422"/>
      <c r="AR47" s="422">
        <v>0</v>
      </c>
      <c r="AS47" s="423">
        <v>0</v>
      </c>
      <c r="AT47" s="424">
        <v>0</v>
      </c>
      <c r="AU47" s="422"/>
      <c r="AV47" s="422">
        <v>0</v>
      </c>
      <c r="AW47" s="423">
        <v>0</v>
      </c>
      <c r="AX47" s="424">
        <v>0</v>
      </c>
      <c r="AY47" s="422"/>
      <c r="AZ47" s="422">
        <v>0</v>
      </c>
      <c r="BA47" s="423">
        <v>0</v>
      </c>
      <c r="BB47" s="424">
        <v>0</v>
      </c>
      <c r="BC47" s="422"/>
      <c r="BD47" s="422">
        <v>0</v>
      </c>
      <c r="BE47" s="425">
        <v>0</v>
      </c>
      <c r="BF47" s="421">
        <v>0</v>
      </c>
      <c r="BG47" s="422"/>
      <c r="BH47" s="422">
        <v>0</v>
      </c>
      <c r="BI47" s="425">
        <v>0</v>
      </c>
      <c r="BJ47" s="421">
        <v>0</v>
      </c>
      <c r="BK47" s="422"/>
      <c r="BL47" s="422">
        <v>0</v>
      </c>
      <c r="BM47" s="425">
        <v>0</v>
      </c>
      <c r="BN47" s="421">
        <v>0</v>
      </c>
      <c r="BO47" s="422"/>
      <c r="BP47" s="422">
        <v>0</v>
      </c>
      <c r="BQ47" s="423">
        <v>0</v>
      </c>
      <c r="BR47" s="424">
        <v>0</v>
      </c>
      <c r="BS47" s="422"/>
      <c r="BT47" s="422">
        <v>0</v>
      </c>
      <c r="BU47" s="425">
        <v>0</v>
      </c>
      <c r="BV47" s="326"/>
      <c r="BZ47" s="408">
        <f t="shared" si="5"/>
        <v>0</v>
      </c>
      <c r="CA47" s="426">
        <f t="shared" si="2"/>
        <v>0</v>
      </c>
      <c r="CB47" s="427">
        <f t="shared" si="3"/>
        <v>0</v>
      </c>
      <c r="CC47" s="428">
        <f t="shared" si="3"/>
        <v>0</v>
      </c>
      <c r="CD47" s="412" t="str">
        <f t="shared" si="6"/>
        <v/>
      </c>
      <c r="CE47" s="413" t="str">
        <f>IF(VLOOKUP($M47,'[2]OEM Group'!$B$6:$D$22,2,FALSE)&lt;&gt;0,VLOOKUP($M47,'[2]OEM Group'!$B$6:$D$22,2,FALSE),"")</f>
        <v/>
      </c>
      <c r="CF47" s="414" t="str">
        <f>IF(VLOOKUP($M47,'[2]OEM Group'!$B$6:$D$22,3,FALSE)&lt;&gt;0,VLOOKUP($M47,'[2]OEM Group'!$B$6:$D$22,3,FALSE),"")</f>
        <v>Bastian</v>
      </c>
      <c r="CG47" s="413" t="str">
        <f>IF(VLOOKUP($M47,'[2]OEM Group'!$B$6:$F$22,4,FALSE)&lt;&gt;"",VLOOKUP($M47,'[2]OEM Group'!$B$6:$F$22,4,FALSE),"")</f>
        <v>Aravind Durai</v>
      </c>
      <c r="CH47" s="414" t="str">
        <f>IF(VLOOKUP($M47,'[2]OEM Group'!$B$6:$F$22,5,FALSE)&lt;&gt;"",VLOOKUP($M47,'[2]OEM Group'!$B$6:$F$22,5,FALSE),"")</f>
        <v>Rich Oas</v>
      </c>
    </row>
    <row r="48" spans="2:86">
      <c r="B48" s="333">
        <v>2</v>
      </c>
      <c r="C48" s="30" t="s">
        <v>119</v>
      </c>
      <c r="D48" s="392" t="s">
        <v>103</v>
      </c>
      <c r="E48" s="33">
        <v>12</v>
      </c>
      <c r="F48" s="293" t="s">
        <v>123</v>
      </c>
      <c r="G48" s="393"/>
      <c r="I48" s="325" t="s">
        <v>106</v>
      </c>
      <c r="J48" s="394">
        <v>2</v>
      </c>
      <c r="K48" s="394" t="s">
        <v>0</v>
      </c>
      <c r="L48" s="32" t="s">
        <v>0</v>
      </c>
      <c r="M48" s="168" t="s">
        <v>114</v>
      </c>
      <c r="N48" s="415">
        <v>20000</v>
      </c>
      <c r="O48" s="416">
        <v>17000</v>
      </c>
      <c r="P48" s="416">
        <v>15000</v>
      </c>
      <c r="Q48" s="417">
        <v>0</v>
      </c>
      <c r="R48" s="417">
        <v>0</v>
      </c>
      <c r="S48" s="417">
        <v>0</v>
      </c>
      <c r="T48" s="418">
        <v>6</v>
      </c>
      <c r="U48" s="326">
        <f t="shared" si="0"/>
        <v>90000</v>
      </c>
      <c r="V48" s="264">
        <f t="shared" si="1"/>
        <v>90000</v>
      </c>
      <c r="W48" s="419">
        <v>0</v>
      </c>
      <c r="X48" s="420">
        <v>0</v>
      </c>
      <c r="Y48" s="32"/>
      <c r="Z48" s="421">
        <v>0</v>
      </c>
      <c r="AA48" s="422"/>
      <c r="AB48" s="422">
        <v>0</v>
      </c>
      <c r="AC48" s="423">
        <v>0</v>
      </c>
      <c r="AD48" s="424">
        <v>0</v>
      </c>
      <c r="AE48" s="422"/>
      <c r="AF48" s="422">
        <v>0</v>
      </c>
      <c r="AG48" s="425">
        <v>0</v>
      </c>
      <c r="AH48" s="421">
        <v>0</v>
      </c>
      <c r="AI48" s="422"/>
      <c r="AJ48" s="422">
        <v>0</v>
      </c>
      <c r="AK48" s="425">
        <v>0</v>
      </c>
      <c r="AL48" s="421">
        <v>0</v>
      </c>
      <c r="AM48" s="422"/>
      <c r="AN48" s="422">
        <v>0</v>
      </c>
      <c r="AO48" s="423">
        <v>0</v>
      </c>
      <c r="AP48" s="424">
        <v>0</v>
      </c>
      <c r="AQ48" s="422"/>
      <c r="AR48" s="422">
        <v>0</v>
      </c>
      <c r="AS48" s="423">
        <v>0</v>
      </c>
      <c r="AT48" s="424">
        <v>0</v>
      </c>
      <c r="AU48" s="422"/>
      <c r="AV48" s="422">
        <v>0</v>
      </c>
      <c r="AW48" s="423">
        <v>0</v>
      </c>
      <c r="AX48" s="424">
        <v>0</v>
      </c>
      <c r="AY48" s="422"/>
      <c r="AZ48" s="422">
        <v>0</v>
      </c>
      <c r="BA48" s="423">
        <v>0</v>
      </c>
      <c r="BB48" s="424">
        <v>0</v>
      </c>
      <c r="BC48" s="422"/>
      <c r="BD48" s="422">
        <v>0</v>
      </c>
      <c r="BE48" s="425">
        <v>0</v>
      </c>
      <c r="BF48" s="421">
        <v>0</v>
      </c>
      <c r="BG48" s="422"/>
      <c r="BH48" s="422">
        <v>0</v>
      </c>
      <c r="BI48" s="425">
        <v>0</v>
      </c>
      <c r="BJ48" s="421">
        <v>0</v>
      </c>
      <c r="BK48" s="422"/>
      <c r="BL48" s="422">
        <v>0</v>
      </c>
      <c r="BM48" s="425">
        <v>0</v>
      </c>
      <c r="BN48" s="421">
        <v>0</v>
      </c>
      <c r="BO48" s="422"/>
      <c r="BP48" s="422">
        <v>0</v>
      </c>
      <c r="BQ48" s="423">
        <v>0</v>
      </c>
      <c r="BR48" s="424">
        <v>0</v>
      </c>
      <c r="BS48" s="422"/>
      <c r="BT48" s="422">
        <v>0</v>
      </c>
      <c r="BU48" s="425">
        <v>0</v>
      </c>
      <c r="BV48" s="326"/>
      <c r="BZ48" s="408">
        <f t="shared" si="5"/>
        <v>0</v>
      </c>
      <c r="CA48" s="426">
        <f t="shared" si="2"/>
        <v>0</v>
      </c>
      <c r="CB48" s="427">
        <f t="shared" si="3"/>
        <v>0</v>
      </c>
      <c r="CC48" s="428">
        <f t="shared" si="3"/>
        <v>0</v>
      </c>
      <c r="CD48" s="412" t="str">
        <f t="shared" si="6"/>
        <v/>
      </c>
      <c r="CE48" s="413" t="str">
        <f>IF(VLOOKUP($M48,'[2]OEM Group'!$B$6:$D$22,2,FALSE)&lt;&gt;0,VLOOKUP($M48,'[2]OEM Group'!$B$6:$D$22,2,FALSE),"")</f>
        <v/>
      </c>
      <c r="CF48" s="414" t="str">
        <f>IF(VLOOKUP($M48,'[2]OEM Group'!$B$6:$D$22,3,FALSE)&lt;&gt;0,VLOOKUP($M48,'[2]OEM Group'!$B$6:$D$22,3,FALSE),"")</f>
        <v>Bastian</v>
      </c>
      <c r="CG48" s="413" t="str">
        <f>IF(VLOOKUP($M48,'[2]OEM Group'!$B$6:$F$22,4,FALSE)&lt;&gt;"",VLOOKUP($M48,'[2]OEM Group'!$B$6:$F$22,4,FALSE),"")</f>
        <v>Aravind Durai</v>
      </c>
      <c r="CH48" s="414" t="str">
        <f>IF(VLOOKUP($M48,'[2]OEM Group'!$B$6:$F$22,5,FALSE)&lt;&gt;"",VLOOKUP($M48,'[2]OEM Group'!$B$6:$F$22,5,FALSE),"")</f>
        <v>Rich Oas</v>
      </c>
    </row>
    <row r="49" spans="2:86">
      <c r="B49" s="333">
        <v>6</v>
      </c>
      <c r="C49" s="30" t="s">
        <v>132</v>
      </c>
      <c r="D49" s="392" t="s">
        <v>103</v>
      </c>
      <c r="E49" s="33">
        <v>35</v>
      </c>
      <c r="F49" s="293" t="s">
        <v>149</v>
      </c>
      <c r="G49" s="393"/>
      <c r="I49" s="325" t="s">
        <v>106</v>
      </c>
      <c r="J49" s="394">
        <v>1</v>
      </c>
      <c r="K49" s="394" t="s">
        <v>0</v>
      </c>
      <c r="L49" s="32">
        <v>1</v>
      </c>
      <c r="M49" s="168" t="s">
        <v>114</v>
      </c>
      <c r="N49" s="415">
        <v>40000</v>
      </c>
      <c r="O49" s="416">
        <v>37000</v>
      </c>
      <c r="P49" s="416">
        <v>35000</v>
      </c>
      <c r="Q49" s="417">
        <v>0</v>
      </c>
      <c r="R49" s="417">
        <v>0</v>
      </c>
      <c r="S49" s="417">
        <v>0</v>
      </c>
      <c r="T49" s="418">
        <v>1</v>
      </c>
      <c r="U49" s="326">
        <f t="shared" si="0"/>
        <v>35000</v>
      </c>
      <c r="V49" s="264">
        <f t="shared" si="1"/>
        <v>35000</v>
      </c>
      <c r="W49" s="419">
        <v>0</v>
      </c>
      <c r="X49" s="420">
        <v>0</v>
      </c>
      <c r="Y49" s="32"/>
      <c r="Z49" s="421">
        <v>0</v>
      </c>
      <c r="AA49" s="422"/>
      <c r="AB49" s="422">
        <v>0</v>
      </c>
      <c r="AC49" s="423">
        <v>0</v>
      </c>
      <c r="AD49" s="424">
        <v>0</v>
      </c>
      <c r="AE49" s="422"/>
      <c r="AF49" s="422">
        <v>0</v>
      </c>
      <c r="AG49" s="425">
        <v>0</v>
      </c>
      <c r="AH49" s="421">
        <v>0</v>
      </c>
      <c r="AI49" s="422"/>
      <c r="AJ49" s="422">
        <v>0</v>
      </c>
      <c r="AK49" s="425">
        <v>0</v>
      </c>
      <c r="AL49" s="421">
        <v>0</v>
      </c>
      <c r="AM49" s="422"/>
      <c r="AN49" s="422">
        <v>0</v>
      </c>
      <c r="AO49" s="423">
        <v>0</v>
      </c>
      <c r="AP49" s="424">
        <v>0</v>
      </c>
      <c r="AQ49" s="422"/>
      <c r="AR49" s="422">
        <v>0</v>
      </c>
      <c r="AS49" s="423">
        <v>0</v>
      </c>
      <c r="AT49" s="424">
        <v>0</v>
      </c>
      <c r="AU49" s="422"/>
      <c r="AV49" s="422">
        <v>0</v>
      </c>
      <c r="AW49" s="423">
        <v>0</v>
      </c>
      <c r="AX49" s="424">
        <v>0</v>
      </c>
      <c r="AY49" s="422"/>
      <c r="AZ49" s="422">
        <v>0</v>
      </c>
      <c r="BA49" s="423">
        <v>0</v>
      </c>
      <c r="BB49" s="424">
        <v>0</v>
      </c>
      <c r="BC49" s="422"/>
      <c r="BD49" s="422">
        <v>0</v>
      </c>
      <c r="BE49" s="425">
        <v>0</v>
      </c>
      <c r="BF49" s="421">
        <v>0</v>
      </c>
      <c r="BG49" s="422"/>
      <c r="BH49" s="422">
        <v>0</v>
      </c>
      <c r="BI49" s="425">
        <v>0</v>
      </c>
      <c r="BJ49" s="421">
        <v>0</v>
      </c>
      <c r="BK49" s="422"/>
      <c r="BL49" s="422">
        <v>0</v>
      </c>
      <c r="BM49" s="425">
        <v>0</v>
      </c>
      <c r="BN49" s="421">
        <v>0</v>
      </c>
      <c r="BO49" s="422"/>
      <c r="BP49" s="422">
        <v>0</v>
      </c>
      <c r="BQ49" s="423">
        <v>0</v>
      </c>
      <c r="BR49" s="424">
        <v>0</v>
      </c>
      <c r="BS49" s="422"/>
      <c r="BT49" s="422">
        <v>0</v>
      </c>
      <c r="BU49" s="425">
        <v>0</v>
      </c>
      <c r="BV49" s="326"/>
      <c r="BZ49" s="408">
        <f t="shared" si="5"/>
        <v>0</v>
      </c>
      <c r="CA49" s="426">
        <f t="shared" si="2"/>
        <v>0</v>
      </c>
      <c r="CB49" s="427">
        <f t="shared" si="3"/>
        <v>0</v>
      </c>
      <c r="CC49" s="428">
        <f t="shared" si="3"/>
        <v>0</v>
      </c>
      <c r="CD49" s="412" t="str">
        <f t="shared" si="6"/>
        <v/>
      </c>
      <c r="CE49" s="413" t="str">
        <f>IF(VLOOKUP($M49,'[2]OEM Group'!$B$6:$D$22,2,FALSE)&lt;&gt;0,VLOOKUP($M49,'[2]OEM Group'!$B$6:$D$22,2,FALSE),"")</f>
        <v/>
      </c>
      <c r="CF49" s="414" t="str">
        <f>IF(VLOOKUP($M49,'[2]OEM Group'!$B$6:$D$22,3,FALSE)&lt;&gt;0,VLOOKUP($M49,'[2]OEM Group'!$B$6:$D$22,3,FALSE),"")</f>
        <v>Bastian</v>
      </c>
      <c r="CG49" s="413" t="str">
        <f>IF(VLOOKUP($M49,'[2]OEM Group'!$B$6:$F$22,4,FALSE)&lt;&gt;"",VLOOKUP($M49,'[2]OEM Group'!$B$6:$F$22,4,FALSE),"")</f>
        <v>Aravind Durai</v>
      </c>
      <c r="CH49" s="414" t="str">
        <f>IF(VLOOKUP($M49,'[2]OEM Group'!$B$6:$F$22,5,FALSE)&lt;&gt;"",VLOOKUP($M49,'[2]OEM Group'!$B$6:$F$22,5,FALSE),"")</f>
        <v>Rich Oas</v>
      </c>
    </row>
    <row r="50" spans="2:86">
      <c r="B50" s="333">
        <v>7</v>
      </c>
      <c r="C50" s="30" t="s">
        <v>193</v>
      </c>
      <c r="D50" s="392" t="s">
        <v>103</v>
      </c>
      <c r="E50" s="33">
        <v>38</v>
      </c>
      <c r="F50" s="293" t="s">
        <v>258</v>
      </c>
      <c r="G50" s="393">
        <v>1</v>
      </c>
      <c r="I50" s="325" t="s">
        <v>106</v>
      </c>
      <c r="J50" s="394">
        <v>1</v>
      </c>
      <c r="K50" s="394" t="s">
        <v>397</v>
      </c>
      <c r="L50" s="32">
        <v>1</v>
      </c>
      <c r="M50" s="168" t="s">
        <v>114</v>
      </c>
      <c r="N50" s="415">
        <v>100000</v>
      </c>
      <c r="O50" s="416">
        <v>90000</v>
      </c>
      <c r="P50" s="416">
        <v>80000</v>
      </c>
      <c r="Q50" s="417">
        <v>0</v>
      </c>
      <c r="R50" s="417">
        <v>0</v>
      </c>
      <c r="S50" s="417">
        <v>0</v>
      </c>
      <c r="T50" s="418">
        <v>5</v>
      </c>
      <c r="U50" s="326">
        <f t="shared" si="0"/>
        <v>400000</v>
      </c>
      <c r="V50" s="264">
        <f t="shared" si="1"/>
        <v>400000</v>
      </c>
      <c r="W50" s="419">
        <v>0</v>
      </c>
      <c r="X50" s="420">
        <v>0</v>
      </c>
      <c r="Y50" s="32"/>
      <c r="Z50" s="421">
        <v>0</v>
      </c>
      <c r="AA50" s="422"/>
      <c r="AB50" s="422">
        <v>0</v>
      </c>
      <c r="AC50" s="423">
        <v>0</v>
      </c>
      <c r="AD50" s="424">
        <v>0</v>
      </c>
      <c r="AE50" s="422"/>
      <c r="AF50" s="422">
        <v>0</v>
      </c>
      <c r="AG50" s="425">
        <v>0</v>
      </c>
      <c r="AH50" s="421">
        <v>0</v>
      </c>
      <c r="AI50" s="422"/>
      <c r="AJ50" s="422">
        <v>0</v>
      </c>
      <c r="AK50" s="425">
        <v>0</v>
      </c>
      <c r="AL50" s="421">
        <v>0</v>
      </c>
      <c r="AM50" s="422"/>
      <c r="AN50" s="422">
        <v>0</v>
      </c>
      <c r="AO50" s="423">
        <v>0</v>
      </c>
      <c r="AP50" s="424">
        <v>0</v>
      </c>
      <c r="AQ50" s="422"/>
      <c r="AR50" s="422">
        <v>0</v>
      </c>
      <c r="AS50" s="423">
        <v>0</v>
      </c>
      <c r="AT50" s="424">
        <v>0</v>
      </c>
      <c r="AU50" s="422"/>
      <c r="AV50" s="422">
        <v>0</v>
      </c>
      <c r="AW50" s="423">
        <v>0</v>
      </c>
      <c r="AX50" s="424">
        <v>0</v>
      </c>
      <c r="AY50" s="422"/>
      <c r="AZ50" s="422">
        <v>0</v>
      </c>
      <c r="BA50" s="423">
        <v>0</v>
      </c>
      <c r="BB50" s="424">
        <v>0</v>
      </c>
      <c r="BC50" s="422"/>
      <c r="BD50" s="422">
        <v>0</v>
      </c>
      <c r="BE50" s="425">
        <v>0</v>
      </c>
      <c r="BF50" s="421">
        <v>0</v>
      </c>
      <c r="BG50" s="422"/>
      <c r="BH50" s="422">
        <v>0</v>
      </c>
      <c r="BI50" s="425">
        <v>0</v>
      </c>
      <c r="BJ50" s="421">
        <v>0</v>
      </c>
      <c r="BK50" s="422"/>
      <c r="BL50" s="422">
        <v>0</v>
      </c>
      <c r="BM50" s="425">
        <v>0</v>
      </c>
      <c r="BN50" s="421">
        <v>0</v>
      </c>
      <c r="BO50" s="422"/>
      <c r="BP50" s="422">
        <v>0</v>
      </c>
      <c r="BQ50" s="423">
        <v>0</v>
      </c>
      <c r="BR50" s="424">
        <v>0</v>
      </c>
      <c r="BS50" s="422"/>
      <c r="BT50" s="422">
        <v>0</v>
      </c>
      <c r="BU50" s="425">
        <v>0</v>
      </c>
      <c r="BV50" s="326"/>
      <c r="BZ50" s="408">
        <f t="shared" si="5"/>
        <v>0</v>
      </c>
      <c r="CA50" s="426">
        <f t="shared" si="2"/>
        <v>0</v>
      </c>
      <c r="CB50" s="427">
        <f t="shared" si="3"/>
        <v>0</v>
      </c>
      <c r="CC50" s="428">
        <f t="shared" si="3"/>
        <v>0</v>
      </c>
      <c r="CD50" s="412" t="str">
        <f t="shared" si="6"/>
        <v/>
      </c>
      <c r="CE50" s="413" t="str">
        <f>IF(VLOOKUP($M50,'[2]OEM Group'!$B$6:$D$22,2,FALSE)&lt;&gt;0,VLOOKUP($M50,'[2]OEM Group'!$B$6:$D$22,2,FALSE),"")</f>
        <v/>
      </c>
      <c r="CF50" s="414" t="str">
        <f>IF(VLOOKUP($M50,'[2]OEM Group'!$B$6:$D$22,3,FALSE)&lt;&gt;0,VLOOKUP($M50,'[2]OEM Group'!$B$6:$D$22,3,FALSE),"")</f>
        <v>Bastian</v>
      </c>
      <c r="CG50" s="413" t="str">
        <f>IF(VLOOKUP($M50,'[2]OEM Group'!$B$6:$F$22,4,FALSE)&lt;&gt;"",VLOOKUP($M50,'[2]OEM Group'!$B$6:$F$22,4,FALSE),"")</f>
        <v>Aravind Durai</v>
      </c>
      <c r="CH50" s="414" t="str">
        <f>IF(VLOOKUP($M50,'[2]OEM Group'!$B$6:$F$22,5,FALSE)&lt;&gt;"",VLOOKUP($M50,'[2]OEM Group'!$B$6:$F$22,5,FALSE),"")</f>
        <v>Rich Oas</v>
      </c>
    </row>
    <row r="51" spans="2:86">
      <c r="B51" s="333">
        <v>11</v>
      </c>
      <c r="C51" s="30" t="s">
        <v>166</v>
      </c>
      <c r="D51" s="392" t="s">
        <v>103</v>
      </c>
      <c r="E51" s="33">
        <v>52</v>
      </c>
      <c r="F51" s="293" t="s">
        <v>167</v>
      </c>
      <c r="G51" s="393"/>
      <c r="I51" s="325" t="s">
        <v>106</v>
      </c>
      <c r="J51" s="394">
        <v>2</v>
      </c>
      <c r="K51" s="394" t="s">
        <v>106</v>
      </c>
      <c r="L51" s="32">
        <v>1</v>
      </c>
      <c r="M51" s="168" t="s">
        <v>114</v>
      </c>
      <c r="N51" s="415">
        <v>1500</v>
      </c>
      <c r="O51" s="416">
        <v>1000</v>
      </c>
      <c r="P51" s="416">
        <v>1000</v>
      </c>
      <c r="Q51" s="417">
        <v>0</v>
      </c>
      <c r="R51" s="417">
        <v>0</v>
      </c>
      <c r="S51" s="417">
        <v>0</v>
      </c>
      <c r="T51" s="418">
        <v>6</v>
      </c>
      <c r="U51" s="326">
        <f t="shared" si="0"/>
        <v>6000</v>
      </c>
      <c r="V51" s="264">
        <f t="shared" si="1"/>
        <v>6000</v>
      </c>
      <c r="W51" s="419">
        <v>0</v>
      </c>
      <c r="X51" s="420">
        <v>0</v>
      </c>
      <c r="Y51" s="32"/>
      <c r="Z51" s="421">
        <v>0</v>
      </c>
      <c r="AA51" s="422"/>
      <c r="AB51" s="422">
        <v>0</v>
      </c>
      <c r="AC51" s="423">
        <v>0</v>
      </c>
      <c r="AD51" s="424">
        <v>0</v>
      </c>
      <c r="AE51" s="422"/>
      <c r="AF51" s="422">
        <v>0</v>
      </c>
      <c r="AG51" s="425">
        <v>0</v>
      </c>
      <c r="AH51" s="421">
        <v>0</v>
      </c>
      <c r="AI51" s="422"/>
      <c r="AJ51" s="422">
        <v>0</v>
      </c>
      <c r="AK51" s="425">
        <v>0</v>
      </c>
      <c r="AL51" s="421">
        <v>0</v>
      </c>
      <c r="AM51" s="422"/>
      <c r="AN51" s="422">
        <v>0</v>
      </c>
      <c r="AO51" s="423">
        <v>0</v>
      </c>
      <c r="AP51" s="424">
        <v>0</v>
      </c>
      <c r="AQ51" s="422"/>
      <c r="AR51" s="422">
        <v>0</v>
      </c>
      <c r="AS51" s="423">
        <v>0</v>
      </c>
      <c r="AT51" s="424">
        <v>0</v>
      </c>
      <c r="AU51" s="422"/>
      <c r="AV51" s="422">
        <v>0</v>
      </c>
      <c r="AW51" s="423">
        <v>0</v>
      </c>
      <c r="AX51" s="424">
        <v>0</v>
      </c>
      <c r="AY51" s="422"/>
      <c r="AZ51" s="422">
        <v>0</v>
      </c>
      <c r="BA51" s="423">
        <v>0</v>
      </c>
      <c r="BB51" s="424">
        <v>0</v>
      </c>
      <c r="BC51" s="422"/>
      <c r="BD51" s="422">
        <v>0</v>
      </c>
      <c r="BE51" s="425">
        <v>0</v>
      </c>
      <c r="BF51" s="421">
        <v>0</v>
      </c>
      <c r="BG51" s="422"/>
      <c r="BH51" s="422">
        <v>0</v>
      </c>
      <c r="BI51" s="425">
        <v>0</v>
      </c>
      <c r="BJ51" s="421">
        <v>0</v>
      </c>
      <c r="BK51" s="422"/>
      <c r="BL51" s="422">
        <v>0</v>
      </c>
      <c r="BM51" s="425">
        <v>0</v>
      </c>
      <c r="BN51" s="421">
        <v>0</v>
      </c>
      <c r="BO51" s="422"/>
      <c r="BP51" s="422">
        <v>0</v>
      </c>
      <c r="BQ51" s="423">
        <v>0</v>
      </c>
      <c r="BR51" s="424">
        <v>0</v>
      </c>
      <c r="BS51" s="422"/>
      <c r="BT51" s="422">
        <v>0</v>
      </c>
      <c r="BU51" s="425">
        <v>0</v>
      </c>
      <c r="BV51" s="326"/>
      <c r="BZ51" s="408">
        <f t="shared" si="5"/>
        <v>0</v>
      </c>
      <c r="CA51" s="426">
        <f t="shared" si="2"/>
        <v>0</v>
      </c>
      <c r="CB51" s="427">
        <f t="shared" si="3"/>
        <v>0</v>
      </c>
      <c r="CC51" s="428">
        <f t="shared" si="3"/>
        <v>0</v>
      </c>
      <c r="CD51" s="412" t="str">
        <f t="shared" si="6"/>
        <v/>
      </c>
      <c r="CE51" s="413" t="str">
        <f>IF(VLOOKUP($M51,'[2]OEM Group'!$B$6:$D$22,2,FALSE)&lt;&gt;0,VLOOKUP($M51,'[2]OEM Group'!$B$6:$D$22,2,FALSE),"")</f>
        <v/>
      </c>
      <c r="CF51" s="414" t="str">
        <f>IF(VLOOKUP($M51,'[2]OEM Group'!$B$6:$D$22,3,FALSE)&lt;&gt;0,VLOOKUP($M51,'[2]OEM Group'!$B$6:$D$22,3,FALSE),"")</f>
        <v>Bastian</v>
      </c>
      <c r="CG51" s="413" t="str">
        <f>IF(VLOOKUP($M51,'[2]OEM Group'!$B$6:$F$22,4,FALSE)&lt;&gt;"",VLOOKUP($M51,'[2]OEM Group'!$B$6:$F$22,4,FALSE),"")</f>
        <v>Aravind Durai</v>
      </c>
      <c r="CH51" s="414" t="str">
        <f>IF(VLOOKUP($M51,'[2]OEM Group'!$B$6:$F$22,5,FALSE)&lt;&gt;"",VLOOKUP($M51,'[2]OEM Group'!$B$6:$F$22,5,FALSE),"")</f>
        <v>Rich Oas</v>
      </c>
    </row>
    <row r="52" spans="2:86">
      <c r="B52" s="333">
        <v>14</v>
      </c>
      <c r="C52" s="30" t="s">
        <v>181</v>
      </c>
      <c r="D52" s="392" t="s">
        <v>110</v>
      </c>
      <c r="E52" s="33">
        <v>69</v>
      </c>
      <c r="F52" s="293" t="s">
        <v>186</v>
      </c>
      <c r="G52" s="393"/>
      <c r="H52" s="293" t="s">
        <v>691</v>
      </c>
      <c r="I52" s="325" t="s">
        <v>106</v>
      </c>
      <c r="J52" s="394">
        <v>2</v>
      </c>
      <c r="K52" s="394" t="s">
        <v>106</v>
      </c>
      <c r="L52" s="32">
        <v>1</v>
      </c>
      <c r="M52" s="168" t="s">
        <v>114</v>
      </c>
      <c r="N52" s="415">
        <v>5000</v>
      </c>
      <c r="O52" s="416">
        <v>4000</v>
      </c>
      <c r="P52" s="416">
        <v>3500</v>
      </c>
      <c r="Q52" s="417">
        <v>0</v>
      </c>
      <c r="R52" s="417">
        <v>0</v>
      </c>
      <c r="S52" s="417">
        <v>0</v>
      </c>
      <c r="T52" s="418">
        <v>4</v>
      </c>
      <c r="U52" s="326">
        <f t="shared" si="0"/>
        <v>14000</v>
      </c>
      <c r="V52" s="264">
        <f t="shared" si="1"/>
        <v>14000</v>
      </c>
      <c r="W52" s="419">
        <v>1000</v>
      </c>
      <c r="X52" s="420">
        <v>5000</v>
      </c>
      <c r="Y52" s="32"/>
      <c r="Z52" s="421">
        <v>0</v>
      </c>
      <c r="AA52" s="422"/>
      <c r="AB52" s="422">
        <v>0</v>
      </c>
      <c r="AC52" s="423">
        <v>0</v>
      </c>
      <c r="AD52" s="424">
        <v>0</v>
      </c>
      <c r="AE52" s="422"/>
      <c r="AF52" s="422">
        <v>1</v>
      </c>
      <c r="AG52" s="425">
        <v>0</v>
      </c>
      <c r="AH52" s="421">
        <v>0</v>
      </c>
      <c r="AI52" s="422"/>
      <c r="AJ52" s="422">
        <v>1</v>
      </c>
      <c r="AK52" s="425">
        <v>0</v>
      </c>
      <c r="AL52" s="421">
        <v>0</v>
      </c>
      <c r="AM52" s="422"/>
      <c r="AN52" s="422">
        <v>0</v>
      </c>
      <c r="AO52" s="423">
        <v>0</v>
      </c>
      <c r="AP52" s="424">
        <v>0</v>
      </c>
      <c r="AQ52" s="422"/>
      <c r="AR52" s="422">
        <v>0</v>
      </c>
      <c r="AS52" s="423">
        <v>0</v>
      </c>
      <c r="AT52" s="424">
        <v>0</v>
      </c>
      <c r="AU52" s="422"/>
      <c r="AV52" s="422">
        <v>0</v>
      </c>
      <c r="AW52" s="423">
        <v>0</v>
      </c>
      <c r="AX52" s="424">
        <v>0</v>
      </c>
      <c r="AY52" s="422"/>
      <c r="AZ52" s="422">
        <v>0</v>
      </c>
      <c r="BA52" s="423">
        <v>0</v>
      </c>
      <c r="BB52" s="424">
        <v>0</v>
      </c>
      <c r="BC52" s="422"/>
      <c r="BD52" s="422">
        <v>0</v>
      </c>
      <c r="BE52" s="425">
        <v>0</v>
      </c>
      <c r="BF52" s="421">
        <v>0</v>
      </c>
      <c r="BG52" s="422"/>
      <c r="BH52" s="422">
        <v>0</v>
      </c>
      <c r="BI52" s="425">
        <v>0</v>
      </c>
      <c r="BJ52" s="421">
        <v>0</v>
      </c>
      <c r="BK52" s="422"/>
      <c r="BL52" s="422">
        <v>0</v>
      </c>
      <c r="BM52" s="425">
        <v>0</v>
      </c>
      <c r="BN52" s="421">
        <v>0</v>
      </c>
      <c r="BO52" s="422"/>
      <c r="BP52" s="422">
        <v>0</v>
      </c>
      <c r="BQ52" s="423">
        <v>0</v>
      </c>
      <c r="BR52" s="424">
        <v>0</v>
      </c>
      <c r="BS52" s="422"/>
      <c r="BT52" s="422">
        <v>0</v>
      </c>
      <c r="BU52" s="425">
        <v>0</v>
      </c>
      <c r="BV52" s="326"/>
      <c r="BZ52" s="408">
        <f t="shared" si="5"/>
        <v>6000</v>
      </c>
      <c r="CA52" s="426">
        <f t="shared" si="2"/>
        <v>0</v>
      </c>
      <c r="CB52" s="427">
        <f t="shared" si="3"/>
        <v>2</v>
      </c>
      <c r="CC52" s="428">
        <f t="shared" si="3"/>
        <v>0</v>
      </c>
      <c r="CD52" s="412" t="str">
        <f t="shared" si="6"/>
        <v>Rack loading</v>
      </c>
      <c r="CE52" s="413" t="str">
        <f>IF(VLOOKUP($M52,'[2]OEM Group'!$B$6:$D$22,2,FALSE)&lt;&gt;0,VLOOKUP($M52,'[2]OEM Group'!$B$6:$D$22,2,FALSE),"")</f>
        <v/>
      </c>
      <c r="CF52" s="414" t="str">
        <f>IF(VLOOKUP($M52,'[2]OEM Group'!$B$6:$D$22,3,FALSE)&lt;&gt;0,VLOOKUP($M52,'[2]OEM Group'!$B$6:$D$22,3,FALSE),"")</f>
        <v>Bastian</v>
      </c>
      <c r="CG52" s="413" t="str">
        <f>IF(VLOOKUP($M52,'[2]OEM Group'!$B$6:$F$22,4,FALSE)&lt;&gt;"",VLOOKUP($M52,'[2]OEM Group'!$B$6:$F$22,4,FALSE),"")</f>
        <v>Aravind Durai</v>
      </c>
      <c r="CH52" s="414" t="str">
        <f>IF(VLOOKUP($M52,'[2]OEM Group'!$B$6:$F$22,5,FALSE)&lt;&gt;"",VLOOKUP($M52,'[2]OEM Group'!$B$6:$F$22,5,FALSE),"")</f>
        <v>Rich Oas</v>
      </c>
    </row>
    <row r="53" spans="2:86">
      <c r="B53" s="333">
        <v>8</v>
      </c>
      <c r="C53" s="30" t="s">
        <v>87</v>
      </c>
      <c r="D53" s="392" t="s">
        <v>103</v>
      </c>
      <c r="E53" s="33">
        <v>44</v>
      </c>
      <c r="F53" s="293" t="s">
        <v>144</v>
      </c>
      <c r="G53" s="393">
        <v>1</v>
      </c>
      <c r="I53" s="325" t="s">
        <v>106</v>
      </c>
      <c r="J53" s="394">
        <v>4</v>
      </c>
      <c r="K53" s="394" t="s">
        <v>106</v>
      </c>
      <c r="L53" s="32">
        <v>1</v>
      </c>
      <c r="M53" s="168" t="s">
        <v>145</v>
      </c>
      <c r="N53" s="415">
        <v>100000</v>
      </c>
      <c r="O53" s="416">
        <v>90000</v>
      </c>
      <c r="P53" s="416">
        <v>85000</v>
      </c>
      <c r="Q53" s="417">
        <v>30000</v>
      </c>
      <c r="R53" s="417">
        <v>27500</v>
      </c>
      <c r="S53" s="417">
        <v>25000</v>
      </c>
      <c r="T53" s="418">
        <v>40</v>
      </c>
      <c r="U53" s="326">
        <f t="shared" si="0"/>
        <v>3400000</v>
      </c>
      <c r="V53" s="264">
        <f t="shared" si="1"/>
        <v>2400000</v>
      </c>
      <c r="W53" s="419">
        <v>100000</v>
      </c>
      <c r="X53" s="420">
        <v>200000</v>
      </c>
      <c r="Y53" s="32"/>
      <c r="Z53" s="421">
        <v>0</v>
      </c>
      <c r="AA53" s="422"/>
      <c r="AB53" s="422">
        <v>0</v>
      </c>
      <c r="AC53" s="423">
        <v>0</v>
      </c>
      <c r="AD53" s="424">
        <v>0</v>
      </c>
      <c r="AE53" s="422"/>
      <c r="AF53" s="422">
        <v>0</v>
      </c>
      <c r="AG53" s="425">
        <v>0</v>
      </c>
      <c r="AH53" s="421">
        <v>0</v>
      </c>
      <c r="AI53" s="422"/>
      <c r="AJ53" s="422">
        <v>0</v>
      </c>
      <c r="AK53" s="425">
        <v>0</v>
      </c>
      <c r="AL53" s="421">
        <v>0</v>
      </c>
      <c r="AM53" s="422"/>
      <c r="AN53" s="422">
        <v>0</v>
      </c>
      <c r="AO53" s="423">
        <v>0</v>
      </c>
      <c r="AP53" s="424">
        <v>0</v>
      </c>
      <c r="AQ53" s="422"/>
      <c r="AR53" s="422">
        <v>0</v>
      </c>
      <c r="AS53" s="423">
        <v>0</v>
      </c>
      <c r="AT53" s="424">
        <v>0</v>
      </c>
      <c r="AU53" s="422"/>
      <c r="AV53" s="422">
        <v>0</v>
      </c>
      <c r="AW53" s="423">
        <v>0</v>
      </c>
      <c r="AX53" s="424">
        <v>0</v>
      </c>
      <c r="AY53" s="422"/>
      <c r="AZ53" s="422">
        <v>0</v>
      </c>
      <c r="BA53" s="423">
        <v>0</v>
      </c>
      <c r="BB53" s="424">
        <v>0</v>
      </c>
      <c r="BC53" s="422"/>
      <c r="BD53" s="422">
        <v>0</v>
      </c>
      <c r="BE53" s="425">
        <v>0</v>
      </c>
      <c r="BF53" s="421">
        <v>1</v>
      </c>
      <c r="BG53" s="422"/>
      <c r="BH53" s="422">
        <v>1</v>
      </c>
      <c r="BI53" s="425">
        <v>1</v>
      </c>
      <c r="BJ53" s="421">
        <v>0</v>
      </c>
      <c r="BK53" s="422"/>
      <c r="BL53" s="422">
        <v>0</v>
      </c>
      <c r="BM53" s="425">
        <v>0</v>
      </c>
      <c r="BN53" s="421">
        <v>0</v>
      </c>
      <c r="BO53" s="422"/>
      <c r="BP53" s="422">
        <v>0</v>
      </c>
      <c r="BQ53" s="423">
        <v>0</v>
      </c>
      <c r="BR53" s="424">
        <v>0</v>
      </c>
      <c r="BS53" s="422"/>
      <c r="BT53" s="422">
        <v>0</v>
      </c>
      <c r="BU53" s="425">
        <v>0</v>
      </c>
      <c r="BV53" s="326"/>
      <c r="BZ53" s="408">
        <f t="shared" si="5"/>
        <v>300000</v>
      </c>
      <c r="CA53" s="426">
        <f t="shared" si="2"/>
        <v>1</v>
      </c>
      <c r="CB53" s="427">
        <f t="shared" si="3"/>
        <v>1</v>
      </c>
      <c r="CC53" s="428">
        <f t="shared" si="3"/>
        <v>1</v>
      </c>
      <c r="CD53" s="412" t="str">
        <f t="shared" si="6"/>
        <v>Picking</v>
      </c>
      <c r="CE53" s="413" t="str">
        <f>IF(VLOOKUP($M53,'[2]OEM Group'!$B$6:$D$22,2,FALSE)&lt;&gt;0,VLOOKUP($M53,'[2]OEM Group'!$B$6:$D$22,2,FALSE),"")</f>
        <v>Olympus</v>
      </c>
      <c r="CF53" s="414" t="str">
        <f>IF(VLOOKUP($M53,'[2]OEM Group'!$B$6:$D$22,3,FALSE)&lt;&gt;0,VLOOKUP($M53,'[2]OEM Group'!$B$6:$D$22,3,FALSE),"")</f>
        <v/>
      </c>
      <c r="CG53" s="413" t="str">
        <f>IF(VLOOKUP($M53,'[2]OEM Group'!$B$6:$F$22,4,FALSE)&lt;&gt;"",VLOOKUP($M53,'[2]OEM Group'!$B$6:$F$22,4,FALSE),"")</f>
        <v>David McCalib</v>
      </c>
      <c r="CH53" s="414" t="str">
        <f>IF(VLOOKUP($M53,'[2]OEM Group'!$B$6:$F$22,5,FALSE)&lt;&gt;"",VLOOKUP($M53,'[2]OEM Group'!$B$6:$F$22,5,FALSE),"")</f>
        <v>Steve Toebes</v>
      </c>
    </row>
    <row r="54" spans="2:86">
      <c r="B54" s="333">
        <v>13</v>
      </c>
      <c r="C54" s="30" t="s">
        <v>88</v>
      </c>
      <c r="D54" s="392" t="s">
        <v>110</v>
      </c>
      <c r="E54" s="33">
        <v>57</v>
      </c>
      <c r="F54" s="293" t="s">
        <v>111</v>
      </c>
      <c r="G54" s="393">
        <v>1</v>
      </c>
      <c r="H54" s="293" t="s">
        <v>691</v>
      </c>
      <c r="I54" s="325" t="s">
        <v>106</v>
      </c>
      <c r="J54" s="394">
        <v>3</v>
      </c>
      <c r="K54" s="394" t="s">
        <v>106</v>
      </c>
      <c r="L54" s="32">
        <v>1</v>
      </c>
      <c r="M54" s="168" t="s">
        <v>112</v>
      </c>
      <c r="N54" s="415">
        <v>140000</v>
      </c>
      <c r="O54" s="416">
        <v>130000</v>
      </c>
      <c r="P54" s="416">
        <v>120000</v>
      </c>
      <c r="Q54" s="417">
        <v>60000</v>
      </c>
      <c r="R54" s="417">
        <v>50000</v>
      </c>
      <c r="S54" s="417">
        <v>45000</v>
      </c>
      <c r="T54" s="418">
        <v>4</v>
      </c>
      <c r="U54" s="326">
        <f t="shared" si="0"/>
        <v>480000</v>
      </c>
      <c r="V54" s="264">
        <f t="shared" si="1"/>
        <v>300000</v>
      </c>
      <c r="W54" s="419">
        <v>50000</v>
      </c>
      <c r="X54" s="420">
        <v>200000</v>
      </c>
      <c r="Y54" s="32"/>
      <c r="Z54" s="421">
        <v>0</v>
      </c>
      <c r="AA54" s="422"/>
      <c r="AB54" s="422">
        <v>1</v>
      </c>
      <c r="AC54" s="423">
        <v>0</v>
      </c>
      <c r="AD54" s="424">
        <v>0</v>
      </c>
      <c r="AE54" s="422"/>
      <c r="AF54" s="422">
        <v>0</v>
      </c>
      <c r="AG54" s="425">
        <v>0</v>
      </c>
      <c r="AH54" s="421">
        <v>0</v>
      </c>
      <c r="AI54" s="422"/>
      <c r="AJ54" s="422">
        <v>0</v>
      </c>
      <c r="AK54" s="425">
        <v>0</v>
      </c>
      <c r="AL54" s="421">
        <v>0</v>
      </c>
      <c r="AM54" s="422"/>
      <c r="AN54" s="422">
        <v>0</v>
      </c>
      <c r="AO54" s="423">
        <v>0</v>
      </c>
      <c r="AP54" s="424">
        <v>0</v>
      </c>
      <c r="AQ54" s="422"/>
      <c r="AR54" s="422">
        <v>0</v>
      </c>
      <c r="AS54" s="423">
        <v>0</v>
      </c>
      <c r="AT54" s="424">
        <v>0</v>
      </c>
      <c r="AU54" s="422"/>
      <c r="AV54" s="422">
        <v>0</v>
      </c>
      <c r="AW54" s="423">
        <v>0</v>
      </c>
      <c r="AX54" s="424">
        <v>0</v>
      </c>
      <c r="AY54" s="422"/>
      <c r="AZ54" s="422">
        <v>0</v>
      </c>
      <c r="BA54" s="423">
        <v>0</v>
      </c>
      <c r="BB54" s="424">
        <v>0</v>
      </c>
      <c r="BC54" s="422"/>
      <c r="BD54" s="422">
        <v>0</v>
      </c>
      <c r="BE54" s="425">
        <v>0</v>
      </c>
      <c r="BF54" s="421">
        <v>0</v>
      </c>
      <c r="BG54" s="422"/>
      <c r="BH54" s="422">
        <v>0</v>
      </c>
      <c r="BI54" s="425">
        <v>0</v>
      </c>
      <c r="BJ54" s="421">
        <v>0</v>
      </c>
      <c r="BK54" s="422"/>
      <c r="BL54" s="422">
        <v>0</v>
      </c>
      <c r="BM54" s="425">
        <v>0</v>
      </c>
      <c r="BN54" s="421">
        <v>0</v>
      </c>
      <c r="BO54" s="422"/>
      <c r="BP54" s="422">
        <v>0</v>
      </c>
      <c r="BQ54" s="423">
        <v>0</v>
      </c>
      <c r="BR54" s="424">
        <v>0</v>
      </c>
      <c r="BS54" s="422"/>
      <c r="BT54" s="422">
        <v>0</v>
      </c>
      <c r="BU54" s="425">
        <v>0</v>
      </c>
      <c r="BV54" s="326"/>
      <c r="BZ54" s="408">
        <f t="shared" si="5"/>
        <v>250000</v>
      </c>
      <c r="CA54" s="426">
        <f t="shared" si="2"/>
        <v>0</v>
      </c>
      <c r="CB54" s="427">
        <f t="shared" si="3"/>
        <v>1</v>
      </c>
      <c r="CC54" s="428">
        <f t="shared" si="3"/>
        <v>0</v>
      </c>
      <c r="CD54" s="412" t="str">
        <f t="shared" si="6"/>
        <v>Rack loading</v>
      </c>
      <c r="CE54" s="413" t="str">
        <f>IF(VLOOKUP($M54,'[2]OEM Group'!$B$6:$D$22,2,FALSE)&lt;&gt;0,VLOOKUP($M54,'[2]OEM Group'!$B$6:$D$22,2,FALSE),"")</f>
        <v/>
      </c>
      <c r="CF54" s="414" t="str">
        <f>IF(VLOOKUP($M54,'[2]OEM Group'!$B$6:$D$22,3,FALSE)&lt;&gt;0,VLOOKUP($M54,'[2]OEM Group'!$B$6:$D$22,3,FALSE),"")</f>
        <v>Brenton (Promach)</v>
      </c>
      <c r="CG54" s="413" t="str">
        <f>IF(VLOOKUP($M54,'[2]OEM Group'!$B$6:$F$22,4,FALSE)&lt;&gt;"",VLOOKUP($M54,'[2]OEM Group'!$B$6:$F$22,4,FALSE),"")</f>
        <v>Unassigned</v>
      </c>
      <c r="CH54" s="414" t="str">
        <f>IF(VLOOKUP($M54,'[2]OEM Group'!$B$6:$F$22,5,FALSE)&lt;&gt;"",VLOOKUP($M54,'[2]OEM Group'!$B$6:$F$22,5,FALSE),"")</f>
        <v>Unassigned</v>
      </c>
    </row>
    <row r="55" spans="2:86">
      <c r="B55" s="333">
        <v>2</v>
      </c>
      <c r="C55" s="30" t="s">
        <v>119</v>
      </c>
      <c r="D55" s="392" t="s">
        <v>110</v>
      </c>
      <c r="E55" s="33">
        <v>14</v>
      </c>
      <c r="F55" s="293" t="s">
        <v>126</v>
      </c>
      <c r="G55" s="393"/>
      <c r="H55" s="293" t="s">
        <v>691</v>
      </c>
      <c r="I55" s="325" t="s">
        <v>106</v>
      </c>
      <c r="J55" s="394">
        <v>2</v>
      </c>
      <c r="K55" s="394" t="s">
        <v>106</v>
      </c>
      <c r="L55" s="32" t="s">
        <v>0</v>
      </c>
      <c r="M55" s="168" t="s">
        <v>692</v>
      </c>
      <c r="N55" s="415">
        <v>1500</v>
      </c>
      <c r="O55" s="416">
        <v>1200</v>
      </c>
      <c r="P55" s="416">
        <v>1000</v>
      </c>
      <c r="Q55" s="417">
        <v>0</v>
      </c>
      <c r="R55" s="417">
        <v>0</v>
      </c>
      <c r="S55" s="417">
        <v>0</v>
      </c>
      <c r="T55" s="418">
        <v>10</v>
      </c>
      <c r="U55" s="326">
        <f t="shared" si="0"/>
        <v>10000</v>
      </c>
      <c r="V55" s="264">
        <f t="shared" si="1"/>
        <v>10000</v>
      </c>
      <c r="W55" s="419">
        <v>25000</v>
      </c>
      <c r="X55" s="420">
        <v>20000</v>
      </c>
      <c r="Y55" s="32"/>
      <c r="Z55" s="421">
        <v>0</v>
      </c>
      <c r="AA55" s="422"/>
      <c r="AB55" s="422">
        <v>2</v>
      </c>
      <c r="AC55" s="423">
        <v>0</v>
      </c>
      <c r="AD55" s="424">
        <v>0</v>
      </c>
      <c r="AE55" s="422"/>
      <c r="AF55" s="422">
        <v>0</v>
      </c>
      <c r="AG55" s="425">
        <v>0</v>
      </c>
      <c r="AH55" s="421">
        <v>0</v>
      </c>
      <c r="AI55" s="422"/>
      <c r="AJ55" s="422">
        <v>1</v>
      </c>
      <c r="AK55" s="425">
        <v>0</v>
      </c>
      <c r="AL55" s="421">
        <v>0</v>
      </c>
      <c r="AM55" s="422"/>
      <c r="AN55" s="422">
        <v>0</v>
      </c>
      <c r="AO55" s="423">
        <v>0</v>
      </c>
      <c r="AP55" s="424">
        <v>0</v>
      </c>
      <c r="AQ55" s="422"/>
      <c r="AR55" s="422">
        <v>0</v>
      </c>
      <c r="AS55" s="423">
        <v>0</v>
      </c>
      <c r="AT55" s="424">
        <v>0</v>
      </c>
      <c r="AU55" s="422"/>
      <c r="AV55" s="422">
        <v>0</v>
      </c>
      <c r="AW55" s="423">
        <v>0</v>
      </c>
      <c r="AX55" s="424">
        <v>0</v>
      </c>
      <c r="AY55" s="422"/>
      <c r="AZ55" s="422">
        <v>0</v>
      </c>
      <c r="BA55" s="423">
        <v>0</v>
      </c>
      <c r="BB55" s="424">
        <v>0</v>
      </c>
      <c r="BC55" s="422"/>
      <c r="BD55" s="422">
        <v>0</v>
      </c>
      <c r="BE55" s="425">
        <v>0</v>
      </c>
      <c r="BF55" s="421">
        <v>0</v>
      </c>
      <c r="BG55" s="422"/>
      <c r="BH55" s="422">
        <v>0</v>
      </c>
      <c r="BI55" s="425">
        <v>0</v>
      </c>
      <c r="BJ55" s="421">
        <v>0</v>
      </c>
      <c r="BK55" s="422"/>
      <c r="BL55" s="422">
        <v>0</v>
      </c>
      <c r="BM55" s="425">
        <v>0</v>
      </c>
      <c r="BN55" s="421">
        <v>0</v>
      </c>
      <c r="BO55" s="422"/>
      <c r="BP55" s="422">
        <v>0</v>
      </c>
      <c r="BQ55" s="423">
        <v>0</v>
      </c>
      <c r="BR55" s="424">
        <v>0</v>
      </c>
      <c r="BS55" s="422"/>
      <c r="BT55" s="422">
        <v>0</v>
      </c>
      <c r="BU55" s="425">
        <v>0</v>
      </c>
      <c r="BV55" s="326"/>
      <c r="BZ55" s="408">
        <f t="shared" si="5"/>
        <v>45000</v>
      </c>
      <c r="CA55" s="426">
        <f t="shared" si="2"/>
        <v>0</v>
      </c>
      <c r="CB55" s="427">
        <f t="shared" si="3"/>
        <v>3</v>
      </c>
      <c r="CC55" s="428">
        <f t="shared" si="3"/>
        <v>0</v>
      </c>
      <c r="CD55" s="412" t="str">
        <f t="shared" si="6"/>
        <v>Rack loading</v>
      </c>
      <c r="CE55" s="413" t="str">
        <f>IF(VLOOKUP($M55,'[2]OEM Group'!$B$6:$D$22,2,FALSE)&lt;&gt;0,VLOOKUP($M55,'[2]OEM Group'!$B$6:$D$22,2,FALSE),"")</f>
        <v>EP</v>
      </c>
      <c r="CF55" s="414" t="str">
        <f>IF(VLOOKUP($M55,'[2]OEM Group'!$B$6:$D$22,3,FALSE)&lt;&gt;0,VLOOKUP($M55,'[2]OEM Group'!$B$6:$D$22,3,FALSE),"")</f>
        <v/>
      </c>
      <c r="CG55" s="413" t="str">
        <f>IF(VLOOKUP($M55,'[2]OEM Group'!$B$6:$F$22,4,FALSE)&lt;&gt;"",VLOOKUP($M55,'[2]OEM Group'!$B$6:$F$22,4,FALSE),"")</f>
        <v>Aravind Durai</v>
      </c>
      <c r="CH55" s="414" t="str">
        <f>IF(VLOOKUP($M55,'[2]OEM Group'!$B$6:$F$22,5,FALSE)&lt;&gt;"",VLOOKUP($M55,'[2]OEM Group'!$B$6:$F$22,5,FALSE),"")</f>
        <v>Rich Oas</v>
      </c>
    </row>
    <row r="56" spans="2:86">
      <c r="B56" s="333">
        <v>4</v>
      </c>
      <c r="C56" s="30" t="s">
        <v>50</v>
      </c>
      <c r="D56" s="392" t="s">
        <v>103</v>
      </c>
      <c r="E56" s="33">
        <v>31</v>
      </c>
      <c r="F56" s="293" t="s">
        <v>161</v>
      </c>
      <c r="G56" s="393">
        <v>1</v>
      </c>
      <c r="I56" s="325" t="s">
        <v>106</v>
      </c>
      <c r="J56" s="394">
        <v>3</v>
      </c>
      <c r="K56" s="394" t="s">
        <v>106</v>
      </c>
      <c r="L56" s="32">
        <v>1</v>
      </c>
      <c r="M56" s="168" t="s">
        <v>692</v>
      </c>
      <c r="N56" s="415">
        <v>8000</v>
      </c>
      <c r="O56" s="416">
        <v>7500</v>
      </c>
      <c r="P56" s="416">
        <v>7000</v>
      </c>
      <c r="Q56" s="417">
        <v>0</v>
      </c>
      <c r="R56" s="417">
        <v>0</v>
      </c>
      <c r="S56" s="417">
        <v>0</v>
      </c>
      <c r="T56" s="418">
        <v>470</v>
      </c>
      <c r="U56" s="326">
        <f t="shared" si="0"/>
        <v>3290000</v>
      </c>
      <c r="V56" s="264">
        <f t="shared" si="1"/>
        <v>3290000</v>
      </c>
      <c r="W56" s="419">
        <v>50000</v>
      </c>
      <c r="X56" s="420">
        <v>10000</v>
      </c>
      <c r="Y56" s="32"/>
      <c r="Z56" s="421">
        <v>0</v>
      </c>
      <c r="AA56" s="422"/>
      <c r="AB56" s="422">
        <v>0</v>
      </c>
      <c r="AC56" s="423">
        <v>0</v>
      </c>
      <c r="AD56" s="424">
        <v>0</v>
      </c>
      <c r="AE56" s="422"/>
      <c r="AF56" s="422">
        <v>0</v>
      </c>
      <c r="AG56" s="425">
        <v>0</v>
      </c>
      <c r="AH56" s="421">
        <v>0</v>
      </c>
      <c r="AI56" s="422"/>
      <c r="AJ56" s="422">
        <v>0</v>
      </c>
      <c r="AK56" s="425">
        <v>0</v>
      </c>
      <c r="AL56" s="421">
        <v>0</v>
      </c>
      <c r="AM56" s="422"/>
      <c r="AN56" s="422">
        <v>0</v>
      </c>
      <c r="AO56" s="423">
        <v>0</v>
      </c>
      <c r="AP56" s="424">
        <v>0</v>
      </c>
      <c r="AQ56" s="422"/>
      <c r="AR56" s="422">
        <v>0</v>
      </c>
      <c r="AS56" s="423">
        <v>0</v>
      </c>
      <c r="AT56" s="424">
        <v>0</v>
      </c>
      <c r="AU56" s="422"/>
      <c r="AV56" s="422">
        <v>0</v>
      </c>
      <c r="AW56" s="423">
        <v>0</v>
      </c>
      <c r="AX56" s="424">
        <v>0</v>
      </c>
      <c r="AY56" s="422"/>
      <c r="AZ56" s="422">
        <v>0</v>
      </c>
      <c r="BA56" s="423">
        <v>0</v>
      </c>
      <c r="BB56" s="424">
        <v>0</v>
      </c>
      <c r="BC56" s="422"/>
      <c r="BD56" s="422">
        <v>0</v>
      </c>
      <c r="BE56" s="425">
        <v>0</v>
      </c>
      <c r="BF56" s="421">
        <v>0</v>
      </c>
      <c r="BG56" s="422"/>
      <c r="BH56" s="422">
        <v>0</v>
      </c>
      <c r="BI56" s="425">
        <v>0</v>
      </c>
      <c r="BJ56" s="421">
        <v>0</v>
      </c>
      <c r="BK56" s="422"/>
      <c r="BL56" s="422">
        <v>0</v>
      </c>
      <c r="BM56" s="425">
        <v>0</v>
      </c>
      <c r="BN56" s="421">
        <v>20</v>
      </c>
      <c r="BO56" s="422"/>
      <c r="BP56" s="422">
        <v>20</v>
      </c>
      <c r="BQ56" s="423">
        <v>20</v>
      </c>
      <c r="BR56" s="424">
        <v>0</v>
      </c>
      <c r="BS56" s="422"/>
      <c r="BT56" s="422">
        <v>0</v>
      </c>
      <c r="BU56" s="425">
        <v>0</v>
      </c>
      <c r="BV56" s="326"/>
      <c r="BZ56" s="408">
        <f t="shared" si="5"/>
        <v>60000</v>
      </c>
      <c r="CA56" s="426">
        <f t="shared" si="2"/>
        <v>20</v>
      </c>
      <c r="CB56" s="427">
        <f t="shared" si="3"/>
        <v>20</v>
      </c>
      <c r="CC56" s="428">
        <f t="shared" si="3"/>
        <v>20</v>
      </c>
      <c r="CD56" s="412" t="str">
        <f t="shared" si="6"/>
        <v>Tray transacting</v>
      </c>
      <c r="CE56" s="413" t="str">
        <f>IF(VLOOKUP($M56,'[2]OEM Group'!$B$6:$D$22,2,FALSE)&lt;&gt;0,VLOOKUP($M56,'[2]OEM Group'!$B$6:$D$22,2,FALSE),"")</f>
        <v>EP</v>
      </c>
      <c r="CF56" s="414" t="str">
        <f>IF(VLOOKUP($M56,'[2]OEM Group'!$B$6:$D$22,3,FALSE)&lt;&gt;0,VLOOKUP($M56,'[2]OEM Group'!$B$6:$D$22,3,FALSE),"")</f>
        <v/>
      </c>
      <c r="CG56" s="413" t="str">
        <f>IF(VLOOKUP($M56,'[2]OEM Group'!$B$6:$F$22,4,FALSE)&lt;&gt;"",VLOOKUP($M56,'[2]OEM Group'!$B$6:$F$22,4,FALSE),"")</f>
        <v>Aravind Durai</v>
      </c>
      <c r="CH56" s="414" t="str">
        <f>IF(VLOOKUP($M56,'[2]OEM Group'!$B$6:$F$22,5,FALSE)&lt;&gt;"",VLOOKUP($M56,'[2]OEM Group'!$B$6:$F$22,5,FALSE),"")</f>
        <v>Rich Oas</v>
      </c>
    </row>
    <row r="57" spans="2:86">
      <c r="B57" s="333">
        <v>6</v>
      </c>
      <c r="C57" s="30" t="s">
        <v>132</v>
      </c>
      <c r="D57" s="392" t="s">
        <v>103</v>
      </c>
      <c r="E57" s="33">
        <v>33</v>
      </c>
      <c r="F57" s="293" t="s">
        <v>133</v>
      </c>
      <c r="G57" s="393">
        <v>1</v>
      </c>
      <c r="I57" s="325" t="s">
        <v>106</v>
      </c>
      <c r="J57" s="394">
        <v>2</v>
      </c>
      <c r="K57" s="394" t="s">
        <v>0</v>
      </c>
      <c r="L57" s="32">
        <v>1</v>
      </c>
      <c r="M57" s="168" t="s">
        <v>692</v>
      </c>
      <c r="N57" s="415">
        <v>1400</v>
      </c>
      <c r="O57" s="416">
        <v>1300</v>
      </c>
      <c r="P57" s="416">
        <v>1200</v>
      </c>
      <c r="Q57" s="417">
        <v>0</v>
      </c>
      <c r="R57" s="417">
        <v>0</v>
      </c>
      <c r="S57" s="417">
        <v>0</v>
      </c>
      <c r="T57" s="418">
        <v>30</v>
      </c>
      <c r="U57" s="326">
        <f t="shared" si="0"/>
        <v>36000</v>
      </c>
      <c r="V57" s="264">
        <f t="shared" si="1"/>
        <v>36000</v>
      </c>
      <c r="W57" s="419">
        <v>0</v>
      </c>
      <c r="X57" s="420">
        <v>0</v>
      </c>
      <c r="Y57" s="32"/>
      <c r="Z57" s="421">
        <v>0</v>
      </c>
      <c r="AA57" s="422"/>
      <c r="AB57" s="422">
        <v>0</v>
      </c>
      <c r="AC57" s="423">
        <v>0</v>
      </c>
      <c r="AD57" s="424">
        <v>0</v>
      </c>
      <c r="AE57" s="422"/>
      <c r="AF57" s="422">
        <v>0</v>
      </c>
      <c r="AG57" s="425">
        <v>0</v>
      </c>
      <c r="AH57" s="421">
        <v>0</v>
      </c>
      <c r="AI57" s="422"/>
      <c r="AJ57" s="422">
        <v>0</v>
      </c>
      <c r="AK57" s="425">
        <v>0</v>
      </c>
      <c r="AL57" s="421">
        <v>0</v>
      </c>
      <c r="AM57" s="422"/>
      <c r="AN57" s="422">
        <v>0</v>
      </c>
      <c r="AO57" s="423">
        <v>0</v>
      </c>
      <c r="AP57" s="424">
        <v>0</v>
      </c>
      <c r="AQ57" s="422"/>
      <c r="AR57" s="422">
        <v>0</v>
      </c>
      <c r="AS57" s="423">
        <v>0</v>
      </c>
      <c r="AT57" s="424">
        <v>0</v>
      </c>
      <c r="AU57" s="422"/>
      <c r="AV57" s="422">
        <v>0</v>
      </c>
      <c r="AW57" s="423">
        <v>0</v>
      </c>
      <c r="AX57" s="424">
        <v>0</v>
      </c>
      <c r="AY57" s="422"/>
      <c r="AZ57" s="422">
        <v>0</v>
      </c>
      <c r="BA57" s="423">
        <v>0</v>
      </c>
      <c r="BB57" s="424">
        <v>0</v>
      </c>
      <c r="BC57" s="422"/>
      <c r="BD57" s="422">
        <v>0</v>
      </c>
      <c r="BE57" s="425">
        <v>0</v>
      </c>
      <c r="BF57" s="421">
        <v>0</v>
      </c>
      <c r="BG57" s="422"/>
      <c r="BH57" s="422">
        <v>0</v>
      </c>
      <c r="BI57" s="425">
        <v>0</v>
      </c>
      <c r="BJ57" s="421">
        <v>0</v>
      </c>
      <c r="BK57" s="422"/>
      <c r="BL57" s="422">
        <v>0</v>
      </c>
      <c r="BM57" s="425">
        <v>0</v>
      </c>
      <c r="BN57" s="421">
        <v>0</v>
      </c>
      <c r="BO57" s="422"/>
      <c r="BP57" s="422">
        <v>0</v>
      </c>
      <c r="BQ57" s="423">
        <v>0</v>
      </c>
      <c r="BR57" s="424">
        <v>0</v>
      </c>
      <c r="BS57" s="422"/>
      <c r="BT57" s="422">
        <v>0</v>
      </c>
      <c r="BU57" s="425">
        <v>0</v>
      </c>
      <c r="BV57" s="326"/>
      <c r="BZ57" s="408">
        <f t="shared" si="5"/>
        <v>0</v>
      </c>
      <c r="CA57" s="426">
        <f t="shared" si="2"/>
        <v>0</v>
      </c>
      <c r="CB57" s="427">
        <f t="shared" si="3"/>
        <v>0</v>
      </c>
      <c r="CC57" s="428">
        <f t="shared" si="3"/>
        <v>0</v>
      </c>
      <c r="CD57" s="412" t="str">
        <f t="shared" si="6"/>
        <v/>
      </c>
      <c r="CE57" s="413" t="str">
        <f>IF(VLOOKUP($M57,'[2]OEM Group'!$B$6:$D$22,2,FALSE)&lt;&gt;0,VLOOKUP($M57,'[2]OEM Group'!$B$6:$D$22,2,FALSE),"")</f>
        <v>EP</v>
      </c>
      <c r="CF57" s="414" t="str">
        <f>IF(VLOOKUP($M57,'[2]OEM Group'!$B$6:$D$22,3,FALSE)&lt;&gt;0,VLOOKUP($M57,'[2]OEM Group'!$B$6:$D$22,3,FALSE),"")</f>
        <v/>
      </c>
      <c r="CG57" s="413" t="str">
        <f>IF(VLOOKUP($M57,'[2]OEM Group'!$B$6:$F$22,4,FALSE)&lt;&gt;"",VLOOKUP($M57,'[2]OEM Group'!$B$6:$F$22,4,FALSE),"")</f>
        <v>Aravind Durai</v>
      </c>
      <c r="CH57" s="414" t="str">
        <f>IF(VLOOKUP($M57,'[2]OEM Group'!$B$6:$F$22,5,FALSE)&lt;&gt;"",VLOOKUP($M57,'[2]OEM Group'!$B$6:$F$22,5,FALSE),"")</f>
        <v>Rich Oas</v>
      </c>
    </row>
    <row r="58" spans="2:86">
      <c r="B58" s="333">
        <v>7</v>
      </c>
      <c r="C58" s="30" t="s">
        <v>193</v>
      </c>
      <c r="D58" s="392" t="s">
        <v>103</v>
      </c>
      <c r="E58" s="33">
        <v>36</v>
      </c>
      <c r="F58" s="293" t="s">
        <v>151</v>
      </c>
      <c r="G58" s="393">
        <v>1</v>
      </c>
      <c r="I58" s="325" t="s">
        <v>106</v>
      </c>
      <c r="J58" s="394">
        <v>1</v>
      </c>
      <c r="K58" s="394" t="s">
        <v>0</v>
      </c>
      <c r="L58" s="32" t="s">
        <v>0</v>
      </c>
      <c r="M58" s="168" t="s">
        <v>692</v>
      </c>
      <c r="N58" s="415">
        <v>6000</v>
      </c>
      <c r="O58" s="416">
        <v>5000</v>
      </c>
      <c r="P58" s="416">
        <v>5000</v>
      </c>
      <c r="Q58" s="417">
        <v>0</v>
      </c>
      <c r="R58" s="417">
        <v>0</v>
      </c>
      <c r="S58" s="417">
        <v>0</v>
      </c>
      <c r="T58" s="418">
        <v>300</v>
      </c>
      <c r="U58" s="326">
        <f t="shared" si="0"/>
        <v>1500000</v>
      </c>
      <c r="V58" s="264">
        <f t="shared" si="1"/>
        <v>1500000</v>
      </c>
      <c r="W58" s="419">
        <v>0</v>
      </c>
      <c r="X58" s="420">
        <v>0</v>
      </c>
      <c r="Y58" s="32"/>
      <c r="Z58" s="421">
        <v>0</v>
      </c>
      <c r="AA58" s="422"/>
      <c r="AB58" s="422">
        <v>0</v>
      </c>
      <c r="AC58" s="423">
        <v>0</v>
      </c>
      <c r="AD58" s="424">
        <v>0</v>
      </c>
      <c r="AE58" s="422"/>
      <c r="AF58" s="422">
        <v>0</v>
      </c>
      <c r="AG58" s="425">
        <v>0</v>
      </c>
      <c r="AH58" s="421">
        <v>0</v>
      </c>
      <c r="AI58" s="422"/>
      <c r="AJ58" s="422">
        <v>0</v>
      </c>
      <c r="AK58" s="425">
        <v>0</v>
      </c>
      <c r="AL58" s="421">
        <v>0</v>
      </c>
      <c r="AM58" s="422"/>
      <c r="AN58" s="422">
        <v>0</v>
      </c>
      <c r="AO58" s="423">
        <v>0</v>
      </c>
      <c r="AP58" s="424">
        <v>0</v>
      </c>
      <c r="AQ58" s="422"/>
      <c r="AR58" s="422">
        <v>0</v>
      </c>
      <c r="AS58" s="423">
        <v>0</v>
      </c>
      <c r="AT58" s="424">
        <v>0</v>
      </c>
      <c r="AU58" s="422"/>
      <c r="AV58" s="422">
        <v>0</v>
      </c>
      <c r="AW58" s="423">
        <v>0</v>
      </c>
      <c r="AX58" s="424">
        <v>0</v>
      </c>
      <c r="AY58" s="422"/>
      <c r="AZ58" s="422">
        <v>0</v>
      </c>
      <c r="BA58" s="423">
        <v>0</v>
      </c>
      <c r="BB58" s="424">
        <v>0</v>
      </c>
      <c r="BC58" s="422"/>
      <c r="BD58" s="422">
        <v>0</v>
      </c>
      <c r="BE58" s="425">
        <v>0</v>
      </c>
      <c r="BF58" s="421">
        <v>0</v>
      </c>
      <c r="BG58" s="422"/>
      <c r="BH58" s="422">
        <v>0</v>
      </c>
      <c r="BI58" s="425">
        <v>0</v>
      </c>
      <c r="BJ58" s="421">
        <v>0</v>
      </c>
      <c r="BK58" s="422"/>
      <c r="BL58" s="422">
        <v>0</v>
      </c>
      <c r="BM58" s="425">
        <v>0</v>
      </c>
      <c r="BN58" s="421">
        <v>0</v>
      </c>
      <c r="BO58" s="422"/>
      <c r="BP58" s="422">
        <v>0</v>
      </c>
      <c r="BQ58" s="423">
        <v>0</v>
      </c>
      <c r="BR58" s="424">
        <v>0</v>
      </c>
      <c r="BS58" s="422"/>
      <c r="BT58" s="422">
        <v>0</v>
      </c>
      <c r="BU58" s="425">
        <v>0</v>
      </c>
      <c r="BV58" s="326"/>
      <c r="BZ58" s="408">
        <f t="shared" si="5"/>
        <v>0</v>
      </c>
      <c r="CA58" s="426">
        <f t="shared" si="2"/>
        <v>0</v>
      </c>
      <c r="CB58" s="427">
        <f t="shared" si="3"/>
        <v>0</v>
      </c>
      <c r="CC58" s="428">
        <f t="shared" si="3"/>
        <v>0</v>
      </c>
      <c r="CD58" s="412" t="str">
        <f t="shared" si="6"/>
        <v/>
      </c>
      <c r="CE58" s="413" t="str">
        <f>IF(VLOOKUP($M58,'[2]OEM Group'!$B$6:$D$22,2,FALSE)&lt;&gt;0,VLOOKUP($M58,'[2]OEM Group'!$B$6:$D$22,2,FALSE),"")</f>
        <v>EP</v>
      </c>
      <c r="CF58" s="414" t="str">
        <f>IF(VLOOKUP($M58,'[2]OEM Group'!$B$6:$D$22,3,FALSE)&lt;&gt;0,VLOOKUP($M58,'[2]OEM Group'!$B$6:$D$22,3,FALSE),"")</f>
        <v/>
      </c>
      <c r="CG58" s="413" t="str">
        <f>IF(VLOOKUP($M58,'[2]OEM Group'!$B$6:$F$22,4,FALSE)&lt;&gt;"",VLOOKUP($M58,'[2]OEM Group'!$B$6:$F$22,4,FALSE),"")</f>
        <v>Aravind Durai</v>
      </c>
      <c r="CH58" s="414" t="str">
        <f>IF(VLOOKUP($M58,'[2]OEM Group'!$B$6:$F$22,5,FALSE)&lt;&gt;"",VLOOKUP($M58,'[2]OEM Group'!$B$6:$F$22,5,FALSE),"")</f>
        <v>Rich Oas</v>
      </c>
    </row>
    <row r="59" spans="2:86">
      <c r="B59" s="333">
        <v>7</v>
      </c>
      <c r="C59" s="30" t="s">
        <v>193</v>
      </c>
      <c r="D59" s="392" t="s">
        <v>103</v>
      </c>
      <c r="E59" s="33">
        <v>37</v>
      </c>
      <c r="F59" s="293" t="s">
        <v>150</v>
      </c>
      <c r="G59" s="393"/>
      <c r="I59" s="325" t="s">
        <v>106</v>
      </c>
      <c r="J59" s="394">
        <v>1</v>
      </c>
      <c r="K59" s="394" t="s">
        <v>106</v>
      </c>
      <c r="L59" s="326"/>
      <c r="M59" s="168" t="s">
        <v>692</v>
      </c>
      <c r="N59" s="415">
        <v>3000</v>
      </c>
      <c r="O59" s="416">
        <v>3000</v>
      </c>
      <c r="P59" s="416">
        <v>3000</v>
      </c>
      <c r="Q59" s="417">
        <v>0</v>
      </c>
      <c r="R59" s="417">
        <v>0</v>
      </c>
      <c r="S59" s="417">
        <v>0</v>
      </c>
      <c r="T59" s="418">
        <v>40</v>
      </c>
      <c r="U59" s="326">
        <f t="shared" si="0"/>
        <v>120000</v>
      </c>
      <c r="V59" s="264">
        <f t="shared" si="1"/>
        <v>120000</v>
      </c>
      <c r="W59" s="419">
        <v>0</v>
      </c>
      <c r="X59" s="420">
        <v>0</v>
      </c>
      <c r="Y59" s="32"/>
      <c r="Z59" s="421">
        <v>0</v>
      </c>
      <c r="AA59" s="422"/>
      <c r="AB59" s="422">
        <v>0</v>
      </c>
      <c r="AC59" s="423">
        <v>0</v>
      </c>
      <c r="AD59" s="424">
        <v>0</v>
      </c>
      <c r="AE59" s="422"/>
      <c r="AF59" s="422">
        <v>0</v>
      </c>
      <c r="AG59" s="425">
        <v>0</v>
      </c>
      <c r="AH59" s="421">
        <v>0</v>
      </c>
      <c r="AI59" s="422"/>
      <c r="AJ59" s="422">
        <v>0</v>
      </c>
      <c r="AK59" s="425">
        <v>0</v>
      </c>
      <c r="AL59" s="421">
        <v>0</v>
      </c>
      <c r="AM59" s="422"/>
      <c r="AN59" s="422">
        <v>0</v>
      </c>
      <c r="AO59" s="423">
        <v>0</v>
      </c>
      <c r="AP59" s="424">
        <v>0</v>
      </c>
      <c r="AQ59" s="422"/>
      <c r="AR59" s="422">
        <v>0</v>
      </c>
      <c r="AS59" s="423">
        <v>0</v>
      </c>
      <c r="AT59" s="424">
        <v>0</v>
      </c>
      <c r="AU59" s="422"/>
      <c r="AV59" s="422">
        <v>0</v>
      </c>
      <c r="AW59" s="423">
        <v>0</v>
      </c>
      <c r="AX59" s="424">
        <v>0</v>
      </c>
      <c r="AY59" s="422"/>
      <c r="AZ59" s="422">
        <v>0</v>
      </c>
      <c r="BA59" s="423">
        <v>0</v>
      </c>
      <c r="BB59" s="424">
        <v>0</v>
      </c>
      <c r="BC59" s="422"/>
      <c r="BD59" s="422">
        <v>0</v>
      </c>
      <c r="BE59" s="425">
        <v>0</v>
      </c>
      <c r="BF59" s="421">
        <v>0</v>
      </c>
      <c r="BG59" s="422"/>
      <c r="BH59" s="422">
        <v>0</v>
      </c>
      <c r="BI59" s="425">
        <v>0</v>
      </c>
      <c r="BJ59" s="421">
        <v>0</v>
      </c>
      <c r="BK59" s="422"/>
      <c r="BL59" s="422">
        <v>0</v>
      </c>
      <c r="BM59" s="425">
        <v>0</v>
      </c>
      <c r="BN59" s="421">
        <v>0</v>
      </c>
      <c r="BO59" s="422"/>
      <c r="BP59" s="422">
        <v>0</v>
      </c>
      <c r="BQ59" s="423">
        <v>0</v>
      </c>
      <c r="BR59" s="424">
        <v>0</v>
      </c>
      <c r="BS59" s="422"/>
      <c r="BT59" s="422">
        <v>0</v>
      </c>
      <c r="BU59" s="425">
        <v>0</v>
      </c>
      <c r="BV59" s="326"/>
      <c r="BZ59" s="408">
        <f t="shared" si="5"/>
        <v>0</v>
      </c>
      <c r="CA59" s="426">
        <f t="shared" si="2"/>
        <v>0</v>
      </c>
      <c r="CB59" s="427">
        <f t="shared" si="3"/>
        <v>0</v>
      </c>
      <c r="CC59" s="428">
        <f t="shared" si="3"/>
        <v>0</v>
      </c>
      <c r="CD59" s="412" t="str">
        <f t="shared" si="6"/>
        <v/>
      </c>
      <c r="CE59" s="413" t="str">
        <f>IF(VLOOKUP($M59,'[2]OEM Group'!$B$6:$D$22,2,FALSE)&lt;&gt;0,VLOOKUP($M59,'[2]OEM Group'!$B$6:$D$22,2,FALSE),"")</f>
        <v>EP</v>
      </c>
      <c r="CF59" s="414" t="str">
        <f>IF(VLOOKUP($M59,'[2]OEM Group'!$B$6:$D$22,3,FALSE)&lt;&gt;0,VLOOKUP($M59,'[2]OEM Group'!$B$6:$D$22,3,FALSE),"")</f>
        <v/>
      </c>
      <c r="CG59" s="413" t="str">
        <f>IF(VLOOKUP($M59,'[2]OEM Group'!$B$6:$F$22,4,FALSE)&lt;&gt;"",VLOOKUP($M59,'[2]OEM Group'!$B$6:$F$22,4,FALSE),"")</f>
        <v>Aravind Durai</v>
      </c>
      <c r="CH59" s="414" t="str">
        <f>IF(VLOOKUP($M59,'[2]OEM Group'!$B$6:$F$22,5,FALSE)&lt;&gt;"",VLOOKUP($M59,'[2]OEM Group'!$B$6:$F$22,5,FALSE),"")</f>
        <v>Rich Oas</v>
      </c>
    </row>
    <row r="60" spans="2:86">
      <c r="B60" s="333">
        <v>14</v>
      </c>
      <c r="C60" s="30" t="s">
        <v>181</v>
      </c>
      <c r="D60" s="392" t="s">
        <v>110</v>
      </c>
      <c r="E60" s="33">
        <v>66</v>
      </c>
      <c r="F60" s="293" t="s">
        <v>183</v>
      </c>
      <c r="G60" s="393"/>
      <c r="H60" s="293" t="s">
        <v>691</v>
      </c>
      <c r="I60" s="325" t="s">
        <v>106</v>
      </c>
      <c r="J60" s="394">
        <v>3</v>
      </c>
      <c r="K60" s="394" t="s">
        <v>106</v>
      </c>
      <c r="L60" s="32">
        <v>1</v>
      </c>
      <c r="M60" s="168" t="s">
        <v>692</v>
      </c>
      <c r="N60" s="415">
        <v>18000</v>
      </c>
      <c r="O60" s="416">
        <v>15000</v>
      </c>
      <c r="P60" s="416">
        <v>14000</v>
      </c>
      <c r="Q60" s="417">
        <v>0</v>
      </c>
      <c r="R60" s="417">
        <v>0</v>
      </c>
      <c r="S60" s="417">
        <v>0</v>
      </c>
      <c r="T60" s="418">
        <v>70</v>
      </c>
      <c r="U60" s="326">
        <f t="shared" si="0"/>
        <v>980000</v>
      </c>
      <c r="V60" s="264">
        <f t="shared" si="1"/>
        <v>980000</v>
      </c>
      <c r="W60" s="419">
        <v>50000</v>
      </c>
      <c r="X60" s="420">
        <v>35000</v>
      </c>
      <c r="Y60" s="32"/>
      <c r="Z60" s="421">
        <v>0</v>
      </c>
      <c r="AA60" s="422"/>
      <c r="AB60" s="422">
        <v>0</v>
      </c>
      <c r="AC60" s="423">
        <v>0</v>
      </c>
      <c r="AD60" s="424">
        <v>0</v>
      </c>
      <c r="AE60" s="422"/>
      <c r="AF60" s="422">
        <v>1</v>
      </c>
      <c r="AG60" s="425">
        <v>0</v>
      </c>
      <c r="AH60" s="421">
        <v>0</v>
      </c>
      <c r="AI60" s="422"/>
      <c r="AJ60" s="422">
        <v>1</v>
      </c>
      <c r="AK60" s="425">
        <v>0</v>
      </c>
      <c r="AL60" s="421">
        <v>0</v>
      </c>
      <c r="AM60" s="422"/>
      <c r="AN60" s="422">
        <v>0</v>
      </c>
      <c r="AO60" s="423">
        <v>0</v>
      </c>
      <c r="AP60" s="424">
        <v>0</v>
      </c>
      <c r="AQ60" s="422"/>
      <c r="AR60" s="422">
        <v>0</v>
      </c>
      <c r="AS60" s="423">
        <v>0</v>
      </c>
      <c r="AT60" s="424">
        <v>0</v>
      </c>
      <c r="AU60" s="422"/>
      <c r="AV60" s="422">
        <v>0</v>
      </c>
      <c r="AW60" s="423">
        <v>0</v>
      </c>
      <c r="AX60" s="424">
        <v>0</v>
      </c>
      <c r="AY60" s="422"/>
      <c r="AZ60" s="422">
        <v>0</v>
      </c>
      <c r="BA60" s="423">
        <v>0</v>
      </c>
      <c r="BB60" s="424">
        <v>0</v>
      </c>
      <c r="BC60" s="422"/>
      <c r="BD60" s="422">
        <v>0</v>
      </c>
      <c r="BE60" s="425">
        <v>0</v>
      </c>
      <c r="BF60" s="421">
        <v>0</v>
      </c>
      <c r="BG60" s="422"/>
      <c r="BH60" s="422">
        <v>0</v>
      </c>
      <c r="BI60" s="425">
        <v>0</v>
      </c>
      <c r="BJ60" s="421">
        <v>0</v>
      </c>
      <c r="BK60" s="422"/>
      <c r="BL60" s="422">
        <v>0</v>
      </c>
      <c r="BM60" s="425">
        <v>0</v>
      </c>
      <c r="BN60" s="421">
        <v>0</v>
      </c>
      <c r="BO60" s="422"/>
      <c r="BP60" s="422">
        <v>0</v>
      </c>
      <c r="BQ60" s="423">
        <v>0</v>
      </c>
      <c r="BR60" s="424">
        <v>0</v>
      </c>
      <c r="BS60" s="422"/>
      <c r="BT60" s="422">
        <v>0</v>
      </c>
      <c r="BU60" s="425">
        <v>0</v>
      </c>
      <c r="BV60" s="326"/>
      <c r="BZ60" s="408">
        <f t="shared" si="5"/>
        <v>85000</v>
      </c>
      <c r="CA60" s="426">
        <f t="shared" si="2"/>
        <v>0</v>
      </c>
      <c r="CB60" s="427">
        <f t="shared" si="3"/>
        <v>2</v>
      </c>
      <c r="CC60" s="428">
        <f t="shared" si="3"/>
        <v>0</v>
      </c>
      <c r="CD60" s="412" t="str">
        <f t="shared" si="6"/>
        <v>Rack loading</v>
      </c>
      <c r="CE60" s="413" t="str">
        <f>IF(VLOOKUP($M60,'[2]OEM Group'!$B$6:$D$22,2,FALSE)&lt;&gt;0,VLOOKUP($M60,'[2]OEM Group'!$B$6:$D$22,2,FALSE),"")</f>
        <v>EP</v>
      </c>
      <c r="CF60" s="414" t="str">
        <f>IF(VLOOKUP($M60,'[2]OEM Group'!$B$6:$D$22,3,FALSE)&lt;&gt;0,VLOOKUP($M60,'[2]OEM Group'!$B$6:$D$22,3,FALSE),"")</f>
        <v/>
      </c>
      <c r="CG60" s="413" t="str">
        <f>IF(VLOOKUP($M60,'[2]OEM Group'!$B$6:$F$22,4,FALSE)&lt;&gt;"",VLOOKUP($M60,'[2]OEM Group'!$B$6:$F$22,4,FALSE),"")</f>
        <v>Aravind Durai</v>
      </c>
      <c r="CH60" s="414" t="str">
        <f>IF(VLOOKUP($M60,'[2]OEM Group'!$B$6:$F$22,5,FALSE)&lt;&gt;"",VLOOKUP($M60,'[2]OEM Group'!$B$6:$F$22,5,FALSE),"")</f>
        <v>Rich Oas</v>
      </c>
    </row>
    <row r="61" spans="2:86">
      <c r="B61" s="333">
        <v>14</v>
      </c>
      <c r="C61" s="30" t="s">
        <v>181</v>
      </c>
      <c r="D61" s="392" t="s">
        <v>110</v>
      </c>
      <c r="E61" s="33">
        <v>67</v>
      </c>
      <c r="F61" s="293" t="s">
        <v>184</v>
      </c>
      <c r="G61" s="393"/>
      <c r="H61" s="293" t="s">
        <v>691</v>
      </c>
      <c r="I61" s="325" t="s">
        <v>106</v>
      </c>
      <c r="J61" s="394">
        <v>3</v>
      </c>
      <c r="K61" s="394" t="s">
        <v>106</v>
      </c>
      <c r="L61" s="32" t="s">
        <v>0</v>
      </c>
      <c r="M61" s="168" t="s">
        <v>692</v>
      </c>
      <c r="N61" s="415">
        <v>16000</v>
      </c>
      <c r="O61" s="416">
        <v>14000</v>
      </c>
      <c r="P61" s="416">
        <v>12000</v>
      </c>
      <c r="Q61" s="417">
        <v>0</v>
      </c>
      <c r="R61" s="417">
        <v>0</v>
      </c>
      <c r="S61" s="417">
        <v>0</v>
      </c>
      <c r="T61" s="418">
        <v>10</v>
      </c>
      <c r="U61" s="326">
        <f t="shared" si="0"/>
        <v>120000</v>
      </c>
      <c r="V61" s="264">
        <f t="shared" si="1"/>
        <v>120000</v>
      </c>
      <c r="W61" s="419">
        <v>0</v>
      </c>
      <c r="X61" s="420">
        <v>0</v>
      </c>
      <c r="Y61" s="32"/>
      <c r="Z61" s="421">
        <v>0</v>
      </c>
      <c r="AA61" s="422"/>
      <c r="AB61" s="422">
        <v>0</v>
      </c>
      <c r="AC61" s="423">
        <v>0</v>
      </c>
      <c r="AD61" s="424">
        <v>0</v>
      </c>
      <c r="AE61" s="422"/>
      <c r="AF61" s="422">
        <v>0</v>
      </c>
      <c r="AG61" s="425">
        <v>0</v>
      </c>
      <c r="AH61" s="421">
        <v>0</v>
      </c>
      <c r="AI61" s="422"/>
      <c r="AJ61" s="422">
        <v>0</v>
      </c>
      <c r="AK61" s="425">
        <v>0</v>
      </c>
      <c r="AL61" s="421">
        <v>0</v>
      </c>
      <c r="AM61" s="422"/>
      <c r="AN61" s="422">
        <v>0</v>
      </c>
      <c r="AO61" s="423">
        <v>0</v>
      </c>
      <c r="AP61" s="424">
        <v>0</v>
      </c>
      <c r="AQ61" s="422"/>
      <c r="AR61" s="422">
        <v>0</v>
      </c>
      <c r="AS61" s="423">
        <v>0</v>
      </c>
      <c r="AT61" s="424">
        <v>0</v>
      </c>
      <c r="AU61" s="422"/>
      <c r="AV61" s="422">
        <v>0</v>
      </c>
      <c r="AW61" s="423">
        <v>0</v>
      </c>
      <c r="AX61" s="424">
        <v>0</v>
      </c>
      <c r="AY61" s="422"/>
      <c r="AZ61" s="422">
        <v>0</v>
      </c>
      <c r="BA61" s="423">
        <v>0</v>
      </c>
      <c r="BB61" s="424">
        <v>0</v>
      </c>
      <c r="BC61" s="422"/>
      <c r="BD61" s="422">
        <v>0</v>
      </c>
      <c r="BE61" s="425">
        <v>0</v>
      </c>
      <c r="BF61" s="421">
        <v>0</v>
      </c>
      <c r="BG61" s="422"/>
      <c r="BH61" s="422">
        <v>0</v>
      </c>
      <c r="BI61" s="425">
        <v>0</v>
      </c>
      <c r="BJ61" s="421">
        <v>0</v>
      </c>
      <c r="BK61" s="422"/>
      <c r="BL61" s="422">
        <v>0</v>
      </c>
      <c r="BM61" s="425">
        <v>0</v>
      </c>
      <c r="BN61" s="421">
        <v>0</v>
      </c>
      <c r="BO61" s="422"/>
      <c r="BP61" s="422">
        <v>0</v>
      </c>
      <c r="BQ61" s="423">
        <v>0</v>
      </c>
      <c r="BR61" s="424">
        <v>0</v>
      </c>
      <c r="BS61" s="422"/>
      <c r="BT61" s="422">
        <v>0</v>
      </c>
      <c r="BU61" s="425">
        <v>0</v>
      </c>
      <c r="BV61" s="326"/>
      <c r="BZ61" s="408">
        <f t="shared" si="5"/>
        <v>0</v>
      </c>
      <c r="CA61" s="426">
        <f t="shared" si="2"/>
        <v>0</v>
      </c>
      <c r="CB61" s="427">
        <f t="shared" si="3"/>
        <v>0</v>
      </c>
      <c r="CC61" s="428">
        <f t="shared" si="3"/>
        <v>0</v>
      </c>
      <c r="CD61" s="412" t="str">
        <f t="shared" si="6"/>
        <v/>
      </c>
      <c r="CE61" s="413" t="str">
        <f>IF(VLOOKUP($M61,'[2]OEM Group'!$B$6:$D$22,2,FALSE)&lt;&gt;0,VLOOKUP($M61,'[2]OEM Group'!$B$6:$D$22,2,FALSE),"")</f>
        <v>EP</v>
      </c>
      <c r="CF61" s="414" t="str">
        <f>IF(VLOOKUP($M61,'[2]OEM Group'!$B$6:$D$22,3,FALSE)&lt;&gt;0,VLOOKUP($M61,'[2]OEM Group'!$B$6:$D$22,3,FALSE),"")</f>
        <v/>
      </c>
      <c r="CG61" s="413" t="str">
        <f>IF(VLOOKUP($M61,'[2]OEM Group'!$B$6:$F$22,4,FALSE)&lt;&gt;"",VLOOKUP($M61,'[2]OEM Group'!$B$6:$F$22,4,FALSE),"")</f>
        <v>Aravind Durai</v>
      </c>
      <c r="CH61" s="414" t="str">
        <f>IF(VLOOKUP($M61,'[2]OEM Group'!$B$6:$F$22,5,FALSE)&lt;&gt;"",VLOOKUP($M61,'[2]OEM Group'!$B$6:$F$22,5,FALSE),"")</f>
        <v>Rich Oas</v>
      </c>
    </row>
    <row r="62" spans="2:86">
      <c r="B62" s="333">
        <v>2</v>
      </c>
      <c r="C62" s="30" t="s">
        <v>119</v>
      </c>
      <c r="D62" s="392" t="s">
        <v>103</v>
      </c>
      <c r="E62" s="33">
        <v>10</v>
      </c>
      <c r="F62" s="293" t="s">
        <v>73</v>
      </c>
      <c r="G62" s="393"/>
      <c r="I62" s="325" t="s">
        <v>106</v>
      </c>
      <c r="J62" s="394">
        <v>2</v>
      </c>
      <c r="K62" s="394" t="s">
        <v>106</v>
      </c>
      <c r="L62" s="32">
        <v>1</v>
      </c>
      <c r="M62" s="168" t="s">
        <v>121</v>
      </c>
      <c r="N62" s="415">
        <v>30000</v>
      </c>
      <c r="O62" s="416">
        <v>25000</v>
      </c>
      <c r="P62" s="416">
        <v>15000</v>
      </c>
      <c r="Q62" s="417">
        <v>0</v>
      </c>
      <c r="R62" s="417">
        <v>0</v>
      </c>
      <c r="S62" s="417">
        <v>0</v>
      </c>
      <c r="T62" s="418">
        <v>8</v>
      </c>
      <c r="U62" s="326">
        <f t="shared" si="0"/>
        <v>120000</v>
      </c>
      <c r="V62" s="264">
        <f t="shared" si="1"/>
        <v>120000</v>
      </c>
      <c r="W62" s="419">
        <v>0</v>
      </c>
      <c r="X62" s="420">
        <v>0</v>
      </c>
      <c r="Y62" s="32"/>
      <c r="Z62" s="421">
        <v>0</v>
      </c>
      <c r="AA62" s="422"/>
      <c r="AB62" s="422">
        <v>0</v>
      </c>
      <c r="AC62" s="423">
        <v>0</v>
      </c>
      <c r="AD62" s="424">
        <v>0</v>
      </c>
      <c r="AE62" s="422"/>
      <c r="AF62" s="422">
        <v>0</v>
      </c>
      <c r="AG62" s="425">
        <v>0</v>
      </c>
      <c r="AH62" s="421">
        <v>0</v>
      </c>
      <c r="AI62" s="422"/>
      <c r="AJ62" s="422">
        <v>0</v>
      </c>
      <c r="AK62" s="425">
        <v>0</v>
      </c>
      <c r="AL62" s="421">
        <v>0</v>
      </c>
      <c r="AM62" s="422"/>
      <c r="AN62" s="422">
        <v>0</v>
      </c>
      <c r="AO62" s="423">
        <v>0</v>
      </c>
      <c r="AP62" s="424">
        <v>0</v>
      </c>
      <c r="AQ62" s="422"/>
      <c r="AR62" s="422">
        <v>0</v>
      </c>
      <c r="AS62" s="423">
        <v>0</v>
      </c>
      <c r="AT62" s="424">
        <v>0</v>
      </c>
      <c r="AU62" s="422"/>
      <c r="AV62" s="422">
        <v>0</v>
      </c>
      <c r="AW62" s="423">
        <v>0</v>
      </c>
      <c r="AX62" s="424">
        <v>0</v>
      </c>
      <c r="AY62" s="422"/>
      <c r="AZ62" s="422">
        <v>0</v>
      </c>
      <c r="BA62" s="423">
        <v>0</v>
      </c>
      <c r="BB62" s="424">
        <v>0</v>
      </c>
      <c r="BC62" s="422"/>
      <c r="BD62" s="422">
        <v>0</v>
      </c>
      <c r="BE62" s="425">
        <v>0</v>
      </c>
      <c r="BF62" s="421">
        <v>0</v>
      </c>
      <c r="BG62" s="422"/>
      <c r="BH62" s="422">
        <v>0</v>
      </c>
      <c r="BI62" s="425">
        <v>0</v>
      </c>
      <c r="BJ62" s="421">
        <v>0</v>
      </c>
      <c r="BK62" s="422"/>
      <c r="BL62" s="422">
        <v>0</v>
      </c>
      <c r="BM62" s="425">
        <v>0</v>
      </c>
      <c r="BN62" s="421">
        <v>0</v>
      </c>
      <c r="BO62" s="422"/>
      <c r="BP62" s="422">
        <v>0</v>
      </c>
      <c r="BQ62" s="423">
        <v>0</v>
      </c>
      <c r="BR62" s="424">
        <v>0</v>
      </c>
      <c r="BS62" s="422"/>
      <c r="BT62" s="422">
        <v>0</v>
      </c>
      <c r="BU62" s="425">
        <v>0</v>
      </c>
      <c r="BV62" s="326"/>
      <c r="BZ62" s="408">
        <f t="shared" si="5"/>
        <v>0</v>
      </c>
      <c r="CA62" s="426">
        <f t="shared" si="2"/>
        <v>0</v>
      </c>
      <c r="CB62" s="427">
        <f t="shared" si="3"/>
        <v>0</v>
      </c>
      <c r="CC62" s="428">
        <f t="shared" si="3"/>
        <v>0</v>
      </c>
      <c r="CD62" s="412" t="str">
        <f t="shared" si="6"/>
        <v/>
      </c>
      <c r="CE62" s="413" t="str">
        <f>IF(VLOOKUP($M62,'[2]OEM Group'!$B$6:$D$22,2,FALSE)&lt;&gt;0,VLOOKUP($M62,'[2]OEM Group'!$B$6:$D$22,2,FALSE),"")</f>
        <v>ViaStore</v>
      </c>
      <c r="CF62" s="414" t="str">
        <f>IF(VLOOKUP($M62,'[2]OEM Group'!$B$6:$D$22,3,FALSE)&lt;&gt;0,VLOOKUP($M62,'[2]OEM Group'!$B$6:$D$22,3,FALSE),"")</f>
        <v/>
      </c>
      <c r="CG62" s="413" t="str">
        <f>IF(VLOOKUP($M62,'[2]OEM Group'!$B$6:$F$22,4,FALSE)&lt;&gt;"",VLOOKUP($M62,'[2]OEM Group'!$B$6:$F$22,4,FALSE),"")</f>
        <v>Unassigned</v>
      </c>
      <c r="CH62" s="414" t="str">
        <f>IF(VLOOKUP($M62,'[2]OEM Group'!$B$6:$F$22,5,FALSE)&lt;&gt;"",VLOOKUP($M62,'[2]OEM Group'!$B$6:$F$22,5,FALSE),"")</f>
        <v>Unassigned</v>
      </c>
    </row>
    <row r="63" spans="2:86">
      <c r="B63" s="333">
        <v>8</v>
      </c>
      <c r="C63" s="30" t="s">
        <v>87</v>
      </c>
      <c r="D63" s="392" t="s">
        <v>103</v>
      </c>
      <c r="E63" s="33">
        <v>45</v>
      </c>
      <c r="F63" s="293" t="s">
        <v>158</v>
      </c>
      <c r="G63" s="393"/>
      <c r="I63" s="325" t="s">
        <v>106</v>
      </c>
      <c r="J63" s="394">
        <v>3</v>
      </c>
      <c r="K63" s="394" t="s">
        <v>106</v>
      </c>
      <c r="L63" s="32">
        <v>1</v>
      </c>
      <c r="M63" s="168" t="s">
        <v>121</v>
      </c>
      <c r="N63" s="415">
        <v>50000</v>
      </c>
      <c r="O63" s="416">
        <v>40000</v>
      </c>
      <c r="P63" s="416">
        <v>35000</v>
      </c>
      <c r="Q63" s="417">
        <v>0</v>
      </c>
      <c r="R63" s="417">
        <v>0</v>
      </c>
      <c r="S63" s="417">
        <v>0</v>
      </c>
      <c r="T63" s="418">
        <f>T62</f>
        <v>8</v>
      </c>
      <c r="U63" s="326">
        <f t="shared" si="0"/>
        <v>280000</v>
      </c>
      <c r="V63" s="264">
        <f t="shared" si="1"/>
        <v>280000</v>
      </c>
      <c r="W63" s="419">
        <v>50000</v>
      </c>
      <c r="X63" s="420">
        <v>100000</v>
      </c>
      <c r="Y63" s="32"/>
      <c r="Z63" s="421">
        <v>0</v>
      </c>
      <c r="AA63" s="422"/>
      <c r="AB63" s="422">
        <v>0</v>
      </c>
      <c r="AC63" s="423">
        <v>0</v>
      </c>
      <c r="AD63" s="424">
        <v>0</v>
      </c>
      <c r="AE63" s="422"/>
      <c r="AF63" s="422">
        <v>0</v>
      </c>
      <c r="AG63" s="425">
        <v>0</v>
      </c>
      <c r="AH63" s="421">
        <v>0</v>
      </c>
      <c r="AI63" s="422"/>
      <c r="AJ63" s="422">
        <v>0</v>
      </c>
      <c r="AK63" s="425">
        <v>0</v>
      </c>
      <c r="AL63" s="421">
        <v>0</v>
      </c>
      <c r="AM63" s="422"/>
      <c r="AN63" s="422">
        <v>0</v>
      </c>
      <c r="AO63" s="423">
        <v>0</v>
      </c>
      <c r="AP63" s="424">
        <v>0</v>
      </c>
      <c r="AQ63" s="422"/>
      <c r="AR63" s="422">
        <v>0</v>
      </c>
      <c r="AS63" s="423">
        <v>0</v>
      </c>
      <c r="AT63" s="424">
        <v>0</v>
      </c>
      <c r="AU63" s="422"/>
      <c r="AV63" s="422">
        <v>0</v>
      </c>
      <c r="AW63" s="423">
        <v>0</v>
      </c>
      <c r="AX63" s="424">
        <v>0</v>
      </c>
      <c r="AY63" s="422"/>
      <c r="AZ63" s="422">
        <v>0</v>
      </c>
      <c r="BA63" s="423">
        <v>0</v>
      </c>
      <c r="BB63" s="424">
        <v>0</v>
      </c>
      <c r="BC63" s="422"/>
      <c r="BD63" s="422">
        <v>0</v>
      </c>
      <c r="BE63" s="425">
        <v>0</v>
      </c>
      <c r="BF63" s="421">
        <v>1</v>
      </c>
      <c r="BG63" s="422"/>
      <c r="BH63" s="422">
        <v>1</v>
      </c>
      <c r="BI63" s="425">
        <v>1</v>
      </c>
      <c r="BJ63" s="421">
        <v>0</v>
      </c>
      <c r="BK63" s="422"/>
      <c r="BL63" s="422">
        <v>0</v>
      </c>
      <c r="BM63" s="425">
        <v>0</v>
      </c>
      <c r="BN63" s="421">
        <v>0</v>
      </c>
      <c r="BO63" s="422"/>
      <c r="BP63" s="422">
        <v>0</v>
      </c>
      <c r="BQ63" s="423">
        <v>0</v>
      </c>
      <c r="BR63" s="424">
        <v>0</v>
      </c>
      <c r="BS63" s="422"/>
      <c r="BT63" s="422">
        <v>0</v>
      </c>
      <c r="BU63" s="425">
        <v>0</v>
      </c>
      <c r="BV63" s="326"/>
      <c r="BZ63" s="408">
        <f t="shared" si="5"/>
        <v>150000</v>
      </c>
      <c r="CA63" s="426">
        <f t="shared" si="2"/>
        <v>1</v>
      </c>
      <c r="CB63" s="427">
        <f t="shared" si="3"/>
        <v>1</v>
      </c>
      <c r="CC63" s="428">
        <f t="shared" si="3"/>
        <v>1</v>
      </c>
      <c r="CD63" s="412" t="str">
        <f t="shared" si="6"/>
        <v>Picking</v>
      </c>
      <c r="CE63" s="413" t="str">
        <f>IF(VLOOKUP($M63,'[2]OEM Group'!$B$6:$D$22,2,FALSE)&lt;&gt;0,VLOOKUP($M63,'[2]OEM Group'!$B$6:$D$22,2,FALSE),"")</f>
        <v>ViaStore</v>
      </c>
      <c r="CF63" s="414" t="str">
        <f>IF(VLOOKUP($M63,'[2]OEM Group'!$B$6:$D$22,3,FALSE)&lt;&gt;0,VLOOKUP($M63,'[2]OEM Group'!$B$6:$D$22,3,FALSE),"")</f>
        <v/>
      </c>
      <c r="CG63" s="413" t="str">
        <f>IF(VLOOKUP($M63,'[2]OEM Group'!$B$6:$F$22,4,FALSE)&lt;&gt;"",VLOOKUP($M63,'[2]OEM Group'!$B$6:$F$22,4,FALSE),"")</f>
        <v>Unassigned</v>
      </c>
      <c r="CH63" s="414" t="str">
        <f>IF(VLOOKUP($M63,'[2]OEM Group'!$B$6:$F$22,5,FALSE)&lt;&gt;"",VLOOKUP($M63,'[2]OEM Group'!$B$6:$F$22,5,FALSE),"")</f>
        <v>Unassigned</v>
      </c>
    </row>
    <row r="64" spans="2:86">
      <c r="B64" s="333">
        <v>8</v>
      </c>
      <c r="C64" s="30" t="s">
        <v>87</v>
      </c>
      <c r="D64" s="392" t="s">
        <v>103</v>
      </c>
      <c r="E64" s="33">
        <v>46</v>
      </c>
      <c r="F64" s="293" t="s">
        <v>159</v>
      </c>
      <c r="G64" s="393"/>
      <c r="I64" s="325" t="s">
        <v>106</v>
      </c>
      <c r="J64" s="394">
        <v>2</v>
      </c>
      <c r="K64" s="394" t="s">
        <v>106</v>
      </c>
      <c r="L64" s="32">
        <v>1</v>
      </c>
      <c r="M64" s="168" t="s">
        <v>121</v>
      </c>
      <c r="N64" s="415">
        <v>40000</v>
      </c>
      <c r="O64" s="416">
        <v>35000</v>
      </c>
      <c r="P64" s="416">
        <v>30000</v>
      </c>
      <c r="Q64" s="417">
        <v>0</v>
      </c>
      <c r="R64" s="417">
        <v>0</v>
      </c>
      <c r="S64" s="417">
        <v>0</v>
      </c>
      <c r="T64" s="418">
        <v>25</v>
      </c>
      <c r="U64" s="326">
        <f t="shared" si="0"/>
        <v>750000</v>
      </c>
      <c r="V64" s="264">
        <f t="shared" si="1"/>
        <v>750000</v>
      </c>
      <c r="W64" s="419">
        <v>25000</v>
      </c>
      <c r="X64" s="420">
        <v>75000</v>
      </c>
      <c r="Y64" s="32"/>
      <c r="Z64" s="421">
        <v>0</v>
      </c>
      <c r="AA64" s="422"/>
      <c r="AB64" s="422">
        <v>0</v>
      </c>
      <c r="AC64" s="423">
        <v>0</v>
      </c>
      <c r="AD64" s="424">
        <v>0</v>
      </c>
      <c r="AE64" s="422"/>
      <c r="AF64" s="422">
        <v>0</v>
      </c>
      <c r="AG64" s="425">
        <v>0</v>
      </c>
      <c r="AH64" s="421">
        <v>0</v>
      </c>
      <c r="AI64" s="422"/>
      <c r="AJ64" s="422">
        <v>0</v>
      </c>
      <c r="AK64" s="425">
        <v>0</v>
      </c>
      <c r="AL64" s="421">
        <v>0</v>
      </c>
      <c r="AM64" s="422"/>
      <c r="AN64" s="422">
        <v>0</v>
      </c>
      <c r="AO64" s="423">
        <v>0</v>
      </c>
      <c r="AP64" s="424">
        <v>0</v>
      </c>
      <c r="AQ64" s="422"/>
      <c r="AR64" s="422">
        <v>0</v>
      </c>
      <c r="AS64" s="423">
        <v>0</v>
      </c>
      <c r="AT64" s="424">
        <v>0</v>
      </c>
      <c r="AU64" s="422"/>
      <c r="AV64" s="422">
        <v>0</v>
      </c>
      <c r="AW64" s="423">
        <v>0</v>
      </c>
      <c r="AX64" s="424">
        <v>0</v>
      </c>
      <c r="AY64" s="422"/>
      <c r="AZ64" s="422">
        <v>0</v>
      </c>
      <c r="BA64" s="423">
        <v>0</v>
      </c>
      <c r="BB64" s="424">
        <v>0</v>
      </c>
      <c r="BC64" s="422"/>
      <c r="BD64" s="422">
        <v>0</v>
      </c>
      <c r="BE64" s="425">
        <v>0</v>
      </c>
      <c r="BF64" s="421">
        <v>1</v>
      </c>
      <c r="BG64" s="422"/>
      <c r="BH64" s="422">
        <v>1</v>
      </c>
      <c r="BI64" s="425">
        <v>1</v>
      </c>
      <c r="BJ64" s="421">
        <v>0</v>
      </c>
      <c r="BK64" s="422"/>
      <c r="BL64" s="422">
        <v>0</v>
      </c>
      <c r="BM64" s="425">
        <v>0</v>
      </c>
      <c r="BN64" s="421">
        <v>0</v>
      </c>
      <c r="BO64" s="422"/>
      <c r="BP64" s="422">
        <v>0</v>
      </c>
      <c r="BQ64" s="423">
        <v>0</v>
      </c>
      <c r="BR64" s="424">
        <v>0</v>
      </c>
      <c r="BS64" s="422"/>
      <c r="BT64" s="422">
        <v>0</v>
      </c>
      <c r="BU64" s="425">
        <v>0</v>
      </c>
      <c r="BV64" s="326"/>
      <c r="BZ64" s="408">
        <f t="shared" si="5"/>
        <v>100000</v>
      </c>
      <c r="CA64" s="426">
        <f t="shared" si="2"/>
        <v>1</v>
      </c>
      <c r="CB64" s="427">
        <f t="shared" si="3"/>
        <v>1</v>
      </c>
      <c r="CC64" s="428">
        <f t="shared" si="3"/>
        <v>1</v>
      </c>
      <c r="CD64" s="412" t="str">
        <f t="shared" si="6"/>
        <v>Picking</v>
      </c>
      <c r="CE64" s="413" t="str">
        <f>IF(VLOOKUP($M64,'[2]OEM Group'!$B$6:$D$22,2,FALSE)&lt;&gt;0,VLOOKUP($M64,'[2]OEM Group'!$B$6:$D$22,2,FALSE),"")</f>
        <v>ViaStore</v>
      </c>
      <c r="CF64" s="414" t="str">
        <f>IF(VLOOKUP($M64,'[2]OEM Group'!$B$6:$D$22,3,FALSE)&lt;&gt;0,VLOOKUP($M64,'[2]OEM Group'!$B$6:$D$22,3,FALSE),"")</f>
        <v/>
      </c>
      <c r="CG64" s="413" t="str">
        <f>IF(VLOOKUP($M64,'[2]OEM Group'!$B$6:$F$22,4,FALSE)&lt;&gt;"",VLOOKUP($M64,'[2]OEM Group'!$B$6:$F$22,4,FALSE),"")</f>
        <v>Unassigned</v>
      </c>
      <c r="CH64" s="414" t="str">
        <f>IF(VLOOKUP($M64,'[2]OEM Group'!$B$6:$F$22,5,FALSE)&lt;&gt;"",VLOOKUP($M64,'[2]OEM Group'!$B$6:$F$22,5,FALSE),"")</f>
        <v>Unassigned</v>
      </c>
    </row>
    <row r="65" spans="2:86">
      <c r="B65" s="333">
        <v>13</v>
      </c>
      <c r="C65" s="30" t="s">
        <v>88</v>
      </c>
      <c r="D65" s="392" t="s">
        <v>110</v>
      </c>
      <c r="E65" s="33">
        <v>58</v>
      </c>
      <c r="F65" s="293" t="s">
        <v>174</v>
      </c>
      <c r="G65" s="393"/>
      <c r="H65" s="293" t="s">
        <v>691</v>
      </c>
      <c r="I65" s="325" t="s">
        <v>106</v>
      </c>
      <c r="J65" s="394">
        <v>2</v>
      </c>
      <c r="K65" s="394" t="s">
        <v>106</v>
      </c>
      <c r="L65" s="32">
        <v>1</v>
      </c>
      <c r="M65" s="168" t="s">
        <v>121</v>
      </c>
      <c r="N65" s="415">
        <v>80000</v>
      </c>
      <c r="O65" s="416">
        <v>70000</v>
      </c>
      <c r="P65" s="416">
        <v>60000</v>
      </c>
      <c r="Q65" s="417">
        <v>0</v>
      </c>
      <c r="R65" s="417">
        <v>0</v>
      </c>
      <c r="S65" s="417">
        <v>0</v>
      </c>
      <c r="T65" s="418">
        <v>4</v>
      </c>
      <c r="U65" s="326">
        <f t="shared" si="0"/>
        <v>240000</v>
      </c>
      <c r="V65" s="264">
        <f t="shared" si="1"/>
        <v>240000</v>
      </c>
      <c r="W65" s="419">
        <v>50000</v>
      </c>
      <c r="X65" s="420">
        <v>50000</v>
      </c>
      <c r="Y65" s="32"/>
      <c r="Z65" s="421">
        <v>0</v>
      </c>
      <c r="AA65" s="422"/>
      <c r="AB65" s="422">
        <v>1</v>
      </c>
      <c r="AC65" s="423">
        <v>0</v>
      </c>
      <c r="AD65" s="424">
        <v>0</v>
      </c>
      <c r="AE65" s="422"/>
      <c r="AF65" s="422">
        <v>0</v>
      </c>
      <c r="AG65" s="425">
        <v>0</v>
      </c>
      <c r="AH65" s="421">
        <v>0</v>
      </c>
      <c r="AI65" s="422"/>
      <c r="AJ65" s="422">
        <v>0</v>
      </c>
      <c r="AK65" s="425">
        <v>0</v>
      </c>
      <c r="AL65" s="421">
        <v>0</v>
      </c>
      <c r="AM65" s="422"/>
      <c r="AN65" s="422">
        <v>0</v>
      </c>
      <c r="AO65" s="423">
        <v>0</v>
      </c>
      <c r="AP65" s="424">
        <v>0</v>
      </c>
      <c r="AQ65" s="422"/>
      <c r="AR65" s="422">
        <v>0</v>
      </c>
      <c r="AS65" s="423">
        <v>0</v>
      </c>
      <c r="AT65" s="424">
        <v>0</v>
      </c>
      <c r="AU65" s="422"/>
      <c r="AV65" s="422">
        <v>0</v>
      </c>
      <c r="AW65" s="423">
        <v>0</v>
      </c>
      <c r="AX65" s="424">
        <v>0</v>
      </c>
      <c r="AY65" s="422"/>
      <c r="AZ65" s="422">
        <v>0</v>
      </c>
      <c r="BA65" s="423">
        <v>0</v>
      </c>
      <c r="BB65" s="424">
        <v>0</v>
      </c>
      <c r="BC65" s="422"/>
      <c r="BD65" s="422">
        <v>0</v>
      </c>
      <c r="BE65" s="425">
        <v>0</v>
      </c>
      <c r="BF65" s="421">
        <v>0</v>
      </c>
      <c r="BG65" s="422"/>
      <c r="BH65" s="422">
        <v>0</v>
      </c>
      <c r="BI65" s="425">
        <v>0</v>
      </c>
      <c r="BJ65" s="421">
        <v>0</v>
      </c>
      <c r="BK65" s="422"/>
      <c r="BL65" s="422">
        <v>0</v>
      </c>
      <c r="BM65" s="425">
        <v>0</v>
      </c>
      <c r="BN65" s="421">
        <v>0</v>
      </c>
      <c r="BO65" s="422"/>
      <c r="BP65" s="422">
        <v>0</v>
      </c>
      <c r="BQ65" s="423">
        <v>0</v>
      </c>
      <c r="BR65" s="424">
        <v>0</v>
      </c>
      <c r="BS65" s="422"/>
      <c r="BT65" s="422">
        <v>0</v>
      </c>
      <c r="BU65" s="425">
        <v>0</v>
      </c>
      <c r="BV65" s="326"/>
      <c r="BZ65" s="408">
        <f t="shared" si="5"/>
        <v>100000</v>
      </c>
      <c r="CA65" s="426">
        <f t="shared" si="2"/>
        <v>0</v>
      </c>
      <c r="CB65" s="427">
        <f t="shared" si="3"/>
        <v>1</v>
      </c>
      <c r="CC65" s="428">
        <f t="shared" si="3"/>
        <v>0</v>
      </c>
      <c r="CD65" s="412" t="str">
        <f t="shared" si="6"/>
        <v>Rack loading</v>
      </c>
      <c r="CE65" s="413" t="str">
        <f>IF(VLOOKUP($M65,'[2]OEM Group'!$B$6:$D$22,2,FALSE)&lt;&gt;0,VLOOKUP($M65,'[2]OEM Group'!$B$6:$D$22,2,FALSE),"")</f>
        <v>ViaStore</v>
      </c>
      <c r="CF65" s="414" t="str">
        <f>IF(VLOOKUP($M65,'[2]OEM Group'!$B$6:$D$22,3,FALSE)&lt;&gt;0,VLOOKUP($M65,'[2]OEM Group'!$B$6:$D$22,3,FALSE),"")</f>
        <v/>
      </c>
      <c r="CG65" s="413" t="str">
        <f>IF(VLOOKUP($M65,'[2]OEM Group'!$B$6:$F$22,4,FALSE)&lt;&gt;"",VLOOKUP($M65,'[2]OEM Group'!$B$6:$F$22,4,FALSE),"")</f>
        <v>Unassigned</v>
      </c>
      <c r="CH65" s="414" t="str">
        <f>IF(VLOOKUP($M65,'[2]OEM Group'!$B$6:$F$22,5,FALSE)&lt;&gt;"",VLOOKUP($M65,'[2]OEM Group'!$B$6:$F$22,5,FALSE),"")</f>
        <v>Unassigned</v>
      </c>
    </row>
    <row r="66" spans="2:86">
      <c r="B66" s="333">
        <v>1</v>
      </c>
      <c r="C66" s="30" t="s">
        <v>75</v>
      </c>
      <c r="D66" s="392" t="s">
        <v>103</v>
      </c>
      <c r="E66" s="33">
        <v>1</v>
      </c>
      <c r="F66" s="293" t="s">
        <v>160</v>
      </c>
      <c r="G66" s="393">
        <v>1</v>
      </c>
      <c r="I66" s="325" t="s">
        <v>106</v>
      </c>
      <c r="J66" s="394">
        <v>2</v>
      </c>
      <c r="K66" s="394" t="s">
        <v>106</v>
      </c>
      <c r="L66" s="326">
        <v>1</v>
      </c>
      <c r="M66" s="168" t="s">
        <v>109</v>
      </c>
      <c r="N66" s="415">
        <v>26000</v>
      </c>
      <c r="O66" s="416">
        <v>21000</v>
      </c>
      <c r="P66" s="416">
        <v>18000</v>
      </c>
      <c r="Q66" s="417">
        <v>22000</v>
      </c>
      <c r="R66" s="417">
        <v>17000</v>
      </c>
      <c r="S66" s="417">
        <v>15000</v>
      </c>
      <c r="T66" s="418">
        <v>60</v>
      </c>
      <c r="U66" s="326">
        <f t="shared" si="0"/>
        <v>1080000</v>
      </c>
      <c r="V66" s="264">
        <f t="shared" si="1"/>
        <v>180000</v>
      </c>
      <c r="W66" s="419">
        <v>50000</v>
      </c>
      <c r="X66" s="420">
        <v>60000</v>
      </c>
      <c r="Y66" s="32"/>
      <c r="Z66" s="421">
        <v>0</v>
      </c>
      <c r="AA66" s="422"/>
      <c r="AB66" s="422">
        <v>0</v>
      </c>
      <c r="AC66" s="423">
        <v>0</v>
      </c>
      <c r="AD66" s="424">
        <v>0</v>
      </c>
      <c r="AE66" s="422"/>
      <c r="AF66" s="422">
        <v>0</v>
      </c>
      <c r="AG66" s="425">
        <v>0</v>
      </c>
      <c r="AH66" s="421">
        <v>0</v>
      </c>
      <c r="AI66" s="422"/>
      <c r="AJ66" s="422">
        <v>0</v>
      </c>
      <c r="AK66" s="425">
        <v>0</v>
      </c>
      <c r="AL66" s="421">
        <v>0</v>
      </c>
      <c r="AM66" s="422"/>
      <c r="AN66" s="422">
        <v>0</v>
      </c>
      <c r="AO66" s="423">
        <v>0</v>
      </c>
      <c r="AP66" s="424">
        <v>0</v>
      </c>
      <c r="AQ66" s="422"/>
      <c r="AR66" s="422">
        <v>0</v>
      </c>
      <c r="AS66" s="423">
        <v>0</v>
      </c>
      <c r="AT66" s="424">
        <v>1</v>
      </c>
      <c r="AU66" s="422" t="s">
        <v>693</v>
      </c>
      <c r="AV66" s="422">
        <v>1</v>
      </c>
      <c r="AW66" s="423">
        <v>1</v>
      </c>
      <c r="AX66" s="424">
        <v>0</v>
      </c>
      <c r="AY66" s="422"/>
      <c r="AZ66" s="422">
        <v>0</v>
      </c>
      <c r="BA66" s="423">
        <v>0</v>
      </c>
      <c r="BB66" s="424">
        <v>0</v>
      </c>
      <c r="BC66" s="422"/>
      <c r="BD66" s="422">
        <v>0</v>
      </c>
      <c r="BE66" s="425">
        <v>0</v>
      </c>
      <c r="BF66" s="421">
        <v>0</v>
      </c>
      <c r="BG66" s="422"/>
      <c r="BH66" s="422">
        <v>0</v>
      </c>
      <c r="BI66" s="425">
        <v>0</v>
      </c>
      <c r="BJ66" s="421">
        <v>0</v>
      </c>
      <c r="BK66" s="422"/>
      <c r="BL66" s="422">
        <v>0</v>
      </c>
      <c r="BM66" s="425">
        <v>0</v>
      </c>
      <c r="BN66" s="421">
        <v>0</v>
      </c>
      <c r="BO66" s="422"/>
      <c r="BP66" s="422">
        <v>0</v>
      </c>
      <c r="BQ66" s="423">
        <v>0</v>
      </c>
      <c r="BR66" s="424">
        <v>1</v>
      </c>
      <c r="BS66" s="422"/>
      <c r="BT66" s="422">
        <v>1</v>
      </c>
      <c r="BU66" s="425">
        <v>1</v>
      </c>
      <c r="BV66" s="326"/>
      <c r="BZ66" s="408">
        <f t="shared" si="5"/>
        <v>110000</v>
      </c>
      <c r="CA66" s="426">
        <f t="shared" si="2"/>
        <v>2</v>
      </c>
      <c r="CB66" s="427">
        <f t="shared" si="3"/>
        <v>2</v>
      </c>
      <c r="CC66" s="428">
        <f t="shared" si="3"/>
        <v>2</v>
      </c>
      <c r="CD66" s="412" t="str">
        <f t="shared" si="6"/>
        <v>Stack moving</v>
      </c>
      <c r="CE66" s="413" t="str">
        <f>IF(VLOOKUP($M66,'[2]OEM Group'!$B$6:$D$22,2,FALSE)&lt;&gt;0,VLOOKUP($M66,'[2]OEM Group'!$B$6:$D$22,2,FALSE),"")</f>
        <v>Olympus</v>
      </c>
      <c r="CF66" s="414" t="str">
        <f>IF(VLOOKUP($M66,'[2]OEM Group'!$B$6:$D$22,3,FALSE)&lt;&gt;0,VLOOKUP($M66,'[2]OEM Group'!$B$6:$D$22,3,FALSE),"")</f>
        <v/>
      </c>
      <c r="CG66" s="413" t="str">
        <f>IF(VLOOKUP($M66,'[2]OEM Group'!$B$6:$F$22,4,FALSE)&lt;&gt;"",VLOOKUP($M66,'[2]OEM Group'!$B$6:$F$22,4,FALSE),"")</f>
        <v>David McCalib</v>
      </c>
      <c r="CH66" s="414" t="str">
        <f>IF(VLOOKUP($M66,'[2]OEM Group'!$B$6:$F$22,5,FALSE)&lt;&gt;"",VLOOKUP($M66,'[2]OEM Group'!$B$6:$F$22,5,FALSE),"")</f>
        <v>Aravind Durai</v>
      </c>
    </row>
    <row r="67" spans="2:86">
      <c r="B67" s="333">
        <v>1</v>
      </c>
      <c r="C67" s="30" t="s">
        <v>75</v>
      </c>
      <c r="D67" s="392" t="s">
        <v>103</v>
      </c>
      <c r="E67" s="33">
        <v>2</v>
      </c>
      <c r="F67" s="293" t="s">
        <v>108</v>
      </c>
      <c r="G67" s="393"/>
      <c r="I67" s="325" t="s">
        <v>106</v>
      </c>
      <c r="J67" s="394">
        <v>1</v>
      </c>
      <c r="K67" s="394" t="s">
        <v>106</v>
      </c>
      <c r="L67" s="32">
        <v>1</v>
      </c>
      <c r="M67" s="168" t="s">
        <v>109</v>
      </c>
      <c r="N67" s="415">
        <v>1000</v>
      </c>
      <c r="O67" s="416">
        <v>500</v>
      </c>
      <c r="P67" s="416">
        <v>500</v>
      </c>
      <c r="Q67" s="417">
        <v>0</v>
      </c>
      <c r="R67" s="417">
        <v>0</v>
      </c>
      <c r="S67" s="417">
        <v>0</v>
      </c>
      <c r="T67" s="418">
        <v>15</v>
      </c>
      <c r="U67" s="326">
        <f t="shared" si="0"/>
        <v>7500</v>
      </c>
      <c r="V67" s="264">
        <f t="shared" si="1"/>
        <v>7500</v>
      </c>
      <c r="W67" s="419">
        <v>0</v>
      </c>
      <c r="X67" s="420">
        <v>4000</v>
      </c>
      <c r="Y67" s="32"/>
      <c r="Z67" s="421">
        <v>0</v>
      </c>
      <c r="AA67" s="422"/>
      <c r="AB67" s="422">
        <v>0</v>
      </c>
      <c r="AC67" s="423">
        <v>0</v>
      </c>
      <c r="AD67" s="424">
        <v>0</v>
      </c>
      <c r="AE67" s="422"/>
      <c r="AF67" s="422">
        <v>0</v>
      </c>
      <c r="AG67" s="425">
        <v>0</v>
      </c>
      <c r="AH67" s="421">
        <v>0</v>
      </c>
      <c r="AI67" s="422"/>
      <c r="AJ67" s="422">
        <v>0</v>
      </c>
      <c r="AK67" s="425">
        <v>0</v>
      </c>
      <c r="AL67" s="421">
        <v>0</v>
      </c>
      <c r="AM67" s="422"/>
      <c r="AN67" s="422">
        <v>0</v>
      </c>
      <c r="AO67" s="423">
        <v>0</v>
      </c>
      <c r="AP67" s="424">
        <v>0</v>
      </c>
      <c r="AQ67" s="422"/>
      <c r="AR67" s="422">
        <v>0</v>
      </c>
      <c r="AS67" s="423">
        <v>0</v>
      </c>
      <c r="AT67" s="424">
        <v>1</v>
      </c>
      <c r="AU67" s="422"/>
      <c r="AV67" s="422">
        <v>1</v>
      </c>
      <c r="AW67" s="423">
        <v>1</v>
      </c>
      <c r="AX67" s="424">
        <v>0</v>
      </c>
      <c r="AY67" s="422"/>
      <c r="AZ67" s="422">
        <v>0</v>
      </c>
      <c r="BA67" s="423">
        <v>0</v>
      </c>
      <c r="BB67" s="424">
        <v>0</v>
      </c>
      <c r="BC67" s="422"/>
      <c r="BD67" s="422">
        <v>0</v>
      </c>
      <c r="BE67" s="425">
        <v>0</v>
      </c>
      <c r="BF67" s="421">
        <v>0</v>
      </c>
      <c r="BG67" s="422"/>
      <c r="BH67" s="422">
        <v>0</v>
      </c>
      <c r="BI67" s="425">
        <v>0</v>
      </c>
      <c r="BJ67" s="421">
        <v>0</v>
      </c>
      <c r="BK67" s="422"/>
      <c r="BL67" s="422">
        <v>0</v>
      </c>
      <c r="BM67" s="425">
        <v>0</v>
      </c>
      <c r="BN67" s="421">
        <v>0</v>
      </c>
      <c r="BO67" s="422"/>
      <c r="BP67" s="422">
        <v>0</v>
      </c>
      <c r="BQ67" s="423">
        <v>0</v>
      </c>
      <c r="BR67" s="424">
        <v>1</v>
      </c>
      <c r="BS67" s="422"/>
      <c r="BT67" s="422">
        <v>1</v>
      </c>
      <c r="BU67" s="425">
        <v>1</v>
      </c>
      <c r="BV67" s="326"/>
      <c r="BZ67" s="408">
        <f t="shared" si="5"/>
        <v>4000</v>
      </c>
      <c r="CA67" s="426">
        <f t="shared" si="2"/>
        <v>2</v>
      </c>
      <c r="CB67" s="427">
        <f t="shared" si="3"/>
        <v>2</v>
      </c>
      <c r="CC67" s="428">
        <f t="shared" si="3"/>
        <v>2</v>
      </c>
      <c r="CD67" s="412" t="str">
        <f t="shared" si="6"/>
        <v>Stack moving</v>
      </c>
      <c r="CE67" s="413" t="str">
        <f>IF(VLOOKUP($M67,'[2]OEM Group'!$B$6:$D$22,2,FALSE)&lt;&gt;0,VLOOKUP($M67,'[2]OEM Group'!$B$6:$D$22,2,FALSE),"")</f>
        <v>Olympus</v>
      </c>
      <c r="CF67" s="414" t="str">
        <f>IF(VLOOKUP($M67,'[2]OEM Group'!$B$6:$D$22,3,FALSE)&lt;&gt;0,VLOOKUP($M67,'[2]OEM Group'!$B$6:$D$22,3,FALSE),"")</f>
        <v/>
      </c>
      <c r="CG67" s="413" t="str">
        <f>IF(VLOOKUP($M67,'[2]OEM Group'!$B$6:$F$22,4,FALSE)&lt;&gt;"",VLOOKUP($M67,'[2]OEM Group'!$B$6:$F$22,4,FALSE),"")</f>
        <v>David McCalib</v>
      </c>
      <c r="CH67" s="414" t="str">
        <f>IF(VLOOKUP($M67,'[2]OEM Group'!$B$6:$F$22,5,FALSE)&lt;&gt;"",VLOOKUP($M67,'[2]OEM Group'!$B$6:$F$22,5,FALSE),"")</f>
        <v>Aravind Durai</v>
      </c>
    </row>
    <row r="68" spans="2:86">
      <c r="B68" s="333">
        <v>2</v>
      </c>
      <c r="C68" s="30" t="s">
        <v>119</v>
      </c>
      <c r="D68" s="392" t="s">
        <v>103</v>
      </c>
      <c r="E68" s="33">
        <v>11</v>
      </c>
      <c r="F68" s="293" t="s">
        <v>122</v>
      </c>
      <c r="G68" s="393"/>
      <c r="I68" s="325" t="s">
        <v>106</v>
      </c>
      <c r="J68" s="394">
        <v>3</v>
      </c>
      <c r="K68" s="394" t="s">
        <v>106</v>
      </c>
      <c r="L68" s="32">
        <v>1</v>
      </c>
      <c r="M68" s="168" t="s">
        <v>109</v>
      </c>
      <c r="N68" s="415">
        <v>30000</v>
      </c>
      <c r="O68" s="416">
        <v>25000</v>
      </c>
      <c r="P68" s="416">
        <v>20000</v>
      </c>
      <c r="Q68" s="417">
        <v>0</v>
      </c>
      <c r="R68" s="417">
        <v>0</v>
      </c>
      <c r="S68" s="417">
        <v>0</v>
      </c>
      <c r="T68" s="418">
        <v>8</v>
      </c>
      <c r="U68" s="326">
        <f t="shared" si="0"/>
        <v>160000</v>
      </c>
      <c r="V68" s="264">
        <f t="shared" si="1"/>
        <v>160000</v>
      </c>
      <c r="W68" s="419">
        <v>50000</v>
      </c>
      <c r="X68" s="420">
        <v>200000</v>
      </c>
      <c r="Y68" s="32"/>
      <c r="Z68" s="421">
        <v>0</v>
      </c>
      <c r="AA68" s="422"/>
      <c r="AB68" s="422">
        <v>0</v>
      </c>
      <c r="AC68" s="423">
        <v>0</v>
      </c>
      <c r="AD68" s="424">
        <v>0</v>
      </c>
      <c r="AE68" s="422"/>
      <c r="AF68" s="422">
        <v>0</v>
      </c>
      <c r="AG68" s="425">
        <v>0</v>
      </c>
      <c r="AH68" s="421">
        <v>0</v>
      </c>
      <c r="AI68" s="422"/>
      <c r="AJ68" s="422">
        <v>0</v>
      </c>
      <c r="AK68" s="425">
        <v>0</v>
      </c>
      <c r="AL68" s="421">
        <v>1</v>
      </c>
      <c r="AM68" s="422"/>
      <c r="AN68" s="422">
        <v>1</v>
      </c>
      <c r="AO68" s="423">
        <v>1</v>
      </c>
      <c r="AP68" s="424">
        <v>0</v>
      </c>
      <c r="AQ68" s="422"/>
      <c r="AR68" s="422">
        <v>0</v>
      </c>
      <c r="AS68" s="423">
        <v>0</v>
      </c>
      <c r="AT68" s="424">
        <v>0</v>
      </c>
      <c r="AU68" s="422"/>
      <c r="AV68" s="422">
        <v>0</v>
      </c>
      <c r="AW68" s="423">
        <v>0</v>
      </c>
      <c r="AX68" s="424">
        <v>0</v>
      </c>
      <c r="AY68" s="422"/>
      <c r="AZ68" s="422">
        <v>0</v>
      </c>
      <c r="BA68" s="423">
        <v>0</v>
      </c>
      <c r="BB68" s="424">
        <v>0</v>
      </c>
      <c r="BC68" s="422"/>
      <c r="BD68" s="422">
        <v>0</v>
      </c>
      <c r="BE68" s="425">
        <v>0</v>
      </c>
      <c r="BF68" s="421">
        <v>0</v>
      </c>
      <c r="BG68" s="422"/>
      <c r="BH68" s="422">
        <v>0</v>
      </c>
      <c r="BI68" s="425">
        <v>0</v>
      </c>
      <c r="BJ68" s="421">
        <v>0</v>
      </c>
      <c r="BK68" s="422"/>
      <c r="BL68" s="422">
        <v>0</v>
      </c>
      <c r="BM68" s="425">
        <v>0</v>
      </c>
      <c r="BN68" s="421">
        <v>0</v>
      </c>
      <c r="BO68" s="422"/>
      <c r="BP68" s="422">
        <v>0</v>
      </c>
      <c r="BQ68" s="423">
        <v>0</v>
      </c>
      <c r="BR68" s="424">
        <v>0</v>
      </c>
      <c r="BS68" s="422"/>
      <c r="BT68" s="422">
        <v>0</v>
      </c>
      <c r="BU68" s="425">
        <v>0</v>
      </c>
      <c r="BV68" s="326"/>
      <c r="BZ68" s="408">
        <f t="shared" si="5"/>
        <v>250000</v>
      </c>
      <c r="CA68" s="426">
        <f t="shared" si="2"/>
        <v>1</v>
      </c>
      <c r="CB68" s="427">
        <f t="shared" si="3"/>
        <v>1</v>
      </c>
      <c r="CC68" s="428">
        <f t="shared" si="3"/>
        <v>1</v>
      </c>
      <c r="CD68" s="412" t="str">
        <f t="shared" si="6"/>
        <v>Stack moving</v>
      </c>
      <c r="CE68" s="413" t="str">
        <f>IF(VLOOKUP($M68,'[2]OEM Group'!$B$6:$D$22,2,FALSE)&lt;&gt;0,VLOOKUP($M68,'[2]OEM Group'!$B$6:$D$22,2,FALSE),"")</f>
        <v>Olympus</v>
      </c>
      <c r="CF68" s="414" t="str">
        <f>IF(VLOOKUP($M68,'[2]OEM Group'!$B$6:$D$22,3,FALSE)&lt;&gt;0,VLOOKUP($M68,'[2]OEM Group'!$B$6:$D$22,3,FALSE),"")</f>
        <v/>
      </c>
      <c r="CG68" s="413" t="str">
        <f>IF(VLOOKUP($M68,'[2]OEM Group'!$B$6:$F$22,4,FALSE)&lt;&gt;"",VLOOKUP($M68,'[2]OEM Group'!$B$6:$F$22,4,FALSE),"")</f>
        <v>David McCalib</v>
      </c>
      <c r="CH68" s="414" t="str">
        <f>IF(VLOOKUP($M68,'[2]OEM Group'!$B$6:$F$22,5,FALSE)&lt;&gt;"",VLOOKUP($M68,'[2]OEM Group'!$B$6:$F$22,5,FALSE),"")</f>
        <v>Aravind Durai</v>
      </c>
    </row>
    <row r="69" spans="2:86">
      <c r="B69" s="333">
        <v>10</v>
      </c>
      <c r="C69" s="30" t="s">
        <v>165</v>
      </c>
      <c r="D69" s="392" t="s">
        <v>103</v>
      </c>
      <c r="E69" s="33">
        <v>51</v>
      </c>
      <c r="F69" s="293" t="s">
        <v>165</v>
      </c>
      <c r="G69" s="393"/>
      <c r="J69" s="394">
        <v>2</v>
      </c>
      <c r="K69" s="394" t="s">
        <v>0</v>
      </c>
      <c r="L69" s="32" t="s">
        <v>0</v>
      </c>
      <c r="M69" s="168" t="s">
        <v>109</v>
      </c>
      <c r="N69" s="415">
        <v>4000</v>
      </c>
      <c r="O69" s="416">
        <v>3000</v>
      </c>
      <c r="P69" s="416">
        <v>2500</v>
      </c>
      <c r="Q69" s="417">
        <v>0</v>
      </c>
      <c r="R69" s="417">
        <v>0</v>
      </c>
      <c r="S69" s="417">
        <v>0</v>
      </c>
      <c r="T69" s="418">
        <v>50</v>
      </c>
      <c r="U69" s="326">
        <f t="shared" si="0"/>
        <v>125000</v>
      </c>
      <c r="V69" s="264">
        <f t="shared" si="1"/>
        <v>125000</v>
      </c>
      <c r="W69" s="419">
        <v>25000</v>
      </c>
      <c r="X69" s="420">
        <v>30000</v>
      </c>
      <c r="Y69" s="32"/>
      <c r="Z69" s="421">
        <v>0</v>
      </c>
      <c r="AA69" s="422"/>
      <c r="AB69" s="422">
        <v>0</v>
      </c>
      <c r="AC69" s="423">
        <v>0</v>
      </c>
      <c r="AD69" s="424">
        <v>0</v>
      </c>
      <c r="AE69" s="422"/>
      <c r="AF69" s="422">
        <v>0</v>
      </c>
      <c r="AG69" s="425">
        <v>0</v>
      </c>
      <c r="AH69" s="421">
        <v>0</v>
      </c>
      <c r="AI69" s="422"/>
      <c r="AJ69" s="422">
        <v>0</v>
      </c>
      <c r="AK69" s="425">
        <v>0</v>
      </c>
      <c r="AL69" s="421">
        <v>0</v>
      </c>
      <c r="AM69" s="422"/>
      <c r="AN69" s="422">
        <v>0</v>
      </c>
      <c r="AO69" s="423">
        <v>0</v>
      </c>
      <c r="AP69" s="424">
        <v>0</v>
      </c>
      <c r="AQ69" s="422"/>
      <c r="AR69" s="422">
        <v>0</v>
      </c>
      <c r="AS69" s="423">
        <v>0</v>
      </c>
      <c r="AT69" s="424">
        <v>0</v>
      </c>
      <c r="AU69" s="422"/>
      <c r="AV69" s="422">
        <v>0</v>
      </c>
      <c r="AW69" s="423">
        <v>0</v>
      </c>
      <c r="AX69" s="424">
        <v>1</v>
      </c>
      <c r="AY69" s="422"/>
      <c r="AZ69" s="422">
        <v>1</v>
      </c>
      <c r="BA69" s="423">
        <v>1</v>
      </c>
      <c r="BB69" s="424">
        <v>0</v>
      </c>
      <c r="BC69" s="422"/>
      <c r="BD69" s="422">
        <v>0</v>
      </c>
      <c r="BE69" s="425">
        <v>0</v>
      </c>
      <c r="BF69" s="421">
        <v>0</v>
      </c>
      <c r="BG69" s="422"/>
      <c r="BH69" s="422">
        <v>0</v>
      </c>
      <c r="BI69" s="425">
        <v>0</v>
      </c>
      <c r="BJ69" s="421">
        <v>0</v>
      </c>
      <c r="BK69" s="422"/>
      <c r="BL69" s="422">
        <v>0</v>
      </c>
      <c r="BM69" s="425">
        <v>0</v>
      </c>
      <c r="BN69" s="421">
        <v>0</v>
      </c>
      <c r="BO69" s="422"/>
      <c r="BP69" s="422">
        <v>0</v>
      </c>
      <c r="BQ69" s="423">
        <v>0</v>
      </c>
      <c r="BR69" s="424">
        <v>0</v>
      </c>
      <c r="BS69" s="422"/>
      <c r="BT69" s="422">
        <v>0</v>
      </c>
      <c r="BU69" s="425">
        <v>0</v>
      </c>
      <c r="BV69" s="326"/>
      <c r="BZ69" s="408">
        <f t="shared" si="5"/>
        <v>55000</v>
      </c>
      <c r="CA69" s="426">
        <f t="shared" si="2"/>
        <v>1</v>
      </c>
      <c r="CB69" s="427">
        <f t="shared" ref="CB69:CC74" si="7">AB69+AF69+AJ69+AN69+AR69+AV69+AZ69+BD69+BH69+BL69+BP69+BT69</f>
        <v>1</v>
      </c>
      <c r="CC69" s="428">
        <f t="shared" si="7"/>
        <v>1</v>
      </c>
      <c r="CD69" s="412" t="str">
        <f t="shared" si="6"/>
        <v>Stack moving</v>
      </c>
      <c r="CE69" s="413" t="str">
        <f>IF(VLOOKUP($M69,'[2]OEM Group'!$B$6:$D$22,2,FALSE)&lt;&gt;0,VLOOKUP($M69,'[2]OEM Group'!$B$6:$D$22,2,FALSE),"")</f>
        <v>Olympus</v>
      </c>
      <c r="CF69" s="414" t="str">
        <f>IF(VLOOKUP($M69,'[2]OEM Group'!$B$6:$D$22,3,FALSE)&lt;&gt;0,VLOOKUP($M69,'[2]OEM Group'!$B$6:$D$22,3,FALSE),"")</f>
        <v/>
      </c>
      <c r="CG69" s="413" t="str">
        <f>IF(VLOOKUP($M69,'[2]OEM Group'!$B$6:$F$22,4,FALSE)&lt;&gt;"",VLOOKUP($M69,'[2]OEM Group'!$B$6:$F$22,4,FALSE),"")</f>
        <v>David McCalib</v>
      </c>
      <c r="CH69" s="414" t="str">
        <f>IF(VLOOKUP($M69,'[2]OEM Group'!$B$6:$F$22,5,FALSE)&lt;&gt;"",VLOOKUP($M69,'[2]OEM Group'!$B$6:$F$22,5,FALSE),"")</f>
        <v>Aravind Durai</v>
      </c>
    </row>
    <row r="70" spans="2:86">
      <c r="B70" s="333">
        <v>2</v>
      </c>
      <c r="C70" s="30" t="s">
        <v>119</v>
      </c>
      <c r="D70" s="392" t="s">
        <v>103</v>
      </c>
      <c r="E70" s="33">
        <v>9</v>
      </c>
      <c r="F70" s="293" t="s">
        <v>69</v>
      </c>
      <c r="G70" s="393"/>
      <c r="I70" s="325" t="s">
        <v>106</v>
      </c>
      <c r="J70" s="394">
        <v>2</v>
      </c>
      <c r="K70" s="394" t="s">
        <v>106</v>
      </c>
      <c r="L70" s="32"/>
      <c r="M70" s="168" t="s">
        <v>120</v>
      </c>
      <c r="N70" s="415">
        <v>30000</v>
      </c>
      <c r="O70" s="416">
        <v>25000</v>
      </c>
      <c r="P70" s="416">
        <v>15000</v>
      </c>
      <c r="Q70" s="417">
        <v>0</v>
      </c>
      <c r="R70" s="417">
        <v>0</v>
      </c>
      <c r="S70" s="417">
        <v>0</v>
      </c>
      <c r="T70" s="418">
        <v>12</v>
      </c>
      <c r="U70" s="326">
        <f t="shared" si="0"/>
        <v>180000</v>
      </c>
      <c r="V70" s="264">
        <f t="shared" si="1"/>
        <v>180000</v>
      </c>
      <c r="W70" s="419">
        <v>30000</v>
      </c>
      <c r="X70" s="420">
        <v>75000</v>
      </c>
      <c r="Y70" s="32"/>
      <c r="Z70" s="421">
        <v>0</v>
      </c>
      <c r="AA70" s="422"/>
      <c r="AB70" s="422">
        <v>0</v>
      </c>
      <c r="AC70" s="423">
        <v>0</v>
      </c>
      <c r="AD70" s="424">
        <v>0</v>
      </c>
      <c r="AE70" s="422"/>
      <c r="AF70" s="422">
        <v>0</v>
      </c>
      <c r="AG70" s="425">
        <v>0</v>
      </c>
      <c r="AH70" s="421">
        <v>0</v>
      </c>
      <c r="AI70" s="422"/>
      <c r="AJ70" s="422">
        <v>0</v>
      </c>
      <c r="AK70" s="425">
        <v>0</v>
      </c>
      <c r="AL70" s="421">
        <v>2</v>
      </c>
      <c r="AM70" s="422"/>
      <c r="AN70" s="422">
        <v>2</v>
      </c>
      <c r="AO70" s="423">
        <v>2</v>
      </c>
      <c r="AP70" s="424">
        <v>0</v>
      </c>
      <c r="AQ70" s="422"/>
      <c r="AR70" s="422">
        <v>0</v>
      </c>
      <c r="AS70" s="423">
        <v>0</v>
      </c>
      <c r="AT70" s="424">
        <v>0</v>
      </c>
      <c r="AU70" s="422"/>
      <c r="AV70" s="422">
        <v>0</v>
      </c>
      <c r="AW70" s="423">
        <v>0</v>
      </c>
      <c r="AX70" s="424">
        <v>0</v>
      </c>
      <c r="AY70" s="422"/>
      <c r="AZ70" s="422">
        <v>0</v>
      </c>
      <c r="BA70" s="423">
        <v>0</v>
      </c>
      <c r="BB70" s="424">
        <v>0</v>
      </c>
      <c r="BC70" s="422"/>
      <c r="BD70" s="422">
        <v>0</v>
      </c>
      <c r="BE70" s="425">
        <v>0</v>
      </c>
      <c r="BF70" s="421">
        <v>0</v>
      </c>
      <c r="BG70" s="422"/>
      <c r="BH70" s="422">
        <v>0</v>
      </c>
      <c r="BI70" s="425">
        <v>0</v>
      </c>
      <c r="BJ70" s="421">
        <v>0</v>
      </c>
      <c r="BK70" s="422"/>
      <c r="BL70" s="422">
        <v>0</v>
      </c>
      <c r="BM70" s="425">
        <v>0</v>
      </c>
      <c r="BN70" s="421">
        <v>0</v>
      </c>
      <c r="BO70" s="422"/>
      <c r="BP70" s="422">
        <v>0</v>
      </c>
      <c r="BQ70" s="423">
        <v>0</v>
      </c>
      <c r="BR70" s="424">
        <v>0</v>
      </c>
      <c r="BS70" s="422"/>
      <c r="BT70" s="422">
        <v>0</v>
      </c>
      <c r="BU70" s="425">
        <v>0</v>
      </c>
      <c r="BV70" s="326"/>
      <c r="BZ70" s="408">
        <f t="shared" si="5"/>
        <v>105000</v>
      </c>
      <c r="CA70" s="426">
        <f t="shared" si="2"/>
        <v>2</v>
      </c>
      <c r="CB70" s="427">
        <f t="shared" si="7"/>
        <v>2</v>
      </c>
      <c r="CC70" s="428">
        <f t="shared" si="7"/>
        <v>2</v>
      </c>
      <c r="CD70" s="412" t="str">
        <f t="shared" si="6"/>
        <v>Stack moving</v>
      </c>
      <c r="CE70" s="413" t="str">
        <f>IF(VLOOKUP($M70,'[2]OEM Group'!$B$6:$D$22,2,FALSE)&lt;&gt;0,VLOOKUP($M70,'[2]OEM Group'!$B$6:$D$22,2,FALSE),"")</f>
        <v>Olympus</v>
      </c>
      <c r="CF70" s="414" t="str">
        <f>IF(VLOOKUP($M70,'[2]OEM Group'!$B$6:$D$22,3,FALSE)&lt;&gt;0,VLOOKUP($M70,'[2]OEM Group'!$B$6:$D$22,3,FALSE),"")</f>
        <v/>
      </c>
      <c r="CG70" s="413" t="str">
        <f>IF(VLOOKUP($M70,'[2]OEM Group'!$B$6:$F$22,4,FALSE)&lt;&gt;"",VLOOKUP($M70,'[2]OEM Group'!$B$6:$F$22,4,FALSE),"")</f>
        <v>Dave Johnston</v>
      </c>
      <c r="CH70" s="414" t="str">
        <f>IF(VLOOKUP($M70,'[2]OEM Group'!$B$6:$F$22,5,FALSE)&lt;&gt;"",VLOOKUP($M70,'[2]OEM Group'!$B$6:$F$22,5,FALSE),"")</f>
        <v>David McCalib</v>
      </c>
    </row>
    <row r="71" spans="2:86">
      <c r="B71" s="333">
        <v>4</v>
      </c>
      <c r="C71" s="30" t="s">
        <v>50</v>
      </c>
      <c r="D71" s="392" t="s">
        <v>103</v>
      </c>
      <c r="E71" s="33">
        <v>30</v>
      </c>
      <c r="F71" s="293" t="s">
        <v>163</v>
      </c>
      <c r="G71" s="393">
        <v>1</v>
      </c>
      <c r="I71" s="325" t="s">
        <v>106</v>
      </c>
      <c r="J71" s="394">
        <v>4</v>
      </c>
      <c r="K71" s="394" t="s">
        <v>106</v>
      </c>
      <c r="L71" s="32">
        <v>1</v>
      </c>
      <c r="M71" s="168" t="s">
        <v>164</v>
      </c>
      <c r="N71" s="415">
        <v>260000</v>
      </c>
      <c r="O71" s="416">
        <v>245000</v>
      </c>
      <c r="P71" s="416">
        <v>220000</v>
      </c>
      <c r="Q71" s="417">
        <v>75000</v>
      </c>
      <c r="R71" s="417">
        <v>65000</v>
      </c>
      <c r="S71" s="417">
        <v>60000</v>
      </c>
      <c r="T71" s="418">
        <v>25</v>
      </c>
      <c r="U71" s="326">
        <f t="shared" ref="U71:U74" si="8">T71*P71</f>
        <v>5500000</v>
      </c>
      <c r="V71" s="264">
        <f t="shared" ref="V71:V106" si="9">T71*(P71-S71)</f>
        <v>4000000</v>
      </c>
      <c r="W71" s="419">
        <v>250000</v>
      </c>
      <c r="X71" s="420">
        <v>500000</v>
      </c>
      <c r="Y71" s="32"/>
      <c r="Z71" s="421">
        <v>0</v>
      </c>
      <c r="AA71" s="422"/>
      <c r="AB71" s="422">
        <v>0</v>
      </c>
      <c r="AC71" s="423">
        <v>0</v>
      </c>
      <c r="AD71" s="424">
        <v>0</v>
      </c>
      <c r="AE71" s="422"/>
      <c r="AF71" s="422">
        <v>0</v>
      </c>
      <c r="AG71" s="425">
        <v>0</v>
      </c>
      <c r="AH71" s="421">
        <v>0</v>
      </c>
      <c r="AI71" s="422"/>
      <c r="AJ71" s="422">
        <v>0</v>
      </c>
      <c r="AK71" s="425">
        <v>0</v>
      </c>
      <c r="AL71" s="421">
        <v>0</v>
      </c>
      <c r="AM71" s="422"/>
      <c r="AN71" s="422">
        <v>0</v>
      </c>
      <c r="AO71" s="423">
        <v>0</v>
      </c>
      <c r="AP71" s="424">
        <v>0</v>
      </c>
      <c r="AQ71" s="422"/>
      <c r="AR71" s="422">
        <v>0</v>
      </c>
      <c r="AS71" s="423">
        <v>0</v>
      </c>
      <c r="AT71" s="424">
        <v>0</v>
      </c>
      <c r="AU71" s="422"/>
      <c r="AV71" s="422">
        <v>0</v>
      </c>
      <c r="AW71" s="423">
        <v>0</v>
      </c>
      <c r="AX71" s="424">
        <v>0</v>
      </c>
      <c r="AY71" s="422"/>
      <c r="AZ71" s="422">
        <v>0</v>
      </c>
      <c r="BA71" s="423">
        <v>0</v>
      </c>
      <c r="BB71" s="424">
        <v>0</v>
      </c>
      <c r="BC71" s="422"/>
      <c r="BD71" s="422">
        <v>0</v>
      </c>
      <c r="BE71" s="425">
        <v>0</v>
      </c>
      <c r="BF71" s="421">
        <v>0</v>
      </c>
      <c r="BG71" s="422"/>
      <c r="BH71" s="422">
        <v>0</v>
      </c>
      <c r="BI71" s="425">
        <v>0</v>
      </c>
      <c r="BJ71" s="421">
        <v>0</v>
      </c>
      <c r="BK71" s="422"/>
      <c r="BL71" s="422">
        <v>0</v>
      </c>
      <c r="BM71" s="425">
        <v>0</v>
      </c>
      <c r="BN71" s="421">
        <v>1</v>
      </c>
      <c r="BO71" s="422"/>
      <c r="BP71" s="422">
        <v>1</v>
      </c>
      <c r="BQ71" s="423">
        <v>1</v>
      </c>
      <c r="BR71" s="424">
        <v>0</v>
      </c>
      <c r="BS71" s="422"/>
      <c r="BT71" s="422">
        <v>0</v>
      </c>
      <c r="BU71" s="425">
        <v>0</v>
      </c>
      <c r="BV71" s="326"/>
      <c r="BZ71" s="408">
        <f t="shared" si="5"/>
        <v>750000</v>
      </c>
      <c r="CA71" s="426">
        <f t="shared" ref="CA71:CA76" si="10">Z71+AD71+AH71+AL71+AP71+AT71+AX71+BB71+BF71+BJ71+BN71+BR71</f>
        <v>1</v>
      </c>
      <c r="CB71" s="427">
        <f t="shared" si="7"/>
        <v>1</v>
      </c>
      <c r="CC71" s="428">
        <f t="shared" si="7"/>
        <v>1</v>
      </c>
      <c r="CD71" s="412" t="str">
        <f t="shared" si="6"/>
        <v>Tray transacting</v>
      </c>
      <c r="CE71" s="413" t="str">
        <f>IF(VLOOKUP($M71,'[2]OEM Group'!$B$6:$D$22,2,FALSE)&lt;&gt;0,VLOOKUP($M71,'[2]OEM Group'!$B$6:$D$22,2,FALSE),"")</f>
        <v>Bastian</v>
      </c>
      <c r="CF71" s="414" t="str">
        <f>IF(VLOOKUP($M71,'[2]OEM Group'!$B$6:$D$22,3,FALSE)&lt;&gt;0,VLOOKUP($M71,'[2]OEM Group'!$B$6:$D$22,3,FALSE),"")</f>
        <v/>
      </c>
      <c r="CG71" s="413" t="str">
        <f>IF(VLOOKUP($M71,'[2]OEM Group'!$B$6:$F$22,4,FALSE)&lt;&gt;"",VLOOKUP($M71,'[2]OEM Group'!$B$6:$F$22,4,FALSE),"")</f>
        <v>Aravind Durai</v>
      </c>
      <c r="CH71" s="414" t="str">
        <f>IF(VLOOKUP($M71,'[2]OEM Group'!$B$6:$F$22,5,FALSE)&lt;&gt;"",VLOOKUP($M71,'[2]OEM Group'!$B$6:$F$22,5,FALSE),"")</f>
        <v>Purav Dagli</v>
      </c>
    </row>
    <row r="72" spans="2:86">
      <c r="B72" s="333">
        <v>14</v>
      </c>
      <c r="C72" s="30" t="s">
        <v>181</v>
      </c>
      <c r="D72" s="392" t="s">
        <v>110</v>
      </c>
      <c r="E72" s="33">
        <v>65</v>
      </c>
      <c r="F72" s="293" t="s">
        <v>181</v>
      </c>
      <c r="G72" s="393">
        <v>1</v>
      </c>
      <c r="H72" s="293" t="s">
        <v>691</v>
      </c>
      <c r="I72" s="325" t="s">
        <v>106</v>
      </c>
      <c r="J72" s="394">
        <v>3</v>
      </c>
      <c r="K72" s="394" t="s">
        <v>106</v>
      </c>
      <c r="L72" s="32">
        <v>1</v>
      </c>
      <c r="M72" s="168" t="s">
        <v>182</v>
      </c>
      <c r="N72" s="415">
        <v>65000</v>
      </c>
      <c r="O72" s="416">
        <v>55000</v>
      </c>
      <c r="P72" s="416">
        <v>49000</v>
      </c>
      <c r="Q72" s="417">
        <v>52000</v>
      </c>
      <c r="R72" s="417">
        <v>43000</v>
      </c>
      <c r="S72" s="417">
        <v>39000</v>
      </c>
      <c r="T72" s="418">
        <v>80</v>
      </c>
      <c r="U72" s="326">
        <f t="shared" si="8"/>
        <v>3920000</v>
      </c>
      <c r="V72" s="264">
        <f t="shared" si="9"/>
        <v>800000</v>
      </c>
      <c r="W72" s="419">
        <v>30000</v>
      </c>
      <c r="X72" s="420">
        <v>75000</v>
      </c>
      <c r="Y72" s="32"/>
      <c r="Z72" s="421">
        <v>0</v>
      </c>
      <c r="AA72" s="422"/>
      <c r="AB72" s="422">
        <v>0</v>
      </c>
      <c r="AC72" s="423">
        <v>0</v>
      </c>
      <c r="AD72" s="424">
        <v>0</v>
      </c>
      <c r="AE72" s="422"/>
      <c r="AF72" s="422">
        <v>0</v>
      </c>
      <c r="AG72" s="425">
        <v>0</v>
      </c>
      <c r="AH72" s="421">
        <v>0</v>
      </c>
      <c r="AI72" s="422"/>
      <c r="AJ72" s="422">
        <v>1</v>
      </c>
      <c r="AK72" s="425">
        <v>0</v>
      </c>
      <c r="AL72" s="421">
        <v>0</v>
      </c>
      <c r="AM72" s="422"/>
      <c r="AN72" s="422">
        <v>0</v>
      </c>
      <c r="AO72" s="423">
        <v>0</v>
      </c>
      <c r="AP72" s="424">
        <v>0</v>
      </c>
      <c r="AQ72" s="422"/>
      <c r="AR72" s="422">
        <v>0</v>
      </c>
      <c r="AS72" s="423">
        <v>0</v>
      </c>
      <c r="AT72" s="424">
        <v>0</v>
      </c>
      <c r="AU72" s="422"/>
      <c r="AV72" s="422">
        <v>0</v>
      </c>
      <c r="AW72" s="423">
        <v>0</v>
      </c>
      <c r="AX72" s="424">
        <v>0</v>
      </c>
      <c r="AY72" s="422"/>
      <c r="AZ72" s="422">
        <v>0</v>
      </c>
      <c r="BA72" s="423">
        <v>0</v>
      </c>
      <c r="BB72" s="424">
        <v>0</v>
      </c>
      <c r="BC72" s="422"/>
      <c r="BD72" s="422">
        <v>0</v>
      </c>
      <c r="BE72" s="425">
        <v>0</v>
      </c>
      <c r="BF72" s="421">
        <v>0</v>
      </c>
      <c r="BG72" s="422"/>
      <c r="BH72" s="422">
        <v>0</v>
      </c>
      <c r="BI72" s="425">
        <v>0</v>
      </c>
      <c r="BJ72" s="421">
        <v>0</v>
      </c>
      <c r="BK72" s="422"/>
      <c r="BL72" s="422">
        <v>0</v>
      </c>
      <c r="BM72" s="425">
        <v>0</v>
      </c>
      <c r="BN72" s="421">
        <v>0</v>
      </c>
      <c r="BO72" s="422"/>
      <c r="BP72" s="422">
        <v>0</v>
      </c>
      <c r="BQ72" s="423">
        <v>0</v>
      </c>
      <c r="BR72" s="424">
        <v>0</v>
      </c>
      <c r="BS72" s="422"/>
      <c r="BT72" s="422">
        <v>0</v>
      </c>
      <c r="BU72" s="425">
        <v>0</v>
      </c>
      <c r="BV72" s="326"/>
      <c r="BZ72" s="408">
        <f t="shared" ref="BZ72:BZ74" si="11">SUM(W72:X72)</f>
        <v>105000</v>
      </c>
      <c r="CA72" s="426">
        <f t="shared" si="10"/>
        <v>0</v>
      </c>
      <c r="CB72" s="427">
        <f t="shared" si="7"/>
        <v>1</v>
      </c>
      <c r="CC72" s="428">
        <f t="shared" si="7"/>
        <v>0</v>
      </c>
      <c r="CD72" s="412" t="str">
        <f t="shared" si="6"/>
        <v>Upfitting</v>
      </c>
      <c r="CE72" s="413" t="str">
        <f>IF(VLOOKUP($M72,'[2]OEM Group'!$B$6:$D$22,2,FALSE)&lt;&gt;0,VLOOKUP($M72,'[2]OEM Group'!$B$6:$D$22,2,FALSE),"")</f>
        <v>Unknown</v>
      </c>
      <c r="CF72" s="414" t="str">
        <f>IF(VLOOKUP($M72,'[2]OEM Group'!$B$6:$D$22,3,FALSE)&lt;&gt;0,VLOOKUP($M72,'[2]OEM Group'!$B$6:$D$22,3,FALSE),"")</f>
        <v/>
      </c>
      <c r="CG72" s="413" t="str">
        <f>IF(VLOOKUP($M72,'[2]OEM Group'!$B$6:$F$22,4,FALSE)&lt;&gt;"",VLOOKUP($M72,'[2]OEM Group'!$B$6:$F$22,4,FALSE),"")</f>
        <v>Rich Oas</v>
      </c>
      <c r="CH72" s="414" t="str">
        <f>IF(VLOOKUP($M72,'[2]OEM Group'!$B$6:$F$22,5,FALSE)&lt;&gt;"",VLOOKUP($M72,'[2]OEM Group'!$B$6:$F$22,5,FALSE),"")</f>
        <v>Aravind Durai</v>
      </c>
    </row>
    <row r="73" spans="2:86">
      <c r="B73" s="333">
        <v>3</v>
      </c>
      <c r="C73" s="30" t="s">
        <v>66</v>
      </c>
      <c r="D73" s="392" t="s">
        <v>103</v>
      </c>
      <c r="E73" s="33">
        <v>29</v>
      </c>
      <c r="F73" s="293" t="s">
        <v>142</v>
      </c>
      <c r="G73" s="393" t="s">
        <v>0</v>
      </c>
      <c r="J73" s="394">
        <v>1</v>
      </c>
      <c r="K73" s="394" t="s">
        <v>106</v>
      </c>
      <c r="M73" s="168" t="s">
        <v>143</v>
      </c>
      <c r="N73" s="415">
        <v>80000</v>
      </c>
      <c r="O73" s="416">
        <v>70000</v>
      </c>
      <c r="P73" s="416">
        <v>60000</v>
      </c>
      <c r="Q73" s="417">
        <v>0</v>
      </c>
      <c r="R73" s="417">
        <v>0</v>
      </c>
      <c r="S73" s="417">
        <v>0</v>
      </c>
      <c r="T73" s="418">
        <v>1</v>
      </c>
      <c r="U73" s="326">
        <f t="shared" si="8"/>
        <v>60000</v>
      </c>
      <c r="V73" s="264">
        <f t="shared" si="9"/>
        <v>60000</v>
      </c>
      <c r="W73" s="419">
        <v>0</v>
      </c>
      <c r="X73" s="420">
        <v>0</v>
      </c>
      <c r="Y73" s="32"/>
      <c r="Z73" s="421">
        <v>0</v>
      </c>
      <c r="AA73" s="422"/>
      <c r="AB73" s="422">
        <v>0</v>
      </c>
      <c r="AC73" s="423">
        <v>0</v>
      </c>
      <c r="AD73" s="424">
        <v>0</v>
      </c>
      <c r="AE73" s="422"/>
      <c r="AF73" s="422">
        <v>0</v>
      </c>
      <c r="AG73" s="425">
        <v>0</v>
      </c>
      <c r="AH73" s="421">
        <v>0</v>
      </c>
      <c r="AI73" s="422"/>
      <c r="AJ73" s="422">
        <v>0</v>
      </c>
      <c r="AK73" s="425">
        <v>0</v>
      </c>
      <c r="AL73" s="421">
        <v>0</v>
      </c>
      <c r="AM73" s="422"/>
      <c r="AN73" s="422">
        <v>0</v>
      </c>
      <c r="AO73" s="423">
        <v>0</v>
      </c>
      <c r="AP73" s="424">
        <v>0</v>
      </c>
      <c r="AQ73" s="422"/>
      <c r="AR73" s="422">
        <v>0</v>
      </c>
      <c r="AS73" s="423">
        <v>0</v>
      </c>
      <c r="AT73" s="424">
        <v>0</v>
      </c>
      <c r="AU73" s="422"/>
      <c r="AV73" s="422">
        <v>0</v>
      </c>
      <c r="AW73" s="423">
        <v>0</v>
      </c>
      <c r="AX73" s="424">
        <v>0</v>
      </c>
      <c r="AY73" s="422"/>
      <c r="AZ73" s="422">
        <v>0</v>
      </c>
      <c r="BA73" s="423">
        <v>0</v>
      </c>
      <c r="BB73" s="424">
        <v>0</v>
      </c>
      <c r="BC73" s="422"/>
      <c r="BD73" s="422">
        <v>0</v>
      </c>
      <c r="BE73" s="425">
        <v>0</v>
      </c>
      <c r="BF73" s="421">
        <v>0</v>
      </c>
      <c r="BG73" s="422"/>
      <c r="BH73" s="422">
        <v>0</v>
      </c>
      <c r="BI73" s="425">
        <v>0</v>
      </c>
      <c r="BJ73" s="421">
        <v>0</v>
      </c>
      <c r="BK73" s="422"/>
      <c r="BL73" s="422">
        <v>0</v>
      </c>
      <c r="BM73" s="425">
        <v>0</v>
      </c>
      <c r="BN73" s="421">
        <v>0</v>
      </c>
      <c r="BO73" s="422"/>
      <c r="BP73" s="422">
        <v>0</v>
      </c>
      <c r="BQ73" s="423">
        <v>0</v>
      </c>
      <c r="BR73" s="424">
        <v>0</v>
      </c>
      <c r="BS73" s="422"/>
      <c r="BT73" s="422">
        <v>0</v>
      </c>
      <c r="BU73" s="425">
        <v>0</v>
      </c>
      <c r="BV73" s="326"/>
      <c r="BZ73" s="408">
        <f t="shared" si="11"/>
        <v>0</v>
      </c>
      <c r="CA73" s="426">
        <f t="shared" si="10"/>
        <v>0</v>
      </c>
      <c r="CB73" s="427">
        <f t="shared" si="7"/>
        <v>0</v>
      </c>
      <c r="CC73" s="428">
        <f t="shared" si="7"/>
        <v>0</v>
      </c>
      <c r="CD73" s="412" t="str">
        <f t="shared" si="6"/>
        <v/>
      </c>
      <c r="CE73" s="413" t="str">
        <f>IF(VLOOKUP($M73,'[2]OEM Group'!$B$6:$D$22,2,FALSE)&lt;&gt;0,VLOOKUP($M73,'[2]OEM Group'!$B$6:$D$22,2,FALSE),"")</f>
        <v>Unknown</v>
      </c>
      <c r="CF73" s="414" t="str">
        <f>IF(VLOOKUP($M73,'[2]OEM Group'!$B$6:$D$22,3,FALSE)&lt;&gt;0,VLOOKUP($M73,'[2]OEM Group'!$B$6:$D$22,3,FALSE),"")</f>
        <v/>
      </c>
      <c r="CG73" s="413" t="str">
        <f>IF(VLOOKUP($M73,'[2]OEM Group'!$B$6:$F$22,4,FALSE)&lt;&gt;"",VLOOKUP($M73,'[2]OEM Group'!$B$6:$F$22,4,FALSE),"")</f>
        <v>Rich Oas</v>
      </c>
      <c r="CH73" s="414" t="str">
        <f>IF(VLOOKUP($M73,'[2]OEM Group'!$B$6:$F$22,5,FALSE)&lt;&gt;"",VLOOKUP($M73,'[2]OEM Group'!$B$6:$F$22,5,FALSE),"")</f>
        <v>Steve Toebes</v>
      </c>
    </row>
    <row r="74" spans="2:86" ht="16" thickBot="1">
      <c r="B74" s="28">
        <v>13</v>
      </c>
      <c r="C74" s="431" t="s">
        <v>88</v>
      </c>
      <c r="D74" s="432" t="s">
        <v>110</v>
      </c>
      <c r="E74" s="82">
        <v>63</v>
      </c>
      <c r="F74" s="4" t="s">
        <v>179</v>
      </c>
      <c r="G74" s="433" t="s">
        <v>0</v>
      </c>
      <c r="H74" s="4" t="s">
        <v>691</v>
      </c>
      <c r="I74" s="434"/>
      <c r="J74" s="435">
        <v>2</v>
      </c>
      <c r="K74" s="435" t="s">
        <v>106</v>
      </c>
      <c r="L74" s="63">
        <v>1</v>
      </c>
      <c r="M74" s="150" t="s">
        <v>143</v>
      </c>
      <c r="N74" s="436">
        <v>100000</v>
      </c>
      <c r="O74" s="437">
        <v>90000</v>
      </c>
      <c r="P74" s="437">
        <v>80000</v>
      </c>
      <c r="Q74" s="438">
        <v>0</v>
      </c>
      <c r="R74" s="438">
        <v>0</v>
      </c>
      <c r="S74" s="438">
        <v>0</v>
      </c>
      <c r="T74" s="439">
        <v>1</v>
      </c>
      <c r="U74" s="440">
        <f t="shared" si="8"/>
        <v>80000</v>
      </c>
      <c r="V74" s="441">
        <f t="shared" si="9"/>
        <v>80000</v>
      </c>
      <c r="W74" s="442">
        <v>0</v>
      </c>
      <c r="X74" s="443">
        <v>0</v>
      </c>
      <c r="Y74" s="63"/>
      <c r="Z74" s="444">
        <v>0</v>
      </c>
      <c r="AA74" s="445"/>
      <c r="AB74" s="445">
        <v>0</v>
      </c>
      <c r="AC74" s="446">
        <v>0</v>
      </c>
      <c r="AD74" s="447">
        <v>0</v>
      </c>
      <c r="AE74" s="445"/>
      <c r="AF74" s="445">
        <v>0</v>
      </c>
      <c r="AG74" s="448">
        <v>0</v>
      </c>
      <c r="AH74" s="444">
        <v>0</v>
      </c>
      <c r="AI74" s="445"/>
      <c r="AJ74" s="445">
        <v>0</v>
      </c>
      <c r="AK74" s="448">
        <v>0</v>
      </c>
      <c r="AL74" s="444">
        <v>0</v>
      </c>
      <c r="AM74" s="445"/>
      <c r="AN74" s="445">
        <v>0</v>
      </c>
      <c r="AO74" s="446">
        <v>0</v>
      </c>
      <c r="AP74" s="447">
        <v>0</v>
      </c>
      <c r="AQ74" s="445"/>
      <c r="AR74" s="445">
        <v>0</v>
      </c>
      <c r="AS74" s="446">
        <v>0</v>
      </c>
      <c r="AT74" s="447">
        <v>0</v>
      </c>
      <c r="AU74" s="445"/>
      <c r="AV74" s="445">
        <v>0</v>
      </c>
      <c r="AW74" s="446">
        <v>0</v>
      </c>
      <c r="AX74" s="447">
        <v>0</v>
      </c>
      <c r="AY74" s="445"/>
      <c r="AZ74" s="445">
        <v>0</v>
      </c>
      <c r="BA74" s="446">
        <v>0</v>
      </c>
      <c r="BB74" s="447">
        <v>0</v>
      </c>
      <c r="BC74" s="445"/>
      <c r="BD74" s="445">
        <v>0</v>
      </c>
      <c r="BE74" s="448">
        <v>0</v>
      </c>
      <c r="BF74" s="444">
        <v>0</v>
      </c>
      <c r="BG74" s="445"/>
      <c r="BH74" s="445">
        <v>0</v>
      </c>
      <c r="BI74" s="448">
        <v>0</v>
      </c>
      <c r="BJ74" s="444">
        <v>0</v>
      </c>
      <c r="BK74" s="445"/>
      <c r="BL74" s="445">
        <v>0</v>
      </c>
      <c r="BM74" s="448">
        <v>0</v>
      </c>
      <c r="BN74" s="444">
        <v>0</v>
      </c>
      <c r="BO74" s="445"/>
      <c r="BP74" s="445">
        <v>0</v>
      </c>
      <c r="BQ74" s="446">
        <v>0</v>
      </c>
      <c r="BR74" s="447">
        <v>0</v>
      </c>
      <c r="BS74" s="445"/>
      <c r="BT74" s="445">
        <v>0</v>
      </c>
      <c r="BU74" s="448">
        <v>0</v>
      </c>
      <c r="BV74" s="326"/>
      <c r="BZ74" s="408">
        <f t="shared" si="11"/>
        <v>0</v>
      </c>
      <c r="CA74" s="449">
        <f t="shared" si="10"/>
        <v>0</v>
      </c>
      <c r="CB74" s="450">
        <f t="shared" si="7"/>
        <v>0</v>
      </c>
      <c r="CC74" s="451">
        <f t="shared" si="7"/>
        <v>0</v>
      </c>
      <c r="CD74" s="412" t="str">
        <f t="shared" si="6"/>
        <v/>
      </c>
      <c r="CE74" s="413" t="str">
        <f>IF(VLOOKUP($M74,'[2]OEM Group'!$B$6:$D$22,2,FALSE)&lt;&gt;0,VLOOKUP($M74,'[2]OEM Group'!$B$6:$D$22,2,FALSE),"")</f>
        <v>Unknown</v>
      </c>
      <c r="CF74" s="414" t="str">
        <f>IF(VLOOKUP($M74,'[2]OEM Group'!$B$6:$D$22,3,FALSE)&lt;&gt;0,VLOOKUP($M74,'[2]OEM Group'!$B$6:$D$22,3,FALSE),"")</f>
        <v/>
      </c>
      <c r="CG74" s="452" t="str">
        <f>IF(VLOOKUP($M74,'[2]OEM Group'!$B$6:$F$22,4,FALSE)&lt;&gt;"",VLOOKUP($M74,'[2]OEM Group'!$B$6:$F$22,4,FALSE),"")</f>
        <v>Rich Oas</v>
      </c>
      <c r="CH74" s="453" t="str">
        <f>IF(VLOOKUP($M74,'[2]OEM Group'!$B$6:$F$22,5,FALSE)&lt;&gt;"",VLOOKUP($M74,'[2]OEM Group'!$B$6:$F$22,5,FALSE),"")</f>
        <v>Steve Toebes</v>
      </c>
    </row>
    <row r="75" spans="2:86" ht="16" thickBot="1">
      <c r="L75" s="454">
        <f>SUM(L7:L74)</f>
        <v>49</v>
      </c>
      <c r="W75" s="454">
        <f>SUM(W7:W74)</f>
        <v>1453000</v>
      </c>
      <c r="Z75" s="455">
        <f>SUM(Z7:Z74)</f>
        <v>0</v>
      </c>
      <c r="AA75" s="456"/>
      <c r="AB75" s="456">
        <f>SUM(AB7:AB74)</f>
        <v>4</v>
      </c>
      <c r="AC75" s="457">
        <f>SUM(AC7:AC74)</f>
        <v>0</v>
      </c>
      <c r="AD75" s="458">
        <f>SUM(AD7:AD74)</f>
        <v>0</v>
      </c>
      <c r="AE75" s="456"/>
      <c r="AF75" s="456">
        <f>SUM(AF7:AF74)</f>
        <v>2</v>
      </c>
      <c r="AG75" s="459">
        <f>SUM(AG7:AG74)</f>
        <v>0</v>
      </c>
      <c r="AH75" s="455">
        <f>SUM(AH7:AH74)</f>
        <v>0</v>
      </c>
      <c r="AI75" s="456"/>
      <c r="AJ75" s="456">
        <f>SUM(AJ7:AJ74)</f>
        <v>4</v>
      </c>
      <c r="AK75" s="459">
        <f>SUM(AK7:AK74)</f>
        <v>0</v>
      </c>
      <c r="AL75" s="455">
        <f>SUM(AL7:AL74)</f>
        <v>4</v>
      </c>
      <c r="AM75" s="456"/>
      <c r="AN75" s="456">
        <f>SUM(AN7:AN74)</f>
        <v>10</v>
      </c>
      <c r="AO75" s="457">
        <f>SUM(AO7:AO74)</f>
        <v>4</v>
      </c>
      <c r="AP75" s="458">
        <f>SUM(AP7:AP74)</f>
        <v>0</v>
      </c>
      <c r="AQ75" s="456"/>
      <c r="AR75" s="456">
        <f>SUM(AR7:AR74)</f>
        <v>1</v>
      </c>
      <c r="AS75" s="457">
        <f>SUM(AS7:AS74)</f>
        <v>0</v>
      </c>
      <c r="AT75" s="458">
        <f>SUM(AT7:AT74)</f>
        <v>2</v>
      </c>
      <c r="AU75" s="456"/>
      <c r="AV75" s="456">
        <f>SUM(AV7:AV74)</f>
        <v>2</v>
      </c>
      <c r="AW75" s="457">
        <f>SUM(AW7:AW74)</f>
        <v>2</v>
      </c>
      <c r="AX75" s="458">
        <f>SUM(AX7:AX74)</f>
        <v>1</v>
      </c>
      <c r="AY75" s="456"/>
      <c r="AZ75" s="456">
        <f>SUM(AZ7:AZ74)</f>
        <v>1</v>
      </c>
      <c r="BA75" s="457">
        <f>SUM(BA7:BA74)</f>
        <v>1</v>
      </c>
      <c r="BB75" s="458">
        <f>SUM(BB7:BB74)</f>
        <v>0</v>
      </c>
      <c r="BC75" s="456"/>
      <c r="BD75" s="456">
        <f>SUM(BD7:BD74)</f>
        <v>4</v>
      </c>
      <c r="BE75" s="459">
        <f>SUM(BE7:BE74)</f>
        <v>0</v>
      </c>
      <c r="BF75" s="455">
        <f>SUM(BF7:BF74)</f>
        <v>4</v>
      </c>
      <c r="BG75" s="456"/>
      <c r="BH75" s="456">
        <f>SUM(BH7:BH74)</f>
        <v>4</v>
      </c>
      <c r="BI75" s="459">
        <f>SUM(BI7:BI74)</f>
        <v>4</v>
      </c>
      <c r="BJ75" s="455">
        <f>SUM(BJ7:BJ74)</f>
        <v>6</v>
      </c>
      <c r="BK75" s="456"/>
      <c r="BL75" s="456">
        <f>SUM(BL7:BL74)</f>
        <v>6</v>
      </c>
      <c r="BM75" s="459">
        <f>SUM(BM7:BM74)</f>
        <v>6</v>
      </c>
      <c r="BN75" s="455">
        <f>SUM(BN7:BN74)</f>
        <v>21</v>
      </c>
      <c r="BO75" s="456"/>
      <c r="BP75" s="456">
        <f>SUM(BP7:BP74)</f>
        <v>21</v>
      </c>
      <c r="BQ75" s="459">
        <f>SUM(BQ7:BQ74)</f>
        <v>21</v>
      </c>
      <c r="BR75" s="455">
        <f>SUM(BR7:BR74)</f>
        <v>2</v>
      </c>
      <c r="BS75" s="456"/>
      <c r="BT75" s="456">
        <f>SUM(BT7:BT74)</f>
        <v>2</v>
      </c>
      <c r="BU75" s="459">
        <f>SUM(BU7:BU74)</f>
        <v>2</v>
      </c>
      <c r="BV75" s="327"/>
      <c r="CA75" s="460">
        <f>SUM(CA7:CA74)</f>
        <v>40</v>
      </c>
      <c r="CB75" s="461">
        <f>SUM(CB7:CB74)</f>
        <v>61</v>
      </c>
      <c r="CC75" s="462">
        <f>SUM(CC7:CC74)</f>
        <v>40</v>
      </c>
      <c r="CD75" s="463"/>
      <c r="CE75" s="464"/>
      <c r="CF75" s="465"/>
      <c r="CG75" s="464"/>
      <c r="CH75" s="465"/>
    </row>
    <row r="76" spans="2:86">
      <c r="B76" s="293" t="s">
        <v>694</v>
      </c>
      <c r="G76" s="325" t="s">
        <v>0</v>
      </c>
      <c r="U76" s="454">
        <f>SUM(U7:U74)</f>
        <v>26702900</v>
      </c>
      <c r="V76" s="454">
        <f>SUM(V7:V74)</f>
        <v>20002900</v>
      </c>
      <c r="W76" s="454"/>
      <c r="X76" s="454"/>
      <c r="Y76" s="454"/>
    </row>
    <row r="77" spans="2:86">
      <c r="B77" s="293" t="s">
        <v>695</v>
      </c>
      <c r="G77" s="293"/>
      <c r="I77" s="293"/>
      <c r="J77" s="293"/>
      <c r="K77" s="293"/>
      <c r="U77" s="293" t="s">
        <v>696</v>
      </c>
      <c r="V77" s="454">
        <f>U76-V76</f>
        <v>6700000</v>
      </c>
    </row>
    <row r="78" spans="2:86">
      <c r="C78" s="293" t="s">
        <v>697</v>
      </c>
      <c r="G78" s="293"/>
      <c r="H78" s="325"/>
      <c r="I78" s="293"/>
      <c r="J78" s="293"/>
      <c r="K78" s="293"/>
      <c r="R78" s="293"/>
      <c r="T78" s="293" t="s">
        <v>698</v>
      </c>
      <c r="U78" s="466">
        <f>V77/U76</f>
        <v>0.25090907729123052</v>
      </c>
    </row>
    <row r="80" spans="2:86">
      <c r="R80" s="293"/>
    </row>
    <row r="81" spans="2:48">
      <c r="B81" s="27" t="s">
        <v>699</v>
      </c>
      <c r="G81" s="293"/>
      <c r="H81" s="325"/>
      <c r="I81" s="293"/>
      <c r="J81" s="293"/>
      <c r="K81" s="293"/>
      <c r="N81" s="293"/>
      <c r="O81" s="293"/>
      <c r="P81" s="293"/>
      <c r="Q81" s="293"/>
      <c r="R81" s="293"/>
    </row>
    <row r="82" spans="2:48">
      <c r="B82" s="64">
        <v>16</v>
      </c>
      <c r="C82" s="35" t="s">
        <v>700</v>
      </c>
      <c r="D82" s="36" t="s">
        <v>110</v>
      </c>
      <c r="E82" s="290" t="s">
        <v>701</v>
      </c>
      <c r="F82" s="348"/>
      <c r="G82" s="347"/>
      <c r="H82" s="467"/>
      <c r="I82" s="293"/>
      <c r="J82" s="293"/>
      <c r="K82" s="293"/>
      <c r="N82" s="293"/>
      <c r="O82" s="293"/>
      <c r="P82" s="293"/>
      <c r="Q82" s="293"/>
      <c r="R82" s="293"/>
      <c r="AV82" s="293" t="s">
        <v>0</v>
      </c>
    </row>
    <row r="83" spans="2:48">
      <c r="N83" s="293"/>
      <c r="O83" s="293"/>
      <c r="P83" s="293"/>
      <c r="Q83" s="293"/>
      <c r="R83" s="293"/>
    </row>
    <row r="84" spans="2:48">
      <c r="G84" s="293"/>
      <c r="H84" s="325"/>
      <c r="I84" s="293"/>
      <c r="J84" s="293"/>
      <c r="K84" s="293"/>
      <c r="N84" s="293"/>
      <c r="O84" s="293"/>
      <c r="P84" s="293"/>
      <c r="Q84" s="293"/>
      <c r="R84" s="293"/>
    </row>
    <row r="85" spans="2:48">
      <c r="B85" s="27" t="s">
        <v>702</v>
      </c>
      <c r="G85" s="293"/>
      <c r="H85" s="325"/>
      <c r="I85" s="293"/>
      <c r="J85" s="293"/>
      <c r="K85" s="293"/>
      <c r="N85" s="293"/>
      <c r="O85" s="293"/>
      <c r="P85" s="293"/>
      <c r="Q85" s="293"/>
      <c r="R85" s="293"/>
    </row>
    <row r="86" spans="2:48">
      <c r="B86" s="31"/>
      <c r="C86" s="468"/>
      <c r="D86" s="289" t="s">
        <v>703</v>
      </c>
      <c r="E86" s="290"/>
      <c r="F86" s="291"/>
      <c r="G86" s="291"/>
      <c r="H86" s="34" t="s">
        <v>704</v>
      </c>
      <c r="N86" s="293"/>
      <c r="O86" s="293"/>
      <c r="P86" s="293"/>
      <c r="Q86" s="293"/>
      <c r="R86" s="293"/>
    </row>
    <row r="87" spans="2:48">
      <c r="B87" s="183"/>
      <c r="C87" s="150"/>
      <c r="D87" s="469" t="s">
        <v>705</v>
      </c>
      <c r="E87" s="431" t="s">
        <v>706</v>
      </c>
      <c r="F87" s="470" t="s">
        <v>707</v>
      </c>
      <c r="G87" s="36" t="s">
        <v>708</v>
      </c>
      <c r="H87" s="471" t="s">
        <v>709</v>
      </c>
      <c r="N87" s="293"/>
      <c r="S87" s="326"/>
    </row>
    <row r="88" spans="2:48">
      <c r="B88" s="472" t="s">
        <v>50</v>
      </c>
      <c r="C88" s="227"/>
      <c r="D88" s="406">
        <v>4</v>
      </c>
      <c r="E88" s="404">
        <v>4</v>
      </c>
      <c r="F88" s="473">
        <v>20</v>
      </c>
      <c r="G88" s="474">
        <f>D88*E88*F88</f>
        <v>320</v>
      </c>
      <c r="H88" s="475">
        <f>G88*T37</f>
        <v>384000</v>
      </c>
      <c r="M88" s="454" t="s">
        <v>0</v>
      </c>
      <c r="N88" s="293"/>
      <c r="S88" s="326"/>
    </row>
    <row r="89" spans="2:48">
      <c r="B89" s="476" t="s">
        <v>151</v>
      </c>
      <c r="C89" s="168"/>
      <c r="D89" s="424">
        <v>2</v>
      </c>
      <c r="E89" s="422">
        <v>4</v>
      </c>
      <c r="F89" s="477">
        <v>8</v>
      </c>
      <c r="G89" s="478">
        <f>D89*E89*F89</f>
        <v>64</v>
      </c>
      <c r="H89" s="479">
        <f>G89*T42</f>
        <v>640</v>
      </c>
      <c r="S89" s="326"/>
    </row>
    <row r="90" spans="2:48">
      <c r="B90" s="476" t="s">
        <v>150</v>
      </c>
      <c r="C90" s="168"/>
      <c r="D90" s="424">
        <v>2</v>
      </c>
      <c r="E90" s="422">
        <v>2</v>
      </c>
      <c r="F90" s="477">
        <v>8</v>
      </c>
      <c r="G90" s="478">
        <f>D90*E90*F90</f>
        <v>32</v>
      </c>
      <c r="H90" s="479">
        <f>G90*T43</f>
        <v>64</v>
      </c>
      <c r="S90" s="326"/>
    </row>
    <row r="91" spans="2:48">
      <c r="B91" s="480" t="s">
        <v>7</v>
      </c>
      <c r="C91" s="150"/>
      <c r="D91" s="481">
        <v>1</v>
      </c>
      <c r="E91" s="482">
        <v>1</v>
      </c>
      <c r="F91" s="483">
        <v>7</v>
      </c>
      <c r="G91" s="484">
        <f>D91*E91*F91</f>
        <v>7</v>
      </c>
      <c r="H91" s="485">
        <f>G91*T39</f>
        <v>140</v>
      </c>
      <c r="S91" s="326"/>
    </row>
    <row r="92" spans="2:48">
      <c r="E92" s="40" t="s">
        <v>0</v>
      </c>
      <c r="G92" s="293"/>
      <c r="H92" s="325"/>
      <c r="I92" s="293"/>
      <c r="J92" s="293"/>
      <c r="K92" s="293"/>
    </row>
    <row r="93" spans="2:48">
      <c r="E93" s="293"/>
      <c r="G93" s="293"/>
      <c r="H93" s="325"/>
      <c r="I93" s="293"/>
      <c r="J93" s="293"/>
      <c r="K93" s="293"/>
      <c r="V93" s="326"/>
    </row>
    <row r="94" spans="2:48">
      <c r="E94" s="325" t="s">
        <v>0</v>
      </c>
      <c r="G94" s="293"/>
      <c r="H94" s="325"/>
      <c r="I94" s="293"/>
      <c r="J94" s="293"/>
      <c r="K94" s="293"/>
    </row>
    <row r="95" spans="2:48">
      <c r="G95" s="293"/>
      <c r="H95" s="325"/>
      <c r="I95" s="293"/>
      <c r="J95" s="293"/>
      <c r="K95" s="293"/>
      <c r="R95" s="293"/>
    </row>
    <row r="96" spans="2:48">
      <c r="B96" s="27" t="s">
        <v>0</v>
      </c>
      <c r="C96" s="366" t="s">
        <v>710</v>
      </c>
      <c r="D96" s="431"/>
      <c r="E96" s="434"/>
      <c r="F96" s="4"/>
      <c r="G96" s="4"/>
      <c r="H96" s="325"/>
      <c r="I96" s="293"/>
      <c r="J96" s="293"/>
      <c r="K96" s="293"/>
      <c r="R96" s="293"/>
    </row>
    <row r="97" spans="1:18">
      <c r="C97" s="486" t="s">
        <v>711</v>
      </c>
      <c r="D97" s="40" t="s">
        <v>712</v>
      </c>
      <c r="G97" s="293"/>
      <c r="H97" s="325"/>
      <c r="I97" s="293"/>
      <c r="J97" s="293"/>
      <c r="K97" s="293"/>
      <c r="R97" s="293"/>
    </row>
    <row r="98" spans="1:18">
      <c r="D98" s="40" t="s">
        <v>713</v>
      </c>
      <c r="G98" s="293"/>
      <c r="H98" s="325"/>
      <c r="I98" s="293"/>
      <c r="J98" s="293"/>
      <c r="K98" s="293"/>
      <c r="R98" s="293"/>
    </row>
    <row r="99" spans="1:18">
      <c r="D99" s="40" t="s">
        <v>714</v>
      </c>
      <c r="G99" s="293"/>
      <c r="H99" s="325"/>
      <c r="I99" s="293"/>
      <c r="J99" s="293"/>
      <c r="K99" s="293"/>
      <c r="R99" s="293"/>
    </row>
    <row r="100" spans="1:18">
      <c r="D100" s="40" t="s">
        <v>715</v>
      </c>
      <c r="G100" s="293"/>
      <c r="H100" s="325"/>
      <c r="I100" s="293"/>
      <c r="J100" s="293"/>
      <c r="K100" s="293"/>
      <c r="R100" s="293"/>
    </row>
    <row r="101" spans="1:18">
      <c r="D101" s="40" t="s">
        <v>716</v>
      </c>
    </row>
    <row r="104" spans="1:18">
      <c r="A104" s="293" t="s">
        <v>0</v>
      </c>
    </row>
  </sheetData>
  <mergeCells count="29">
    <mergeCell ref="CA5:CC5"/>
    <mergeCell ref="CE5:CF5"/>
    <mergeCell ref="CG5:CH5"/>
    <mergeCell ref="AX5:BA5"/>
    <mergeCell ref="BB5:BE5"/>
    <mergeCell ref="BF5:BI5"/>
    <mergeCell ref="BJ5:BM5"/>
    <mergeCell ref="BN5:BQ5"/>
    <mergeCell ref="BR5:BU5"/>
    <mergeCell ref="AL4:BE4"/>
    <mergeCell ref="BF4:BI4"/>
    <mergeCell ref="BJ4:BM4"/>
    <mergeCell ref="BN4:BU4"/>
    <mergeCell ref="Z5:AC5"/>
    <mergeCell ref="AD5:AG5"/>
    <mergeCell ref="AH5:AK5"/>
    <mergeCell ref="AL5:AO5"/>
    <mergeCell ref="AP5:AS5"/>
    <mergeCell ref="AT5:AW5"/>
    <mergeCell ref="G3:M3"/>
    <mergeCell ref="N3:V3"/>
    <mergeCell ref="W3:BU3"/>
    <mergeCell ref="B4:D4"/>
    <mergeCell ref="E4:F4"/>
    <mergeCell ref="N4:P4"/>
    <mergeCell ref="Q4:S4"/>
    <mergeCell ref="T4:V4"/>
    <mergeCell ref="Z4:AG4"/>
    <mergeCell ref="AH4:AK4"/>
  </mergeCells>
  <dataValidations count="2">
    <dataValidation type="list" allowBlank="1" showInputMessage="1" showErrorMessage="1" sqref="AA7:AA74 BO7:BO74 AE7:AE74 AI7:AI74 AM7:AM74 AQ7:AQ74 AU7:AU74 AY7:AY74 BC7:BC74 BG7:BG74 BK7:BK74 BS7:BS74" xr:uid="{389EAB34-A26B-47C4-B905-AB33212DD04F}">
      <formula1>"Not started, In design, Ready to build, In build, Shipped, Completed"</formula1>
    </dataValidation>
    <dataValidation type="list" allowBlank="1" showInputMessage="1" showErrorMessage="1" sqref="M74" xr:uid="{8ED467EA-B9CF-40D7-89BF-CB9046202A85}">
      <formula1>$B$7:$B$23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2]!Sort_by_OEM_Group">
                <anchor moveWithCells="1" sizeWithCells="1">
                  <from>
                    <xdr:col>0</xdr:col>
                    <xdr:colOff>63500</xdr:colOff>
                    <xdr:row>2</xdr:row>
                    <xdr:rowOff>101600</xdr:rowOff>
                  </from>
                  <to>
                    <xdr:col>0</xdr:col>
                    <xdr:colOff>977900</xdr:colOff>
                    <xdr:row>4</xdr:row>
                    <xdr:rowOff>152400</xdr:rowOff>
                  </to>
                </anchor>
              </controlPr>
            </control>
          </mc:Choice>
        </mc:AlternateContent>
        <mc:AlternateContent xmlns:mc="http://schemas.openxmlformats.org/markup-compatibility/2006">
          <mc:Choice Requires="x14">
            <control shapeId="5122" r:id="rId5" name="Button 2">
              <controlPr defaultSize="0" print="0" autoFill="0" autoPict="0" macro="[2]!Sort_by_Cell_Number">
                <anchor moveWithCells="1" sizeWithCells="1">
                  <from>
                    <xdr:col>0</xdr:col>
                    <xdr:colOff>63500</xdr:colOff>
                    <xdr:row>5</xdr:row>
                    <xdr:rowOff>101600</xdr:rowOff>
                  </from>
                  <to>
                    <xdr:col>0</xdr:col>
                    <xdr:colOff>977900</xdr:colOff>
                    <xdr:row>7</xdr:row>
                    <xdr:rowOff>152400</xdr:rowOff>
                  </to>
                </anchor>
              </controlPr>
            </control>
          </mc:Choice>
        </mc:AlternateContent>
        <mc:AlternateContent xmlns:mc="http://schemas.openxmlformats.org/markup-compatibility/2006">
          <mc:Choice Requires="x14">
            <control shapeId="5123" r:id="rId6" name="Button 3">
              <controlPr defaultSize="0" print="0" autoFill="0" autoPict="0" macro="[2]!Sort_by_Cell_Name">
                <anchor moveWithCells="1" sizeWithCells="1">
                  <from>
                    <xdr:col>0</xdr:col>
                    <xdr:colOff>63500</xdr:colOff>
                    <xdr:row>8</xdr:row>
                    <xdr:rowOff>101600</xdr:rowOff>
                  </from>
                  <to>
                    <xdr:col>0</xdr:col>
                    <xdr:colOff>977900</xdr:colOff>
                    <xdr:row>10</xdr:row>
                    <xdr:rowOff>152400</xdr:rowOff>
                  </to>
                </anchor>
              </controlPr>
            </control>
          </mc:Choice>
        </mc:AlternateContent>
        <mc:AlternateContent xmlns:mc="http://schemas.openxmlformats.org/markup-compatibility/2006">
          <mc:Choice Requires="x14">
            <control shapeId="5124" r:id="rId7" name="Button 4">
              <controlPr defaultSize="0" print="0" autoFill="0" autoPict="0" macro="[2]!Column_Hide_Flags_OEM">
                <anchor moveWithCells="1" sizeWithCells="1">
                  <from>
                    <xdr:col>0</xdr:col>
                    <xdr:colOff>63500</xdr:colOff>
                    <xdr:row>15</xdr:row>
                    <xdr:rowOff>101600</xdr:rowOff>
                  </from>
                  <to>
                    <xdr:col>0</xdr:col>
                    <xdr:colOff>977900</xdr:colOff>
                    <xdr:row>17</xdr:row>
                    <xdr:rowOff>152400</xdr:rowOff>
                  </to>
                </anchor>
              </controlPr>
            </control>
          </mc:Choice>
        </mc:AlternateContent>
        <mc:AlternateContent xmlns:mc="http://schemas.openxmlformats.org/markup-compatibility/2006">
          <mc:Choice Requires="x14">
            <control shapeId="5125" r:id="rId8" name="Button 5">
              <controlPr defaultSize="0" print="0" autoFill="0" autoPict="0" macro="[2]!Column_Unhide_Flags_OEM">
                <anchor moveWithCells="1" sizeWithCells="1">
                  <from>
                    <xdr:col>0</xdr:col>
                    <xdr:colOff>63500</xdr:colOff>
                    <xdr:row>18</xdr:row>
                    <xdr:rowOff>50800</xdr:rowOff>
                  </from>
                  <to>
                    <xdr:col>0</xdr:col>
                    <xdr:colOff>977900</xdr:colOff>
                    <xdr:row>20</xdr:row>
                    <xdr:rowOff>88900</xdr:rowOff>
                  </to>
                </anchor>
              </controlPr>
            </control>
          </mc:Choice>
        </mc:AlternateContent>
        <mc:AlternateContent xmlns:mc="http://schemas.openxmlformats.org/markup-compatibility/2006">
          <mc:Choice Requires="x14">
            <control shapeId="5126" r:id="rId9" name="Button 6">
              <controlPr defaultSize="0" print="0" autoFill="0" autoPict="0" macro="[2]!Column_Hide_Costing">
                <anchor moveWithCells="1" sizeWithCells="1">
                  <from>
                    <xdr:col>0</xdr:col>
                    <xdr:colOff>63500</xdr:colOff>
                    <xdr:row>22</xdr:row>
                    <xdr:rowOff>12700</xdr:rowOff>
                  </from>
                  <to>
                    <xdr:col>0</xdr:col>
                    <xdr:colOff>977900</xdr:colOff>
                    <xdr:row>24</xdr:row>
                    <xdr:rowOff>50800</xdr:rowOff>
                  </to>
                </anchor>
              </controlPr>
            </control>
          </mc:Choice>
        </mc:AlternateContent>
        <mc:AlternateContent xmlns:mc="http://schemas.openxmlformats.org/markup-compatibility/2006">
          <mc:Choice Requires="x14">
            <control shapeId="5127" r:id="rId10" name="Button 7">
              <controlPr defaultSize="0" print="0" autoFill="0" autoPict="0" macro="[2]!Column_Unhide_Costing">
                <anchor moveWithCells="1" sizeWithCells="1">
                  <from>
                    <xdr:col>0</xdr:col>
                    <xdr:colOff>63500</xdr:colOff>
                    <xdr:row>24</xdr:row>
                    <xdr:rowOff>152400</xdr:rowOff>
                  </from>
                  <to>
                    <xdr:col>0</xdr:col>
                    <xdr:colOff>977900</xdr:colOff>
                    <xdr:row>26</xdr:row>
                    <xdr:rowOff>177800</xdr:rowOff>
                  </to>
                </anchor>
              </controlPr>
            </control>
          </mc:Choice>
        </mc:AlternateContent>
        <mc:AlternateContent xmlns:mc="http://schemas.openxmlformats.org/markup-compatibility/2006">
          <mc:Choice Requires="x14">
            <control shapeId="5128" r:id="rId11" name="Button 8">
              <controlPr defaultSize="0" print="0" autoFill="0" autoPict="0" macro="[2]!Column_Hide_Beta_Plan">
                <anchor moveWithCells="1" sizeWithCells="1">
                  <from>
                    <xdr:col>0</xdr:col>
                    <xdr:colOff>63500</xdr:colOff>
                    <xdr:row>28</xdr:row>
                    <xdr:rowOff>152400</xdr:rowOff>
                  </from>
                  <to>
                    <xdr:col>0</xdr:col>
                    <xdr:colOff>977900</xdr:colOff>
                    <xdr:row>30</xdr:row>
                    <xdr:rowOff>177800</xdr:rowOff>
                  </to>
                </anchor>
              </controlPr>
            </control>
          </mc:Choice>
        </mc:AlternateContent>
        <mc:AlternateContent xmlns:mc="http://schemas.openxmlformats.org/markup-compatibility/2006">
          <mc:Choice Requires="x14">
            <control shapeId="5129" r:id="rId12" name="Button 9">
              <controlPr defaultSize="0" print="0" autoFill="0" autoPict="0" macro="[2]!Column_Unhide_Beta_Plan">
                <anchor moveWithCells="1" sizeWithCells="1">
                  <from>
                    <xdr:col>0</xdr:col>
                    <xdr:colOff>63500</xdr:colOff>
                    <xdr:row>31</xdr:row>
                    <xdr:rowOff>88900</xdr:rowOff>
                  </from>
                  <to>
                    <xdr:col>0</xdr:col>
                    <xdr:colOff>977900</xdr:colOff>
                    <xdr:row>33</xdr:row>
                    <xdr:rowOff>127000</xdr:rowOff>
                  </to>
                </anchor>
              </controlPr>
            </control>
          </mc:Choice>
        </mc:AlternateContent>
        <mc:AlternateContent xmlns:mc="http://schemas.openxmlformats.org/markup-compatibility/2006">
          <mc:Choice Requires="x14">
            <control shapeId="5130" r:id="rId13" name="Button 10">
              <controlPr defaultSize="0" print="0" autoFill="0" autoPict="0" macro="[2]!Sort_by_Risk_Factor">
                <anchor moveWithCells="1" sizeWithCells="1">
                  <from>
                    <xdr:col>0</xdr:col>
                    <xdr:colOff>63500</xdr:colOff>
                    <xdr:row>11</xdr:row>
                    <xdr:rowOff>101600</xdr:rowOff>
                  </from>
                  <to>
                    <xdr:col>0</xdr:col>
                    <xdr:colOff>977900</xdr:colOff>
                    <xdr:row>13</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62B7CAA-571E-4320-9F00-992527A1259F}">
          <x14:formula1>
            <xm:f>'[RB Equipment List_11_09_2019.xlsm]OEM Group'!#REF!</xm:f>
          </x14:formula1>
          <xm:sqref>M7:M72</xm:sqref>
        </x14:dataValidation>
        <x14:dataValidation type="list" allowBlank="1" showInputMessage="1" showErrorMessage="1" xr:uid="{FF6A84AE-13D8-4A75-B03B-868DEF5FC354}">
          <x14:formula1>
            <xm:f>'[RB Equipment List_11_09_2019.xlsm]Module'!#REF!</xm:f>
          </x14:formula1>
          <xm:sqref>Z5:BU5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81F3C-5D6E-4B01-9AC7-0A6EE366CEDE}">
  <dimension ref="B1:AI158"/>
  <sheetViews>
    <sheetView showGridLines="0" zoomScale="55" zoomScaleNormal="55" workbookViewId="0">
      <pane ySplit="4" topLeftCell="A95" activePane="bottomLeft" state="frozen"/>
      <selection pane="bottomLeft" activeCell="C148" sqref="C148"/>
    </sheetView>
  </sheetViews>
  <sheetFormatPr defaultColWidth="10.6640625" defaultRowHeight="15.5"/>
  <cols>
    <col min="1" max="1" width="1.6640625" style="293" customWidth="1"/>
    <col min="2" max="2" width="23.83203125" style="293" customWidth="1"/>
    <col min="3" max="3" width="22.33203125" style="293" customWidth="1"/>
    <col min="4" max="4" width="9.33203125" style="293" customWidth="1"/>
    <col min="5" max="5" width="11.08203125" style="293" customWidth="1"/>
    <col min="6" max="14" width="8.5" style="293" customWidth="1"/>
    <col min="15" max="15" width="2.83203125" style="293" customWidth="1"/>
    <col min="16" max="16" width="10.33203125" style="293" customWidth="1"/>
    <col min="17" max="25" width="8.5" style="293" customWidth="1"/>
    <col min="26" max="26" width="10.5" style="487" customWidth="1"/>
    <col min="27" max="28" width="10.5" style="488" customWidth="1"/>
    <col min="29" max="29" width="10.5" style="489" customWidth="1"/>
    <col min="30" max="30" width="10.5" style="487" customWidth="1"/>
    <col min="31" max="32" width="10.5" style="488" customWidth="1"/>
    <col min="33" max="33" width="10.5" style="489" customWidth="1"/>
    <col min="34" max="34" width="15.9140625" style="293" bestFit="1" customWidth="1"/>
    <col min="35" max="16384" width="10.6640625" style="293"/>
  </cols>
  <sheetData>
    <row r="1" spans="2:35">
      <c r="AH1" s="490" t="str">
        <f>[3]Model_Flow_Rates!B6&amp;" Index"</f>
        <v>Scenario 1 Index</v>
      </c>
      <c r="AI1" s="491">
        <v>6</v>
      </c>
    </row>
    <row r="2" spans="2:35">
      <c r="B2" s="293" t="s">
        <v>717</v>
      </c>
      <c r="C2" s="492" t="s">
        <v>718</v>
      </c>
      <c r="E2" s="493" t="str">
        <f>[3]Model_Flow_Rates!B6&amp;" modules"</f>
        <v>Scenario 1 modules</v>
      </c>
      <c r="F2" s="494"/>
      <c r="G2" s="494"/>
      <c r="H2" s="494"/>
      <c r="I2" s="494"/>
      <c r="J2" s="494"/>
      <c r="K2" s="494"/>
      <c r="L2" s="494"/>
      <c r="M2" s="494"/>
      <c r="N2" s="495"/>
      <c r="P2" s="493" t="str">
        <f>[3]Model_Flow_Rates!C6&amp;" modules"</f>
        <v>Scenario 2 modules</v>
      </c>
      <c r="Q2" s="494"/>
      <c r="R2" s="494"/>
      <c r="S2" s="494"/>
      <c r="T2" s="494"/>
      <c r="U2" s="494"/>
      <c r="V2" s="494"/>
      <c r="W2" s="494"/>
      <c r="X2" s="494"/>
      <c r="Y2" s="495"/>
      <c r="AH2" s="490" t="str">
        <f>[3]Model_Flow_Rates!C6&amp;" Index"</f>
        <v>Scenario 2 Index</v>
      </c>
      <c r="AI2" s="491">
        <v>7</v>
      </c>
    </row>
    <row r="3" spans="2:35">
      <c r="B3" s="27" t="s">
        <v>0</v>
      </c>
      <c r="C3" s="27"/>
      <c r="D3" s="27"/>
      <c r="E3" s="28">
        <v>1</v>
      </c>
      <c r="F3" s="366">
        <v>2</v>
      </c>
      <c r="G3" s="366">
        <v>3</v>
      </c>
      <c r="H3" s="366">
        <v>4</v>
      </c>
      <c r="I3" s="366">
        <v>5</v>
      </c>
      <c r="J3" s="366">
        <v>6</v>
      </c>
      <c r="K3" s="366">
        <v>7</v>
      </c>
      <c r="L3" s="366">
        <v>8</v>
      </c>
      <c r="M3" s="366">
        <v>9</v>
      </c>
      <c r="N3" s="44">
        <v>10</v>
      </c>
      <c r="O3" s="27"/>
      <c r="P3" s="28">
        <v>1</v>
      </c>
      <c r="Q3" s="366">
        <v>2</v>
      </c>
      <c r="R3" s="366">
        <v>3</v>
      </c>
      <c r="S3" s="366">
        <v>4</v>
      </c>
      <c r="T3" s="366">
        <v>5</v>
      </c>
      <c r="U3" s="366">
        <v>6</v>
      </c>
      <c r="V3" s="366">
        <v>7</v>
      </c>
      <c r="W3" s="366">
        <v>8</v>
      </c>
      <c r="X3" s="366">
        <v>9</v>
      </c>
      <c r="Y3" s="366">
        <v>10</v>
      </c>
      <c r="Z3" s="496" t="str">
        <f>[3]Model_Flow_Rates!B6&amp;" ("&amp;[3]Model_Flow_Rates!B7&amp;")"</f>
        <v>Scenario 1 (Planned throughput)</v>
      </c>
      <c r="AD3" s="496" t="str">
        <f>[3]Model_Flow_Rates!C6&amp;" ("&amp;[3]Model_Flow_Rates!C7&amp;")"</f>
        <v>Scenario 2 (Maximize building utilization)</v>
      </c>
    </row>
    <row r="4" spans="2:35">
      <c r="Z4" s="487" t="s">
        <v>719</v>
      </c>
      <c r="AA4" s="488" t="s">
        <v>720</v>
      </c>
      <c r="AB4" s="488" t="s">
        <v>721</v>
      </c>
      <c r="AC4" s="489" t="s">
        <v>722</v>
      </c>
      <c r="AD4" s="487" t="s">
        <v>719</v>
      </c>
      <c r="AE4" s="488" t="s">
        <v>720</v>
      </c>
      <c r="AF4" s="488" t="s">
        <v>721</v>
      </c>
      <c r="AG4" s="489" t="s">
        <v>722</v>
      </c>
    </row>
    <row r="5" spans="2:35">
      <c r="B5" s="27" t="s">
        <v>75</v>
      </c>
      <c r="C5" s="40" t="s">
        <v>723</v>
      </c>
      <c r="D5" s="40"/>
      <c r="E5" s="497" t="s">
        <v>724</v>
      </c>
      <c r="O5" s="7" t="s">
        <v>0</v>
      </c>
      <c r="P5" s="497" t="s">
        <v>724</v>
      </c>
      <c r="Z5" s="487" t="str">
        <f>IFERROR(VLOOKUP($C5,[3]RoboFS!$K:$Q,$AI$1,FALSE),"")</f>
        <v/>
      </c>
      <c r="AD5" s="487" t="str">
        <f>IFERROR(VLOOKUP($C5,[3]RoboFS!$K:$Q,$AI$2,FALSE),"")</f>
        <v/>
      </c>
    </row>
    <row r="6" spans="2:35">
      <c r="B6" s="27"/>
      <c r="C6" s="293" t="s">
        <v>725</v>
      </c>
      <c r="E6" s="422">
        <v>1</v>
      </c>
      <c r="O6" s="326"/>
      <c r="P6" s="422">
        <v>1</v>
      </c>
      <c r="Z6" s="487" t="str">
        <f>IFERROR(VLOOKUP($C6,[3]RoboFS!$K:$Q,$AI$1,FALSE),"")</f>
        <v/>
      </c>
      <c r="AD6" s="487" t="str">
        <f>IFERROR(VLOOKUP($C6,[3]RoboFS!$K:$Q,$AI$2,FALSE),"")</f>
        <v/>
      </c>
    </row>
    <row r="7" spans="2:35">
      <c r="B7" s="27"/>
      <c r="D7" s="293" t="s">
        <v>0</v>
      </c>
      <c r="E7" s="325" t="s">
        <v>0</v>
      </c>
      <c r="P7" s="325" t="s">
        <v>0</v>
      </c>
      <c r="Z7" s="487" t="str">
        <f>IFERROR(VLOOKUP($C7,[3]RoboFS!$K:$Q,$AI$1,FALSE),"")</f>
        <v/>
      </c>
      <c r="AD7" s="487" t="str">
        <f>IFERROR(VLOOKUP($C7,[3]RoboFS!$K:$Q,$AI$2,FALSE),"")</f>
        <v/>
      </c>
    </row>
    <row r="8" spans="2:35">
      <c r="B8" s="30" t="s">
        <v>726</v>
      </c>
      <c r="C8" s="492" t="s">
        <v>160</v>
      </c>
      <c r="E8" s="326">
        <f>IFERROR(VLOOKUP($C8,[3]RoboFS!$K:$Q,$AI$1,FALSE),"")</f>
        <v>50</v>
      </c>
      <c r="O8" s="326"/>
      <c r="P8" s="326">
        <f>IFERROR(VLOOKUP($C8,[3]RoboFS!$K:$Q,$AI$2,FALSE),"")</f>
        <v>60</v>
      </c>
      <c r="Z8" s="487">
        <f>IFERROR(VLOOKUP($C8,[3]RoboFS!$K:$Q,$AI$1,FALSE),"")</f>
        <v>50</v>
      </c>
      <c r="AA8" s="488">
        <f t="shared" ref="AA8:AA15" si="0">SUMPRODUCT(E8:N8,E$6:N$6)</f>
        <v>50</v>
      </c>
      <c r="AB8" s="488">
        <f t="shared" ref="AB8:AB15" si="1">IF(Z8&lt;&gt;"",MAX(Z8-AA8,0),"")</f>
        <v>0</v>
      </c>
      <c r="AC8" s="489">
        <f t="shared" ref="AC8:AC15" si="2">IF(Z8&lt;&gt;"",MAX(AA8-Z8,0),"")</f>
        <v>0</v>
      </c>
      <c r="AD8" s="487">
        <f>IFERROR(VLOOKUP($C8,[3]RoboFS!$K:$Q,$AI$2,FALSE),"")</f>
        <v>60</v>
      </c>
      <c r="AE8" s="488">
        <f>SUMPRODUCT(P8:Y8,P$6:Y$6)</f>
        <v>60</v>
      </c>
      <c r="AF8" s="488">
        <f t="shared" ref="AF8:AF15" si="3">IF(AD8&lt;&gt;"",MAX(AD8-AE8,0),"")</f>
        <v>0</v>
      </c>
      <c r="AG8" s="489">
        <f t="shared" ref="AG8:AG15" si="4">IF(AD8&lt;&gt;"",MAX(AE8-AD8,0),"")</f>
        <v>0</v>
      </c>
      <c r="AH8" s="293" t="s">
        <v>727</v>
      </c>
    </row>
    <row r="9" spans="2:35">
      <c r="B9" s="27" t="s">
        <v>0</v>
      </c>
      <c r="C9" s="293" t="s">
        <v>108</v>
      </c>
      <c r="E9" s="326">
        <f>ROUND(E8*$F$17,0)</f>
        <v>13</v>
      </c>
      <c r="O9" s="326"/>
      <c r="P9" s="326">
        <f>ROUND(P8*$F$17,0)</f>
        <v>15</v>
      </c>
      <c r="Z9" s="487" t="str">
        <f>IFERROR(VLOOKUP($C9,[3]RoboFS!$K:$Q,$AI$1,FALSE),"")</f>
        <v/>
      </c>
      <c r="AA9" s="488">
        <f t="shared" si="0"/>
        <v>13</v>
      </c>
      <c r="AB9" s="488" t="str">
        <f t="shared" si="1"/>
        <v/>
      </c>
      <c r="AC9" s="489" t="str">
        <f t="shared" si="2"/>
        <v/>
      </c>
      <c r="AD9" s="487" t="str">
        <f>IFERROR(VLOOKUP($C9,[3]RoboFS!$K:$Q,$AI$2,FALSE),"")</f>
        <v/>
      </c>
      <c r="AE9" s="488">
        <f t="shared" ref="AE9:AE15" si="5">SUMPRODUCT(P9:Y9,P$6:Y$6)</f>
        <v>15</v>
      </c>
      <c r="AF9" s="488" t="str">
        <f t="shared" si="3"/>
        <v/>
      </c>
      <c r="AG9" s="489" t="str">
        <f t="shared" si="4"/>
        <v/>
      </c>
    </row>
    <row r="10" spans="2:35">
      <c r="C10" s="492" t="s">
        <v>157</v>
      </c>
      <c r="E10" s="326">
        <f>IFERROR(VLOOKUP($C10,[3]RoboFS!$K:$Q,$AI$1,FALSE),"")</f>
        <v>8</v>
      </c>
      <c r="O10" s="326"/>
      <c r="P10" s="326">
        <f>IFERROR(VLOOKUP($C10,[3]RoboFS!$K:$Q,$AI$2,FALSE),"")</f>
        <v>9</v>
      </c>
      <c r="Z10" s="487">
        <f>IFERROR(VLOOKUP($C10,[3]RoboFS!$K:$Q,$AI$1,FALSE),"")</f>
        <v>8</v>
      </c>
      <c r="AA10" s="488">
        <f t="shared" si="0"/>
        <v>8</v>
      </c>
      <c r="AB10" s="488">
        <f t="shared" si="1"/>
        <v>0</v>
      </c>
      <c r="AC10" s="489">
        <f t="shared" si="2"/>
        <v>0</v>
      </c>
      <c r="AD10" s="487">
        <f>IFERROR(VLOOKUP($C10,[3]RoboFS!$K:$Q,$AI$2,FALSE),"")</f>
        <v>9</v>
      </c>
      <c r="AE10" s="488">
        <f t="shared" si="5"/>
        <v>9</v>
      </c>
      <c r="AF10" s="488">
        <f t="shared" si="3"/>
        <v>0</v>
      </c>
      <c r="AG10" s="489">
        <f t="shared" si="4"/>
        <v>0</v>
      </c>
    </row>
    <row r="11" spans="2:35">
      <c r="C11" s="293" t="s">
        <v>113</v>
      </c>
      <c r="E11" s="326">
        <f>ROUND(E10*$F$18,0)</f>
        <v>2</v>
      </c>
      <c r="O11" s="326"/>
      <c r="P11" s="326">
        <f>ROUND(P10*$F$18,0)</f>
        <v>2</v>
      </c>
      <c r="Z11" s="487" t="str">
        <f>IFERROR(VLOOKUP($C11,[3]RoboFS!$K:$Q,$AI$1,FALSE),"")</f>
        <v/>
      </c>
      <c r="AA11" s="488">
        <f t="shared" si="0"/>
        <v>2</v>
      </c>
      <c r="AB11" s="488" t="str">
        <f t="shared" si="1"/>
        <v/>
      </c>
      <c r="AC11" s="489" t="str">
        <f t="shared" si="2"/>
        <v/>
      </c>
      <c r="AD11" s="487" t="str">
        <f>IFERROR(VLOOKUP($C11,[3]RoboFS!$K:$Q,$AI$2,FALSE),"")</f>
        <v/>
      </c>
      <c r="AE11" s="488">
        <f t="shared" si="5"/>
        <v>2</v>
      </c>
      <c r="AF11" s="488" t="str">
        <f t="shared" si="3"/>
        <v/>
      </c>
      <c r="AG11" s="489" t="str">
        <f t="shared" si="4"/>
        <v/>
      </c>
    </row>
    <row r="12" spans="2:35">
      <c r="C12" s="293" t="s">
        <v>115</v>
      </c>
      <c r="E12" s="422">
        <v>6</v>
      </c>
      <c r="O12" s="326"/>
      <c r="P12" s="422">
        <v>3</v>
      </c>
      <c r="Z12" s="487" t="str">
        <f>IFERROR(VLOOKUP($C12,[3]RoboFS!$K:$Q,$AI$1,FALSE),"")</f>
        <v/>
      </c>
      <c r="AA12" s="488">
        <f t="shared" si="0"/>
        <v>6</v>
      </c>
      <c r="AB12" s="488" t="str">
        <f t="shared" si="1"/>
        <v/>
      </c>
      <c r="AC12" s="489" t="str">
        <f t="shared" si="2"/>
        <v/>
      </c>
      <c r="AD12" s="487" t="str">
        <f>IFERROR(VLOOKUP($C12,[3]RoboFS!$K:$Q,$AI$2,FALSE),"")</f>
        <v/>
      </c>
      <c r="AE12" s="488">
        <f t="shared" si="5"/>
        <v>3</v>
      </c>
      <c r="AF12" s="488" t="str">
        <f t="shared" si="3"/>
        <v/>
      </c>
      <c r="AG12" s="489" t="str">
        <f t="shared" si="4"/>
        <v/>
      </c>
    </row>
    <row r="13" spans="2:35">
      <c r="C13" s="293" t="s">
        <v>116</v>
      </c>
      <c r="E13" s="326">
        <f>ROUND(E12*$F$19,0)</f>
        <v>2</v>
      </c>
      <c r="O13" s="326"/>
      <c r="P13" s="326">
        <f>ROUND(P12*$F$19,0)</f>
        <v>1</v>
      </c>
      <c r="Z13" s="487" t="str">
        <f>IFERROR(VLOOKUP($C13,[3]RoboFS!$K:$Q,$AI$1,FALSE),"")</f>
        <v/>
      </c>
      <c r="AA13" s="488">
        <f t="shared" si="0"/>
        <v>2</v>
      </c>
      <c r="AB13" s="488" t="str">
        <f t="shared" si="1"/>
        <v/>
      </c>
      <c r="AC13" s="489" t="str">
        <f t="shared" si="2"/>
        <v/>
      </c>
      <c r="AD13" s="487" t="str">
        <f>IFERROR(VLOOKUP($C13,[3]RoboFS!$K:$Q,$AI$2,FALSE),"")</f>
        <v/>
      </c>
      <c r="AE13" s="488">
        <f t="shared" si="5"/>
        <v>1</v>
      </c>
      <c r="AF13" s="488" t="str">
        <f t="shared" si="3"/>
        <v/>
      </c>
      <c r="AG13" s="489" t="str">
        <f t="shared" si="4"/>
        <v/>
      </c>
    </row>
    <row r="14" spans="2:35">
      <c r="C14" s="293" t="s">
        <v>117</v>
      </c>
      <c r="E14" s="422">
        <v>4</v>
      </c>
      <c r="O14" s="326"/>
      <c r="P14" s="422">
        <f>E14*1.34</f>
        <v>5.36</v>
      </c>
      <c r="Z14" s="487" t="str">
        <f>IFERROR(VLOOKUP($C14,[3]RoboFS!$K:$Q,$AI$1,FALSE),"")</f>
        <v/>
      </c>
      <c r="AA14" s="488">
        <f t="shared" si="0"/>
        <v>4</v>
      </c>
      <c r="AB14" s="488" t="str">
        <f t="shared" si="1"/>
        <v/>
      </c>
      <c r="AC14" s="489" t="str">
        <f t="shared" si="2"/>
        <v/>
      </c>
      <c r="AD14" s="487" t="str">
        <f>IFERROR(VLOOKUP($C14,[3]RoboFS!$K:$Q,$AI$2,FALSE),"")</f>
        <v/>
      </c>
      <c r="AE14" s="488">
        <f t="shared" si="5"/>
        <v>5.36</v>
      </c>
      <c r="AF14" s="488" t="str">
        <f t="shared" si="3"/>
        <v/>
      </c>
      <c r="AG14" s="489" t="str">
        <f t="shared" si="4"/>
        <v/>
      </c>
    </row>
    <row r="15" spans="2:35">
      <c r="C15" s="293" t="s">
        <v>118</v>
      </c>
      <c r="E15" s="326">
        <f>ROUND(E14*$F$20,0)</f>
        <v>2</v>
      </c>
      <c r="O15" s="326"/>
      <c r="P15" s="326">
        <f>ROUND(P14*$F$20,0)</f>
        <v>2</v>
      </c>
      <c r="Z15" s="487" t="str">
        <f>IFERROR(VLOOKUP($C15,[3]RoboFS!$K:$Q,$AI$1,FALSE),"")</f>
        <v/>
      </c>
      <c r="AA15" s="488">
        <f t="shared" si="0"/>
        <v>2</v>
      </c>
      <c r="AB15" s="488" t="str">
        <f t="shared" si="1"/>
        <v/>
      </c>
      <c r="AC15" s="489" t="str">
        <f t="shared" si="2"/>
        <v/>
      </c>
      <c r="AD15" s="487" t="str">
        <f>IFERROR(VLOOKUP($C15,[3]RoboFS!$K:$Q,$AI$2,FALSE),"")</f>
        <v/>
      </c>
      <c r="AE15" s="488">
        <f t="shared" si="5"/>
        <v>2</v>
      </c>
      <c r="AF15" s="488" t="str">
        <f t="shared" si="3"/>
        <v/>
      </c>
      <c r="AG15" s="489" t="str">
        <f t="shared" si="4"/>
        <v/>
      </c>
    </row>
    <row r="16" spans="2:35">
      <c r="E16" s="326"/>
      <c r="F16" s="326"/>
      <c r="G16" s="326"/>
      <c r="H16" s="326"/>
      <c r="I16" s="326"/>
      <c r="J16" s="326"/>
      <c r="K16" s="326"/>
      <c r="L16" s="326"/>
      <c r="M16" s="326"/>
      <c r="N16" s="326"/>
      <c r="O16" s="326"/>
      <c r="P16" s="326"/>
      <c r="Q16" s="326"/>
      <c r="R16" s="326"/>
      <c r="S16" s="326"/>
      <c r="T16" s="326"/>
      <c r="U16" s="326"/>
      <c r="V16" s="326"/>
      <c r="W16" s="326"/>
      <c r="X16" s="326"/>
      <c r="Y16" s="326"/>
      <c r="Z16" s="487" t="str">
        <f>IFERROR(VLOOKUP($C16,[3]RoboFS!$K:$Q,$AI$1,FALSE),"")</f>
        <v/>
      </c>
      <c r="AD16" s="487" t="str">
        <f>IFERROR(VLOOKUP($C16,[3]RoboFS!$K:$Q,$AI$2,FALSE),"")</f>
        <v/>
      </c>
    </row>
    <row r="17" spans="2:33">
      <c r="C17" s="50" t="s">
        <v>728</v>
      </c>
      <c r="D17" s="29"/>
      <c r="E17" s="399"/>
      <c r="F17" s="498">
        <v>0.25</v>
      </c>
      <c r="G17" s="326"/>
      <c r="H17" s="326"/>
      <c r="I17" s="326"/>
      <c r="J17" s="326"/>
      <c r="K17" s="326"/>
      <c r="L17" s="326"/>
      <c r="M17" s="326"/>
      <c r="N17" s="326"/>
      <c r="O17" s="326"/>
      <c r="P17" s="326"/>
      <c r="Q17" s="326"/>
      <c r="R17" s="326"/>
      <c r="S17" s="326"/>
      <c r="T17" s="326"/>
      <c r="U17" s="326"/>
      <c r="V17" s="326"/>
      <c r="W17" s="326"/>
      <c r="X17" s="326"/>
      <c r="Y17" s="326"/>
      <c r="Z17" s="487" t="str">
        <f>IFERROR(VLOOKUP($C17,[3]RoboFS!$K:$Q,$AI$1,FALSE),"")</f>
        <v/>
      </c>
      <c r="AD17" s="487" t="str">
        <f>IFERROR(VLOOKUP($C17,[3]RoboFS!$K:$Q,$AI$2,FALSE),"")</f>
        <v/>
      </c>
    </row>
    <row r="18" spans="2:33">
      <c r="C18" s="144" t="s">
        <v>729</v>
      </c>
      <c r="E18" s="326"/>
      <c r="F18" s="499">
        <v>0.25</v>
      </c>
      <c r="G18" s="326"/>
      <c r="H18" s="326"/>
      <c r="I18" s="326"/>
      <c r="J18" s="326"/>
      <c r="K18" s="326"/>
      <c r="L18" s="326"/>
      <c r="M18" s="326"/>
      <c r="N18" s="326"/>
      <c r="O18" s="326"/>
      <c r="P18" s="326"/>
      <c r="Q18" s="326"/>
      <c r="R18" s="326"/>
      <c r="S18" s="326"/>
      <c r="T18" s="326"/>
      <c r="U18" s="326"/>
      <c r="V18" s="326"/>
      <c r="W18" s="326"/>
      <c r="X18" s="326"/>
      <c r="Y18" s="326"/>
      <c r="Z18" s="487" t="str">
        <f>IFERROR(VLOOKUP($C18,[3]RoboFS!$K:$Q,$AI$1,FALSE),"")</f>
        <v/>
      </c>
      <c r="AD18" s="487" t="str">
        <f>IFERROR(VLOOKUP($C18,[3]RoboFS!$K:$Q,$AI$2,FALSE),"")</f>
        <v/>
      </c>
    </row>
    <row r="19" spans="2:33">
      <c r="C19" s="144" t="s">
        <v>730</v>
      </c>
      <c r="E19" s="326"/>
      <c r="F19" s="499">
        <v>0.4</v>
      </c>
      <c r="G19" s="326"/>
      <c r="H19" s="326"/>
      <c r="I19" s="326"/>
      <c r="J19" s="326"/>
      <c r="K19" s="326"/>
      <c r="L19" s="326"/>
      <c r="M19" s="326"/>
      <c r="N19" s="326"/>
      <c r="O19" s="326"/>
      <c r="P19" s="326"/>
      <c r="Q19" s="326"/>
      <c r="R19" s="326"/>
      <c r="S19" s="326"/>
      <c r="T19" s="326"/>
      <c r="U19" s="326"/>
      <c r="V19" s="326"/>
      <c r="W19" s="326"/>
      <c r="X19" s="326"/>
      <c r="Y19" s="326"/>
      <c r="Z19" s="487" t="str">
        <f>IFERROR(VLOOKUP($C19,[3]RoboFS!$K:$Q,$AI$1,FALSE),"")</f>
        <v/>
      </c>
      <c r="AD19" s="487" t="str">
        <f>IFERROR(VLOOKUP($C19,[3]RoboFS!$K:$Q,$AI$2,FALSE),"")</f>
        <v/>
      </c>
    </row>
    <row r="20" spans="2:33">
      <c r="C20" s="146" t="s">
        <v>731</v>
      </c>
      <c r="D20" s="4"/>
      <c r="E20" s="440"/>
      <c r="F20" s="500">
        <v>0.4</v>
      </c>
      <c r="G20" s="326"/>
      <c r="H20" s="326"/>
      <c r="I20" s="326"/>
      <c r="J20" s="326"/>
      <c r="K20" s="326"/>
      <c r="L20" s="326"/>
      <c r="M20" s="326"/>
      <c r="N20" s="326"/>
      <c r="O20" s="326"/>
      <c r="P20" s="326"/>
      <c r="Q20" s="326"/>
      <c r="R20" s="326"/>
      <c r="S20" s="326"/>
      <c r="T20" s="326"/>
      <c r="U20" s="326"/>
      <c r="V20" s="326"/>
      <c r="W20" s="326"/>
      <c r="X20" s="326"/>
      <c r="Y20" s="326"/>
      <c r="Z20" s="487" t="str">
        <f>IFERROR(VLOOKUP($C20,[3]RoboFS!$K:$Q,$AI$1,FALSE),"")</f>
        <v/>
      </c>
      <c r="AD20" s="487" t="str">
        <f>IFERROR(VLOOKUP($C20,[3]RoboFS!$K:$Q,$AI$2,FALSE),"")</f>
        <v/>
      </c>
    </row>
    <row r="21" spans="2:33">
      <c r="B21" s="501"/>
      <c r="C21" s="502"/>
      <c r="D21" s="502"/>
      <c r="E21" s="502"/>
      <c r="F21" s="502"/>
      <c r="G21" s="502"/>
      <c r="H21" s="502"/>
      <c r="I21" s="502"/>
      <c r="J21" s="502"/>
      <c r="K21" s="502"/>
      <c r="L21" s="502"/>
      <c r="M21" s="502"/>
      <c r="N21" s="502"/>
      <c r="O21" s="503"/>
      <c r="P21" s="502"/>
      <c r="Q21" s="502"/>
      <c r="R21" s="502"/>
      <c r="S21" s="502"/>
      <c r="T21" s="502"/>
      <c r="U21" s="502"/>
      <c r="V21" s="502"/>
      <c r="W21" s="502"/>
      <c r="X21" s="502"/>
      <c r="Y21" s="502"/>
      <c r="Z21" s="487" t="str">
        <f>IFERROR(VLOOKUP($C21,[3]RoboFS!$K:$Q,$AI$1,FALSE),"")</f>
        <v/>
      </c>
      <c r="AD21" s="487" t="str">
        <f>IFERROR(VLOOKUP($C21,[3]RoboFS!$K:$Q,$AI$2,FALSE),"")</f>
        <v/>
      </c>
    </row>
    <row r="22" spans="2:33">
      <c r="Z22" s="487" t="str">
        <f>IFERROR(VLOOKUP($C22,[3]RoboFS!$K:$Q,$AI$1,FALSE),"")</f>
        <v/>
      </c>
      <c r="AD22" s="487" t="str">
        <f>IFERROR(VLOOKUP($C22,[3]RoboFS!$K:$Q,$AI$2,FALSE),"")</f>
        <v/>
      </c>
    </row>
    <row r="23" spans="2:33">
      <c r="B23" s="27" t="s">
        <v>66</v>
      </c>
      <c r="C23" s="40" t="s">
        <v>723</v>
      </c>
      <c r="D23" s="40"/>
      <c r="E23" s="497" t="s">
        <v>732</v>
      </c>
      <c r="F23" s="497"/>
      <c r="G23" s="497"/>
      <c r="H23" s="497"/>
      <c r="I23" s="497"/>
      <c r="J23" s="497"/>
      <c r="K23" s="497"/>
      <c r="L23" s="497"/>
      <c r="M23" s="497"/>
      <c r="N23" s="497"/>
      <c r="O23" s="7" t="s">
        <v>0</v>
      </c>
      <c r="P23" s="497" t="s">
        <v>732</v>
      </c>
      <c r="Q23" s="497"/>
      <c r="R23" s="497"/>
      <c r="S23" s="497"/>
      <c r="T23" s="497"/>
      <c r="U23" s="497"/>
      <c r="V23" s="497"/>
      <c r="W23" s="497"/>
      <c r="X23" s="497"/>
      <c r="Y23" s="497"/>
      <c r="Z23" s="487" t="str">
        <f>IFERROR(VLOOKUP($C23,[3]RoboFS!$K:$Q,$AI$1,FALSE),"")</f>
        <v/>
      </c>
      <c r="AD23" s="487" t="str">
        <f>IFERROR(VLOOKUP($C23,[3]RoboFS!$K:$Q,$AI$2,FALSE),"")</f>
        <v/>
      </c>
    </row>
    <row r="24" spans="2:33">
      <c r="C24" s="293" t="s">
        <v>725</v>
      </c>
      <c r="E24" s="422">
        <v>1</v>
      </c>
      <c r="F24" s="422">
        <v>0</v>
      </c>
      <c r="G24" s="422">
        <v>0</v>
      </c>
      <c r="H24" s="422">
        <v>0</v>
      </c>
      <c r="I24" s="422">
        <v>0</v>
      </c>
      <c r="J24" s="422">
        <v>0</v>
      </c>
      <c r="K24" s="422">
        <v>0</v>
      </c>
      <c r="L24" s="422">
        <v>0</v>
      </c>
      <c r="M24" s="422">
        <v>0</v>
      </c>
      <c r="N24" s="422">
        <v>0</v>
      </c>
      <c r="O24" s="326"/>
      <c r="P24" s="422">
        <v>1</v>
      </c>
      <c r="Q24" s="422">
        <v>0</v>
      </c>
      <c r="R24" s="422">
        <v>0</v>
      </c>
      <c r="S24" s="422">
        <v>0</v>
      </c>
      <c r="T24" s="422">
        <v>0</v>
      </c>
      <c r="U24" s="422">
        <v>0</v>
      </c>
      <c r="V24" s="422">
        <v>0</v>
      </c>
      <c r="W24" s="422">
        <v>0</v>
      </c>
      <c r="X24" s="422">
        <v>0</v>
      </c>
      <c r="Y24" s="422">
        <v>0</v>
      </c>
      <c r="Z24" s="487" t="str">
        <f>IFERROR(VLOOKUP($C24,[3]RoboFS!$K:$Q,$AI$1,FALSE),"")</f>
        <v/>
      </c>
      <c r="AD24" s="487" t="str">
        <f>IFERROR(VLOOKUP($C24,[3]RoboFS!$K:$Q,$AI$2,FALSE),"")</f>
        <v/>
      </c>
    </row>
    <row r="25" spans="2:33">
      <c r="Z25" s="487" t="str">
        <f>IFERROR(VLOOKUP($C25,[3]RoboFS!$K:$Q,$AI$1,FALSE),"")</f>
        <v/>
      </c>
      <c r="AD25" s="487" t="str">
        <f>IFERROR(VLOOKUP($C25,[3]RoboFS!$K:$Q,$AI$2,FALSE),"")</f>
        <v/>
      </c>
    </row>
    <row r="26" spans="2:33">
      <c r="B26" s="30" t="s">
        <v>726</v>
      </c>
      <c r="C26" s="293" t="s">
        <v>68</v>
      </c>
      <c r="E26" s="422">
        <v>1</v>
      </c>
      <c r="F26" s="422">
        <v>0</v>
      </c>
      <c r="G26" s="422">
        <v>0</v>
      </c>
      <c r="H26" s="422">
        <v>0</v>
      </c>
      <c r="I26" s="422">
        <v>0</v>
      </c>
      <c r="J26" s="422">
        <v>0</v>
      </c>
      <c r="K26" s="422">
        <v>0</v>
      </c>
      <c r="L26" s="422">
        <v>0</v>
      </c>
      <c r="M26" s="422">
        <v>0</v>
      </c>
      <c r="N26" s="422">
        <v>0</v>
      </c>
      <c r="O26" s="326"/>
      <c r="P26" s="422">
        <v>1</v>
      </c>
      <c r="Q26" s="422">
        <v>0</v>
      </c>
      <c r="R26" s="422">
        <v>0</v>
      </c>
      <c r="S26" s="422">
        <v>0</v>
      </c>
      <c r="T26" s="422">
        <v>0</v>
      </c>
      <c r="U26" s="422">
        <v>0</v>
      </c>
      <c r="V26" s="422">
        <v>0</v>
      </c>
      <c r="W26" s="422">
        <v>0</v>
      </c>
      <c r="X26" s="422">
        <v>0</v>
      </c>
      <c r="Y26" s="422">
        <v>0</v>
      </c>
      <c r="Z26" s="487" t="str">
        <f>IFERROR(VLOOKUP($C26,[3]RoboFS!$K:$Q,$AI$1,FALSE),"")</f>
        <v/>
      </c>
      <c r="AA26" s="488">
        <f t="shared" ref="AA26:AA42" si="6">SUMPRODUCT(E26:N26,E$24:N$24)</f>
        <v>1</v>
      </c>
      <c r="AB26" s="488" t="str">
        <f t="shared" ref="AB26:AB42" si="7">IF(Z26&lt;&gt;"",MAX(Z26-AA26,0),"")</f>
        <v/>
      </c>
      <c r="AC26" s="489" t="str">
        <f t="shared" ref="AC26:AC42" si="8">IF(Z26&lt;&gt;"",MAX(AA26-Z26,0),"")</f>
        <v/>
      </c>
      <c r="AD26" s="487" t="str">
        <f>IFERROR(VLOOKUP($C26,[3]RoboFS!$K:$Q,$AI$2,FALSE),"")</f>
        <v/>
      </c>
      <c r="AE26" s="488">
        <f>SUMPRODUCT(P26:Y26,P$24:Y$24)</f>
        <v>1</v>
      </c>
      <c r="AF26" s="488" t="str">
        <f t="shared" ref="AF26:AF42" si="9">IF(AD26&lt;&gt;"",MAX(AD26-AE26,0),"")</f>
        <v/>
      </c>
      <c r="AG26" s="489" t="str">
        <f t="shared" ref="AG26:AG42" si="10">IF(AD26&lt;&gt;"",MAX(AE26-AD26,0),"")</f>
        <v/>
      </c>
    </row>
    <row r="27" spans="2:33">
      <c r="C27" s="492" t="s">
        <v>86</v>
      </c>
      <c r="E27" s="422">
        <v>2</v>
      </c>
      <c r="F27" s="422">
        <v>0</v>
      </c>
      <c r="G27" s="422">
        <v>0</v>
      </c>
      <c r="H27" s="422">
        <v>0</v>
      </c>
      <c r="I27" s="422">
        <v>0</v>
      </c>
      <c r="J27" s="422">
        <v>0</v>
      </c>
      <c r="K27" s="422">
        <v>0</v>
      </c>
      <c r="L27" s="422">
        <v>0</v>
      </c>
      <c r="M27" s="422">
        <v>0</v>
      </c>
      <c r="N27" s="422">
        <v>0</v>
      </c>
      <c r="O27" s="326"/>
      <c r="P27" s="422">
        <v>3</v>
      </c>
      <c r="Q27" s="422">
        <v>0</v>
      </c>
      <c r="R27" s="422">
        <v>0</v>
      </c>
      <c r="S27" s="422">
        <v>0</v>
      </c>
      <c r="T27" s="422">
        <v>0</v>
      </c>
      <c r="U27" s="422">
        <v>0</v>
      </c>
      <c r="V27" s="422">
        <v>0</v>
      </c>
      <c r="W27" s="422">
        <v>0</v>
      </c>
      <c r="X27" s="422">
        <v>0</v>
      </c>
      <c r="Y27" s="422">
        <v>0</v>
      </c>
      <c r="Z27" s="487">
        <f>IFERROR(VLOOKUP($C27,[3]RoboFS!$K:$Q,$AI$1,FALSE),"")</f>
        <v>2</v>
      </c>
      <c r="AA27" s="488">
        <f t="shared" si="6"/>
        <v>2</v>
      </c>
      <c r="AB27" s="488">
        <f t="shared" si="7"/>
        <v>0</v>
      </c>
      <c r="AC27" s="489">
        <f t="shared" si="8"/>
        <v>0</v>
      </c>
      <c r="AD27" s="487">
        <f>IFERROR(VLOOKUP($C27,[3]RoboFS!$K:$Q,$AI$2,FALSE),"")</f>
        <v>2</v>
      </c>
      <c r="AE27" s="488">
        <f t="shared" ref="AE27:AE42" si="11">SUMPRODUCT(P27:Y27,P$24:Y$24)</f>
        <v>3</v>
      </c>
      <c r="AF27" s="488">
        <f t="shared" si="9"/>
        <v>0</v>
      </c>
      <c r="AG27" s="489">
        <f t="shared" si="10"/>
        <v>1</v>
      </c>
    </row>
    <row r="28" spans="2:33">
      <c r="C28" s="293" t="s">
        <v>123</v>
      </c>
      <c r="E28" s="32">
        <f>E27</f>
        <v>2</v>
      </c>
      <c r="F28" s="32">
        <f t="shared" ref="F28:N30" si="12">F27</f>
        <v>0</v>
      </c>
      <c r="G28" s="32">
        <f t="shared" si="12"/>
        <v>0</v>
      </c>
      <c r="H28" s="32">
        <f t="shared" si="12"/>
        <v>0</v>
      </c>
      <c r="I28" s="32">
        <f t="shared" si="12"/>
        <v>0</v>
      </c>
      <c r="J28" s="32">
        <f t="shared" si="12"/>
        <v>0</v>
      </c>
      <c r="K28" s="32">
        <f t="shared" si="12"/>
        <v>0</v>
      </c>
      <c r="L28" s="32">
        <f t="shared" si="12"/>
        <v>0</v>
      </c>
      <c r="M28" s="32">
        <f t="shared" si="12"/>
        <v>0</v>
      </c>
      <c r="N28" s="32">
        <f t="shared" si="12"/>
        <v>0</v>
      </c>
      <c r="O28" s="326"/>
      <c r="P28" s="32">
        <f>P27</f>
        <v>3</v>
      </c>
      <c r="Q28" s="32">
        <f t="shared" ref="Q28:Y30" si="13">Q27</f>
        <v>0</v>
      </c>
      <c r="R28" s="32">
        <f t="shared" si="13"/>
        <v>0</v>
      </c>
      <c r="S28" s="32">
        <f t="shared" si="13"/>
        <v>0</v>
      </c>
      <c r="T28" s="32">
        <f t="shared" si="13"/>
        <v>0</v>
      </c>
      <c r="U28" s="32">
        <f t="shared" si="13"/>
        <v>0</v>
      </c>
      <c r="V28" s="32">
        <f t="shared" si="13"/>
        <v>0</v>
      </c>
      <c r="W28" s="32">
        <f t="shared" si="13"/>
        <v>0</v>
      </c>
      <c r="X28" s="32">
        <f t="shared" si="13"/>
        <v>0</v>
      </c>
      <c r="Y28" s="32">
        <f t="shared" si="13"/>
        <v>0</v>
      </c>
      <c r="Z28" s="487" t="str">
        <f>IFERROR(VLOOKUP($C28,[3]RoboFS!$K:$Q,$AI$1,FALSE),"")</f>
        <v/>
      </c>
      <c r="AA28" s="488">
        <f t="shared" si="6"/>
        <v>2</v>
      </c>
      <c r="AB28" s="488" t="str">
        <f t="shared" si="7"/>
        <v/>
      </c>
      <c r="AC28" s="489" t="str">
        <f t="shared" si="8"/>
        <v/>
      </c>
      <c r="AD28" s="487" t="str">
        <f>IFERROR(VLOOKUP($C28,[3]RoboFS!$K:$Q,$AI$2,FALSE),"")</f>
        <v/>
      </c>
      <c r="AE28" s="488">
        <f t="shared" si="11"/>
        <v>3</v>
      </c>
      <c r="AF28" s="488" t="str">
        <f t="shared" si="9"/>
        <v/>
      </c>
      <c r="AG28" s="489" t="str">
        <f t="shared" si="10"/>
        <v/>
      </c>
    </row>
    <row r="29" spans="2:33">
      <c r="C29" s="492" t="s">
        <v>146</v>
      </c>
      <c r="E29" s="422">
        <v>1</v>
      </c>
      <c r="F29" s="422">
        <v>0</v>
      </c>
      <c r="G29" s="422">
        <v>0</v>
      </c>
      <c r="H29" s="422">
        <v>0</v>
      </c>
      <c r="I29" s="422">
        <v>0</v>
      </c>
      <c r="J29" s="422">
        <v>0</v>
      </c>
      <c r="K29" s="422">
        <v>0</v>
      </c>
      <c r="L29" s="422">
        <v>0</v>
      </c>
      <c r="M29" s="422">
        <v>0</v>
      </c>
      <c r="N29" s="422">
        <v>0</v>
      </c>
      <c r="O29" s="326"/>
      <c r="P29" s="422">
        <v>1</v>
      </c>
      <c r="Q29" s="422">
        <v>0</v>
      </c>
      <c r="R29" s="422">
        <v>0</v>
      </c>
      <c r="S29" s="422">
        <v>0</v>
      </c>
      <c r="T29" s="422">
        <v>0</v>
      </c>
      <c r="U29" s="422">
        <v>0</v>
      </c>
      <c r="V29" s="422">
        <v>0</v>
      </c>
      <c r="W29" s="422">
        <v>0</v>
      </c>
      <c r="X29" s="422">
        <v>0</v>
      </c>
      <c r="Y29" s="422">
        <v>0</v>
      </c>
      <c r="Z29" s="487">
        <f>IFERROR(VLOOKUP($C29,[3]RoboFS!$K:$Q,$AI$1,FALSE),"")</f>
        <v>1</v>
      </c>
      <c r="AA29" s="488">
        <f t="shared" si="6"/>
        <v>1</v>
      </c>
      <c r="AB29" s="488">
        <f t="shared" si="7"/>
        <v>0</v>
      </c>
      <c r="AC29" s="489">
        <f t="shared" si="8"/>
        <v>0</v>
      </c>
      <c r="AD29" s="487">
        <f>IFERROR(VLOOKUP($C29,[3]RoboFS!$K:$Q,$AI$2,FALSE),"")</f>
        <v>1</v>
      </c>
      <c r="AE29" s="488">
        <f t="shared" si="11"/>
        <v>1</v>
      </c>
      <c r="AF29" s="488">
        <f t="shared" si="9"/>
        <v>0</v>
      </c>
      <c r="AG29" s="489">
        <f t="shared" si="10"/>
        <v>0</v>
      </c>
    </row>
    <row r="30" spans="2:33">
      <c r="C30" s="293" t="s">
        <v>136</v>
      </c>
      <c r="E30" s="32">
        <f>E29</f>
        <v>1</v>
      </c>
      <c r="F30" s="32">
        <f t="shared" si="12"/>
        <v>0</v>
      </c>
      <c r="G30" s="32">
        <f t="shared" si="12"/>
        <v>0</v>
      </c>
      <c r="H30" s="32">
        <f t="shared" si="12"/>
        <v>0</v>
      </c>
      <c r="I30" s="32">
        <f t="shared" si="12"/>
        <v>0</v>
      </c>
      <c r="J30" s="32">
        <f t="shared" si="12"/>
        <v>0</v>
      </c>
      <c r="K30" s="32">
        <f t="shared" si="12"/>
        <v>0</v>
      </c>
      <c r="L30" s="32">
        <f t="shared" si="12"/>
        <v>0</v>
      </c>
      <c r="M30" s="32">
        <f t="shared" si="12"/>
        <v>0</v>
      </c>
      <c r="N30" s="32">
        <f t="shared" si="12"/>
        <v>0</v>
      </c>
      <c r="O30" s="326"/>
      <c r="P30" s="32">
        <f>P29</f>
        <v>1</v>
      </c>
      <c r="Q30" s="32">
        <f t="shared" si="13"/>
        <v>0</v>
      </c>
      <c r="R30" s="32">
        <f t="shared" si="13"/>
        <v>0</v>
      </c>
      <c r="S30" s="32">
        <f t="shared" si="13"/>
        <v>0</v>
      </c>
      <c r="T30" s="32">
        <f t="shared" si="13"/>
        <v>0</v>
      </c>
      <c r="U30" s="32">
        <f t="shared" si="13"/>
        <v>0</v>
      </c>
      <c r="V30" s="32">
        <f t="shared" si="13"/>
        <v>0</v>
      </c>
      <c r="W30" s="32">
        <f t="shared" si="13"/>
        <v>0</v>
      </c>
      <c r="X30" s="32">
        <f t="shared" si="13"/>
        <v>0</v>
      </c>
      <c r="Y30" s="32">
        <f t="shared" si="13"/>
        <v>0</v>
      </c>
      <c r="Z30" s="487" t="str">
        <f>IFERROR(VLOOKUP($C30,[3]RoboFS!$K:$Q,$AI$1,FALSE),"")</f>
        <v/>
      </c>
      <c r="AA30" s="488">
        <f t="shared" si="6"/>
        <v>1</v>
      </c>
      <c r="AB30" s="488" t="str">
        <f t="shared" si="7"/>
        <v/>
      </c>
      <c r="AC30" s="489" t="str">
        <f t="shared" si="8"/>
        <v/>
      </c>
      <c r="AD30" s="487" t="str">
        <f>IFERROR(VLOOKUP($C30,[3]RoboFS!$K:$Q,$AI$2,FALSE),"")</f>
        <v/>
      </c>
      <c r="AE30" s="488">
        <f t="shared" si="11"/>
        <v>1</v>
      </c>
      <c r="AF30" s="488" t="str">
        <f t="shared" si="9"/>
        <v/>
      </c>
      <c r="AG30" s="489" t="str">
        <f t="shared" si="10"/>
        <v/>
      </c>
    </row>
    <row r="31" spans="2:33">
      <c r="C31" s="293" t="s">
        <v>138</v>
      </c>
      <c r="E31" s="326">
        <v>1</v>
      </c>
      <c r="F31" s="326">
        <v>1</v>
      </c>
      <c r="G31" s="326">
        <v>1</v>
      </c>
      <c r="H31" s="326">
        <v>1</v>
      </c>
      <c r="I31" s="326">
        <v>1</v>
      </c>
      <c r="J31" s="326">
        <v>1</v>
      </c>
      <c r="K31" s="326">
        <v>1</v>
      </c>
      <c r="L31" s="326">
        <v>1</v>
      </c>
      <c r="M31" s="326">
        <v>1</v>
      </c>
      <c r="N31" s="326">
        <v>1</v>
      </c>
      <c r="O31" s="326"/>
      <c r="P31" s="326">
        <v>1</v>
      </c>
      <c r="Q31" s="326">
        <v>1</v>
      </c>
      <c r="R31" s="326">
        <v>1</v>
      </c>
      <c r="S31" s="326">
        <v>1</v>
      </c>
      <c r="T31" s="326">
        <v>1</v>
      </c>
      <c r="U31" s="326">
        <v>1</v>
      </c>
      <c r="V31" s="326">
        <v>1</v>
      </c>
      <c r="W31" s="326">
        <v>1</v>
      </c>
      <c r="X31" s="326">
        <v>1</v>
      </c>
      <c r="Y31" s="326">
        <v>1</v>
      </c>
      <c r="Z31" s="487" t="str">
        <f>IFERROR(VLOOKUP($C31,[3]RoboFS!$K:$Q,$AI$1,FALSE),"")</f>
        <v/>
      </c>
      <c r="AA31" s="488">
        <f t="shared" si="6"/>
        <v>1</v>
      </c>
      <c r="AB31" s="488" t="str">
        <f t="shared" si="7"/>
        <v/>
      </c>
      <c r="AC31" s="489" t="str">
        <f t="shared" si="8"/>
        <v/>
      </c>
      <c r="AD31" s="487" t="str">
        <f>IFERROR(VLOOKUP($C31,[3]RoboFS!$K:$Q,$AI$2,FALSE),"")</f>
        <v/>
      </c>
      <c r="AE31" s="488">
        <f t="shared" si="11"/>
        <v>1</v>
      </c>
      <c r="AF31" s="488" t="str">
        <f t="shared" si="9"/>
        <v/>
      </c>
      <c r="AG31" s="489" t="str">
        <f t="shared" si="10"/>
        <v/>
      </c>
    </row>
    <row r="32" spans="2:33">
      <c r="C32" s="492" t="s">
        <v>147</v>
      </c>
      <c r="E32" s="422">
        <v>5</v>
      </c>
      <c r="F32" s="422">
        <v>0</v>
      </c>
      <c r="G32" s="422">
        <v>0</v>
      </c>
      <c r="H32" s="422">
        <v>0</v>
      </c>
      <c r="I32" s="422">
        <v>0</v>
      </c>
      <c r="J32" s="422">
        <v>0</v>
      </c>
      <c r="K32" s="422">
        <v>0</v>
      </c>
      <c r="L32" s="422">
        <v>0</v>
      </c>
      <c r="M32" s="422">
        <v>0</v>
      </c>
      <c r="N32" s="422">
        <v>0</v>
      </c>
      <c r="O32" s="326"/>
      <c r="P32" s="422">
        <v>9</v>
      </c>
      <c r="Q32" s="422">
        <v>0</v>
      </c>
      <c r="R32" s="422">
        <v>0</v>
      </c>
      <c r="S32" s="422">
        <v>0</v>
      </c>
      <c r="T32" s="422">
        <v>0</v>
      </c>
      <c r="U32" s="422">
        <v>0</v>
      </c>
      <c r="V32" s="422">
        <v>0</v>
      </c>
      <c r="W32" s="422">
        <v>0</v>
      </c>
      <c r="X32" s="422">
        <v>0</v>
      </c>
      <c r="Y32" s="422">
        <v>0</v>
      </c>
      <c r="Z32" s="487">
        <f>IFERROR(VLOOKUP($C32,[3]RoboFS!$K:$Q,$AI$1,FALSE),"")</f>
        <v>5</v>
      </c>
      <c r="AA32" s="488">
        <f t="shared" si="6"/>
        <v>5</v>
      </c>
      <c r="AB32" s="488">
        <f t="shared" si="7"/>
        <v>0</v>
      </c>
      <c r="AC32" s="489">
        <f t="shared" si="8"/>
        <v>0</v>
      </c>
      <c r="AD32" s="487">
        <f>IFERROR(VLOOKUP($C32,[3]RoboFS!$K:$Q,$AI$2,FALSE),"")</f>
        <v>6</v>
      </c>
      <c r="AE32" s="488">
        <f t="shared" si="11"/>
        <v>9</v>
      </c>
      <c r="AF32" s="488">
        <f t="shared" si="9"/>
        <v>0</v>
      </c>
      <c r="AG32" s="489">
        <f t="shared" si="10"/>
        <v>3</v>
      </c>
    </row>
    <row r="33" spans="2:34">
      <c r="C33" s="293" t="s">
        <v>140</v>
      </c>
      <c r="E33" s="32">
        <f>E32</f>
        <v>5</v>
      </c>
      <c r="F33" s="32">
        <f t="shared" ref="F33:N33" si="14">F32</f>
        <v>0</v>
      </c>
      <c r="G33" s="32">
        <f t="shared" si="14"/>
        <v>0</v>
      </c>
      <c r="H33" s="32">
        <f t="shared" si="14"/>
        <v>0</v>
      </c>
      <c r="I33" s="32">
        <f t="shared" si="14"/>
        <v>0</v>
      </c>
      <c r="J33" s="32">
        <f t="shared" si="14"/>
        <v>0</v>
      </c>
      <c r="K33" s="32">
        <f t="shared" si="14"/>
        <v>0</v>
      </c>
      <c r="L33" s="32">
        <f t="shared" si="14"/>
        <v>0</v>
      </c>
      <c r="M33" s="32">
        <f t="shared" si="14"/>
        <v>0</v>
      </c>
      <c r="N33" s="32">
        <f t="shared" si="14"/>
        <v>0</v>
      </c>
      <c r="O33" s="326"/>
      <c r="P33" s="32">
        <f>P32</f>
        <v>9</v>
      </c>
      <c r="Q33" s="32">
        <f t="shared" ref="Q33:Y33" si="15">Q32</f>
        <v>0</v>
      </c>
      <c r="R33" s="32">
        <f t="shared" si="15"/>
        <v>0</v>
      </c>
      <c r="S33" s="32">
        <f t="shared" si="15"/>
        <v>0</v>
      </c>
      <c r="T33" s="32">
        <f t="shared" si="15"/>
        <v>0</v>
      </c>
      <c r="U33" s="32">
        <f t="shared" si="15"/>
        <v>0</v>
      </c>
      <c r="V33" s="32">
        <f t="shared" si="15"/>
        <v>0</v>
      </c>
      <c r="W33" s="32">
        <f t="shared" si="15"/>
        <v>0</v>
      </c>
      <c r="X33" s="32">
        <f t="shared" si="15"/>
        <v>0</v>
      </c>
      <c r="Y33" s="32">
        <f t="shared" si="15"/>
        <v>0</v>
      </c>
      <c r="Z33" s="487" t="str">
        <f>IFERROR(VLOOKUP($C33,[3]RoboFS!$K:$Q,$AI$1,FALSE),"")</f>
        <v/>
      </c>
      <c r="AA33" s="488">
        <f t="shared" si="6"/>
        <v>5</v>
      </c>
      <c r="AB33" s="488" t="str">
        <f t="shared" si="7"/>
        <v/>
      </c>
      <c r="AC33" s="489" t="str">
        <f t="shared" si="8"/>
        <v/>
      </c>
      <c r="AD33" s="487" t="str">
        <f>IFERROR(VLOOKUP($C33,[3]RoboFS!$K:$Q,$AI$2,FALSE),"")</f>
        <v/>
      </c>
      <c r="AE33" s="488">
        <f t="shared" si="11"/>
        <v>9</v>
      </c>
      <c r="AF33" s="488" t="str">
        <f t="shared" si="9"/>
        <v/>
      </c>
      <c r="AG33" s="489" t="str">
        <f t="shared" si="10"/>
        <v/>
      </c>
    </row>
    <row r="34" spans="2:34">
      <c r="C34" s="293" t="s">
        <v>67</v>
      </c>
      <c r="E34" s="326">
        <v>1</v>
      </c>
      <c r="F34" s="326">
        <v>1</v>
      </c>
      <c r="G34" s="326">
        <v>1</v>
      </c>
      <c r="H34" s="326">
        <v>1</v>
      </c>
      <c r="I34" s="326">
        <v>1</v>
      </c>
      <c r="J34" s="326">
        <v>1</v>
      </c>
      <c r="K34" s="326">
        <v>1</v>
      </c>
      <c r="L34" s="326">
        <v>1</v>
      </c>
      <c r="M34" s="326">
        <v>1</v>
      </c>
      <c r="N34" s="326">
        <v>1</v>
      </c>
      <c r="O34" s="326"/>
      <c r="P34" s="326">
        <v>1</v>
      </c>
      <c r="Q34" s="326">
        <v>1</v>
      </c>
      <c r="R34" s="326">
        <v>1</v>
      </c>
      <c r="S34" s="326">
        <v>1</v>
      </c>
      <c r="T34" s="326">
        <v>1</v>
      </c>
      <c r="U34" s="326">
        <v>1</v>
      </c>
      <c r="V34" s="326">
        <v>1</v>
      </c>
      <c r="W34" s="326">
        <v>1</v>
      </c>
      <c r="X34" s="326">
        <v>1</v>
      </c>
      <c r="Y34" s="326">
        <v>1</v>
      </c>
      <c r="Z34" s="487" t="str">
        <f>IFERROR(VLOOKUP($C34,[3]RoboFS!$K:$Q,$AI$1,FALSE),"")</f>
        <v/>
      </c>
      <c r="AA34" s="488">
        <f t="shared" si="6"/>
        <v>1</v>
      </c>
      <c r="AB34" s="488" t="str">
        <f t="shared" si="7"/>
        <v/>
      </c>
      <c r="AC34" s="489" t="str">
        <f t="shared" si="8"/>
        <v/>
      </c>
      <c r="AD34" s="487" t="str">
        <f>IFERROR(VLOOKUP($C34,[3]RoboFS!$K:$Q,$AI$2,FALSE),"")</f>
        <v/>
      </c>
      <c r="AE34" s="488">
        <f t="shared" si="11"/>
        <v>1</v>
      </c>
      <c r="AF34" s="488" t="str">
        <f t="shared" si="9"/>
        <v/>
      </c>
      <c r="AG34" s="489" t="str">
        <f t="shared" si="10"/>
        <v/>
      </c>
    </row>
    <row r="35" spans="2:34">
      <c r="C35" s="293" t="s">
        <v>70</v>
      </c>
      <c r="E35" s="326">
        <v>2</v>
      </c>
      <c r="F35" s="326">
        <v>2</v>
      </c>
      <c r="G35" s="326">
        <v>2</v>
      </c>
      <c r="H35" s="326">
        <v>2</v>
      </c>
      <c r="I35" s="326">
        <v>2</v>
      </c>
      <c r="J35" s="326">
        <v>2</v>
      </c>
      <c r="K35" s="326">
        <v>2</v>
      </c>
      <c r="L35" s="326">
        <v>2</v>
      </c>
      <c r="M35" s="326">
        <v>2</v>
      </c>
      <c r="N35" s="326">
        <v>2</v>
      </c>
      <c r="O35" s="326"/>
      <c r="P35" s="326">
        <v>2</v>
      </c>
      <c r="Q35" s="326">
        <v>2</v>
      </c>
      <c r="R35" s="326">
        <v>2</v>
      </c>
      <c r="S35" s="326">
        <v>2</v>
      </c>
      <c r="T35" s="326">
        <v>2</v>
      </c>
      <c r="U35" s="326">
        <v>2</v>
      </c>
      <c r="V35" s="326">
        <v>2</v>
      </c>
      <c r="W35" s="326">
        <v>2</v>
      </c>
      <c r="X35" s="326">
        <v>2</v>
      </c>
      <c r="Y35" s="326">
        <v>2</v>
      </c>
      <c r="Z35" s="487" t="str">
        <f>IFERROR(VLOOKUP($C35,[3]RoboFS!$K:$Q,$AI$1,FALSE),"")</f>
        <v/>
      </c>
      <c r="AA35" s="488">
        <f t="shared" si="6"/>
        <v>2</v>
      </c>
      <c r="AB35" s="488" t="str">
        <f t="shared" si="7"/>
        <v/>
      </c>
      <c r="AC35" s="489" t="str">
        <f t="shared" si="8"/>
        <v/>
      </c>
      <c r="AD35" s="487" t="str">
        <f>IFERROR(VLOOKUP($C35,[3]RoboFS!$K:$Q,$AI$2,FALSE),"")</f>
        <v/>
      </c>
      <c r="AE35" s="488">
        <f t="shared" si="11"/>
        <v>2</v>
      </c>
      <c r="AF35" s="488" t="str">
        <f t="shared" si="9"/>
        <v/>
      </c>
      <c r="AG35" s="489" t="str">
        <f t="shared" si="10"/>
        <v/>
      </c>
    </row>
    <row r="36" spans="2:34">
      <c r="C36" s="293" t="s">
        <v>141</v>
      </c>
      <c r="E36" s="326">
        <v>1</v>
      </c>
      <c r="F36" s="326">
        <v>1</v>
      </c>
      <c r="G36" s="326">
        <v>1</v>
      </c>
      <c r="H36" s="326">
        <v>1</v>
      </c>
      <c r="I36" s="326">
        <v>1</v>
      </c>
      <c r="J36" s="326">
        <v>1</v>
      </c>
      <c r="K36" s="326">
        <v>1</v>
      </c>
      <c r="L36" s="326">
        <v>1</v>
      </c>
      <c r="M36" s="326">
        <v>1</v>
      </c>
      <c r="N36" s="326">
        <v>1</v>
      </c>
      <c r="O36" s="326"/>
      <c r="P36" s="326">
        <v>1</v>
      </c>
      <c r="Q36" s="326">
        <v>1</v>
      </c>
      <c r="R36" s="326">
        <v>1</v>
      </c>
      <c r="S36" s="326">
        <v>1</v>
      </c>
      <c r="T36" s="326">
        <v>1</v>
      </c>
      <c r="U36" s="326">
        <v>1</v>
      </c>
      <c r="V36" s="326">
        <v>1</v>
      </c>
      <c r="W36" s="326">
        <v>1</v>
      </c>
      <c r="X36" s="326">
        <v>1</v>
      </c>
      <c r="Y36" s="326">
        <v>1</v>
      </c>
      <c r="Z36" s="487" t="str">
        <f>IFERROR(VLOOKUP($C36,[3]RoboFS!$K:$Q,$AI$1,FALSE),"")</f>
        <v/>
      </c>
      <c r="AA36" s="488">
        <f t="shared" si="6"/>
        <v>1</v>
      </c>
      <c r="AB36" s="488" t="str">
        <f t="shared" si="7"/>
        <v/>
      </c>
      <c r="AC36" s="489" t="str">
        <f t="shared" si="8"/>
        <v/>
      </c>
      <c r="AD36" s="487" t="str">
        <f>IFERROR(VLOOKUP($C36,[3]RoboFS!$K:$Q,$AI$2,FALSE),"")</f>
        <v/>
      </c>
      <c r="AE36" s="488">
        <f t="shared" si="11"/>
        <v>1</v>
      </c>
      <c r="AF36" s="488" t="str">
        <f t="shared" si="9"/>
        <v/>
      </c>
      <c r="AG36" s="489" t="str">
        <f t="shared" si="10"/>
        <v/>
      </c>
    </row>
    <row r="37" spans="2:34">
      <c r="C37" s="293" t="s">
        <v>71</v>
      </c>
      <c r="E37" s="422">
        <v>1</v>
      </c>
      <c r="F37" s="422">
        <v>0</v>
      </c>
      <c r="G37" s="422">
        <v>0</v>
      </c>
      <c r="H37" s="422">
        <v>0</v>
      </c>
      <c r="I37" s="422">
        <v>0</v>
      </c>
      <c r="J37" s="422">
        <v>0</v>
      </c>
      <c r="K37" s="422">
        <v>0</v>
      </c>
      <c r="L37" s="422">
        <v>0</v>
      </c>
      <c r="M37" s="422">
        <v>0</v>
      </c>
      <c r="N37" s="422">
        <v>0</v>
      </c>
      <c r="O37" s="326"/>
      <c r="P37" s="422">
        <v>1</v>
      </c>
      <c r="Q37" s="422">
        <v>0</v>
      </c>
      <c r="R37" s="422">
        <v>0</v>
      </c>
      <c r="S37" s="422">
        <v>0</v>
      </c>
      <c r="T37" s="422">
        <v>0</v>
      </c>
      <c r="U37" s="422">
        <v>0</v>
      </c>
      <c r="V37" s="422">
        <v>0</v>
      </c>
      <c r="W37" s="422">
        <v>0</v>
      </c>
      <c r="X37" s="422">
        <v>0</v>
      </c>
      <c r="Y37" s="422">
        <v>0</v>
      </c>
      <c r="Z37" s="487" t="str">
        <f>IFERROR(VLOOKUP($C37,[3]RoboFS!$K:$Q,$AI$1,FALSE),"")</f>
        <v/>
      </c>
      <c r="AA37" s="488">
        <f t="shared" si="6"/>
        <v>1</v>
      </c>
      <c r="AB37" s="488" t="str">
        <f t="shared" si="7"/>
        <v/>
      </c>
      <c r="AC37" s="489" t="str">
        <f t="shared" si="8"/>
        <v/>
      </c>
      <c r="AD37" s="487" t="str">
        <f>IFERROR(VLOOKUP($C37,[3]RoboFS!$K:$Q,$AI$2,FALSE),"")</f>
        <v/>
      </c>
      <c r="AE37" s="488">
        <f t="shared" si="11"/>
        <v>1</v>
      </c>
      <c r="AF37" s="488" t="str">
        <f t="shared" si="9"/>
        <v/>
      </c>
      <c r="AG37" s="489" t="str">
        <f t="shared" si="10"/>
        <v/>
      </c>
    </row>
    <row r="38" spans="2:34">
      <c r="C38" s="293" t="s">
        <v>72</v>
      </c>
      <c r="E38" s="326">
        <v>1</v>
      </c>
      <c r="F38" s="326">
        <v>1</v>
      </c>
      <c r="G38" s="326">
        <v>1</v>
      </c>
      <c r="H38" s="326">
        <v>1</v>
      </c>
      <c r="I38" s="326">
        <v>1</v>
      </c>
      <c r="J38" s="326">
        <v>1</v>
      </c>
      <c r="K38" s="326">
        <v>1</v>
      </c>
      <c r="L38" s="326">
        <v>1</v>
      </c>
      <c r="M38" s="326">
        <v>1</v>
      </c>
      <c r="N38" s="326">
        <v>1</v>
      </c>
      <c r="O38" s="326"/>
      <c r="P38" s="326">
        <v>1</v>
      </c>
      <c r="Q38" s="326">
        <v>1</v>
      </c>
      <c r="R38" s="326">
        <v>1</v>
      </c>
      <c r="S38" s="326">
        <v>1</v>
      </c>
      <c r="T38" s="326">
        <v>1</v>
      </c>
      <c r="U38" s="326">
        <v>1</v>
      </c>
      <c r="V38" s="326">
        <v>1</v>
      </c>
      <c r="W38" s="326">
        <v>1</v>
      </c>
      <c r="X38" s="326">
        <v>1</v>
      </c>
      <c r="Y38" s="326">
        <v>1</v>
      </c>
      <c r="Z38" s="487" t="str">
        <f>IFERROR(VLOOKUP($C38,[3]RoboFS!$K:$Q,$AI$1,FALSE),"")</f>
        <v/>
      </c>
      <c r="AA38" s="488">
        <f t="shared" si="6"/>
        <v>1</v>
      </c>
      <c r="AB38" s="488" t="str">
        <f t="shared" si="7"/>
        <v/>
      </c>
      <c r="AC38" s="489" t="str">
        <f t="shared" si="8"/>
        <v/>
      </c>
      <c r="AD38" s="487" t="str">
        <f>IFERROR(VLOOKUP($C38,[3]RoboFS!$K:$Q,$AI$2,FALSE),"")</f>
        <v/>
      </c>
      <c r="AE38" s="488">
        <f t="shared" si="11"/>
        <v>1</v>
      </c>
      <c r="AF38" s="488" t="str">
        <f t="shared" si="9"/>
        <v/>
      </c>
      <c r="AG38" s="489" t="str">
        <f t="shared" si="10"/>
        <v/>
      </c>
    </row>
    <row r="39" spans="2:34">
      <c r="C39" s="293" t="s">
        <v>142</v>
      </c>
      <c r="E39" s="422">
        <v>1</v>
      </c>
      <c r="F39" s="422">
        <v>0</v>
      </c>
      <c r="G39" s="422">
        <v>0</v>
      </c>
      <c r="H39" s="422">
        <v>0</v>
      </c>
      <c r="I39" s="422">
        <v>0</v>
      </c>
      <c r="J39" s="422">
        <v>0</v>
      </c>
      <c r="K39" s="422">
        <v>0</v>
      </c>
      <c r="L39" s="422">
        <v>0</v>
      </c>
      <c r="M39" s="422">
        <v>0</v>
      </c>
      <c r="N39" s="422">
        <v>0</v>
      </c>
      <c r="O39" s="326"/>
      <c r="P39" s="422">
        <v>1</v>
      </c>
      <c r="Q39" s="422">
        <v>0</v>
      </c>
      <c r="R39" s="422">
        <v>0</v>
      </c>
      <c r="S39" s="422">
        <v>0</v>
      </c>
      <c r="T39" s="422">
        <v>0</v>
      </c>
      <c r="U39" s="422">
        <v>0</v>
      </c>
      <c r="V39" s="422">
        <v>0</v>
      </c>
      <c r="W39" s="422">
        <v>0</v>
      </c>
      <c r="X39" s="422">
        <v>0</v>
      </c>
      <c r="Y39" s="422">
        <v>0</v>
      </c>
      <c r="Z39" s="487" t="str">
        <f>IFERROR(VLOOKUP($C39,[3]RoboFS!$K:$Q,$AI$1,FALSE),"")</f>
        <v/>
      </c>
      <c r="AA39" s="488">
        <f t="shared" si="6"/>
        <v>1</v>
      </c>
      <c r="AB39" s="488" t="str">
        <f t="shared" si="7"/>
        <v/>
      </c>
      <c r="AC39" s="489" t="str">
        <f t="shared" si="8"/>
        <v/>
      </c>
      <c r="AD39" s="487" t="str">
        <f>IFERROR(VLOOKUP($C39,[3]RoboFS!$K:$Q,$AI$2,FALSE),"")</f>
        <v/>
      </c>
      <c r="AE39" s="488">
        <f t="shared" si="11"/>
        <v>1</v>
      </c>
      <c r="AF39" s="488" t="str">
        <f t="shared" si="9"/>
        <v/>
      </c>
      <c r="AG39" s="489" t="str">
        <f t="shared" si="10"/>
        <v/>
      </c>
    </row>
    <row r="40" spans="2:34">
      <c r="C40" s="293" t="s">
        <v>69</v>
      </c>
      <c r="E40" s="326">
        <v>2</v>
      </c>
      <c r="F40" s="326">
        <v>2</v>
      </c>
      <c r="G40" s="326">
        <v>2</v>
      </c>
      <c r="H40" s="326">
        <v>2</v>
      </c>
      <c r="I40" s="326">
        <v>2</v>
      </c>
      <c r="J40" s="326">
        <v>2</v>
      </c>
      <c r="K40" s="326">
        <v>2</v>
      </c>
      <c r="L40" s="326">
        <v>2</v>
      </c>
      <c r="M40" s="326">
        <v>2</v>
      </c>
      <c r="N40" s="326">
        <v>2</v>
      </c>
      <c r="O40" s="326"/>
      <c r="P40" s="326">
        <v>2</v>
      </c>
      <c r="Q40" s="326">
        <v>2</v>
      </c>
      <c r="R40" s="326">
        <v>2</v>
      </c>
      <c r="S40" s="326">
        <v>2</v>
      </c>
      <c r="T40" s="326">
        <v>2</v>
      </c>
      <c r="U40" s="326">
        <v>2</v>
      </c>
      <c r="V40" s="326">
        <v>2</v>
      </c>
      <c r="W40" s="326">
        <v>2</v>
      </c>
      <c r="X40" s="326">
        <v>2</v>
      </c>
      <c r="Y40" s="326">
        <v>2</v>
      </c>
      <c r="Z40" s="487" t="str">
        <f>IFERROR(VLOOKUP($C40,[3]RoboFS!$K:$Q,$AI$1,FALSE),"")</f>
        <v/>
      </c>
      <c r="AA40" s="488">
        <f t="shared" si="6"/>
        <v>2</v>
      </c>
      <c r="AB40" s="488" t="str">
        <f t="shared" si="7"/>
        <v/>
      </c>
      <c r="AC40" s="489" t="str">
        <f t="shared" si="8"/>
        <v/>
      </c>
      <c r="AD40" s="487" t="str">
        <f>IFERROR(VLOOKUP($C40,[3]RoboFS!$K:$Q,$AI$2,FALSE),"")</f>
        <v/>
      </c>
      <c r="AE40" s="488">
        <f t="shared" si="11"/>
        <v>2</v>
      </c>
      <c r="AF40" s="488" t="str">
        <f t="shared" si="9"/>
        <v/>
      </c>
      <c r="AG40" s="489" t="str">
        <f t="shared" si="10"/>
        <v/>
      </c>
    </row>
    <row r="41" spans="2:34">
      <c r="C41" s="293" t="s">
        <v>73</v>
      </c>
      <c r="E41" s="422">
        <v>1</v>
      </c>
      <c r="F41" s="422">
        <v>0</v>
      </c>
      <c r="G41" s="422">
        <v>0</v>
      </c>
      <c r="H41" s="422">
        <v>0</v>
      </c>
      <c r="I41" s="422">
        <v>0</v>
      </c>
      <c r="J41" s="422">
        <v>0</v>
      </c>
      <c r="K41" s="422">
        <v>0</v>
      </c>
      <c r="L41" s="422">
        <v>0</v>
      </c>
      <c r="M41" s="422">
        <v>0</v>
      </c>
      <c r="N41" s="422">
        <v>0</v>
      </c>
      <c r="O41" s="326"/>
      <c r="P41" s="422">
        <v>1</v>
      </c>
      <c r="Q41" s="422">
        <v>0</v>
      </c>
      <c r="R41" s="422">
        <v>0</v>
      </c>
      <c r="S41" s="422">
        <v>0</v>
      </c>
      <c r="T41" s="422">
        <v>0</v>
      </c>
      <c r="U41" s="422">
        <v>0</v>
      </c>
      <c r="V41" s="422">
        <v>0</v>
      </c>
      <c r="W41" s="422">
        <v>0</v>
      </c>
      <c r="X41" s="422">
        <v>0</v>
      </c>
      <c r="Y41" s="422">
        <v>0</v>
      </c>
      <c r="Z41" s="487" t="str">
        <f>IFERROR(VLOOKUP($C41,[3]RoboFS!$K:$Q,$AI$1,FALSE),"")</f>
        <v/>
      </c>
      <c r="AA41" s="488">
        <f t="shared" si="6"/>
        <v>1</v>
      </c>
      <c r="AB41" s="488" t="str">
        <f t="shared" si="7"/>
        <v/>
      </c>
      <c r="AC41" s="489" t="str">
        <f t="shared" si="8"/>
        <v/>
      </c>
      <c r="AD41" s="487" t="str">
        <f>IFERROR(VLOOKUP($C41,[3]RoboFS!$K:$Q,$AI$2,FALSE),"")</f>
        <v/>
      </c>
      <c r="AE41" s="488">
        <f t="shared" si="11"/>
        <v>1</v>
      </c>
      <c r="AF41" s="488" t="str">
        <f t="shared" si="9"/>
        <v/>
      </c>
      <c r="AG41" s="489" t="str">
        <f t="shared" si="10"/>
        <v/>
      </c>
    </row>
    <row r="42" spans="2:34">
      <c r="C42" s="293" t="s">
        <v>122</v>
      </c>
      <c r="E42" s="326">
        <v>1</v>
      </c>
      <c r="F42" s="326">
        <v>1</v>
      </c>
      <c r="G42" s="326">
        <v>1</v>
      </c>
      <c r="H42" s="326">
        <v>1</v>
      </c>
      <c r="I42" s="326">
        <v>1</v>
      </c>
      <c r="J42" s="326">
        <v>1</v>
      </c>
      <c r="K42" s="326">
        <v>1</v>
      </c>
      <c r="L42" s="326">
        <v>1</v>
      </c>
      <c r="M42" s="326">
        <v>1</v>
      </c>
      <c r="N42" s="326">
        <v>1</v>
      </c>
      <c r="O42" s="326"/>
      <c r="P42" s="326">
        <v>1</v>
      </c>
      <c r="Q42" s="326">
        <v>1</v>
      </c>
      <c r="R42" s="326">
        <v>1</v>
      </c>
      <c r="S42" s="326">
        <v>1</v>
      </c>
      <c r="T42" s="326">
        <v>1</v>
      </c>
      <c r="U42" s="326">
        <v>1</v>
      </c>
      <c r="V42" s="326">
        <v>1</v>
      </c>
      <c r="W42" s="326">
        <v>1</v>
      </c>
      <c r="X42" s="326">
        <v>1</v>
      </c>
      <c r="Y42" s="326">
        <v>1</v>
      </c>
      <c r="Z42" s="487" t="str">
        <f>IFERROR(VLOOKUP($C42,[3]RoboFS!$K:$Q,$AI$1,FALSE),"")</f>
        <v/>
      </c>
      <c r="AA42" s="488">
        <f t="shared" si="6"/>
        <v>1</v>
      </c>
      <c r="AB42" s="488" t="str">
        <f t="shared" si="7"/>
        <v/>
      </c>
      <c r="AC42" s="489" t="str">
        <f t="shared" si="8"/>
        <v/>
      </c>
      <c r="AD42" s="487" t="str">
        <f>IFERROR(VLOOKUP($C42,[3]RoboFS!$K:$Q,$AI$2,FALSE),"")</f>
        <v/>
      </c>
      <c r="AE42" s="488">
        <f t="shared" si="11"/>
        <v>1</v>
      </c>
      <c r="AF42" s="488" t="str">
        <f t="shared" si="9"/>
        <v/>
      </c>
      <c r="AG42" s="489" t="str">
        <f t="shared" si="10"/>
        <v/>
      </c>
    </row>
    <row r="43" spans="2:34">
      <c r="B43" s="501"/>
      <c r="C43" s="502"/>
      <c r="D43" s="502"/>
      <c r="E43" s="502"/>
      <c r="F43" s="502"/>
      <c r="G43" s="502"/>
      <c r="H43" s="502"/>
      <c r="I43" s="502"/>
      <c r="J43" s="502"/>
      <c r="K43" s="502"/>
      <c r="L43" s="502"/>
      <c r="M43" s="502"/>
      <c r="N43" s="502"/>
      <c r="O43" s="503"/>
      <c r="P43" s="502"/>
      <c r="Q43" s="502"/>
      <c r="R43" s="502"/>
      <c r="S43" s="502"/>
      <c r="T43" s="502"/>
      <c r="U43" s="502"/>
      <c r="V43" s="502"/>
      <c r="W43" s="502"/>
      <c r="X43" s="502"/>
      <c r="Y43" s="502"/>
      <c r="Z43" s="487" t="str">
        <f>IFERROR(VLOOKUP($C43,[3]RoboFS!$K:$Q,$AI$1,FALSE),"")</f>
        <v/>
      </c>
      <c r="AD43" s="487" t="str">
        <f>IFERROR(VLOOKUP($C43,[3]RoboFS!$K:$Q,$AI$2,FALSE),"")</f>
        <v/>
      </c>
    </row>
    <row r="44" spans="2:34">
      <c r="Z44" s="487" t="str">
        <f>IFERROR(VLOOKUP($C44,[3]RoboFS!$K:$Q,$AI$1,FALSE),"")</f>
        <v/>
      </c>
      <c r="AD44" s="487" t="str">
        <f>IFERROR(VLOOKUP($C44,[3]RoboFS!$K:$Q,$AI$2,FALSE),"")</f>
        <v/>
      </c>
    </row>
    <row r="45" spans="2:34">
      <c r="B45" s="27" t="s">
        <v>50</v>
      </c>
      <c r="C45" s="40" t="s">
        <v>723</v>
      </c>
      <c r="D45" s="40"/>
      <c r="E45" s="497" t="s">
        <v>733</v>
      </c>
      <c r="F45" s="497"/>
      <c r="G45" s="497"/>
      <c r="H45" s="497"/>
      <c r="I45" s="497"/>
      <c r="J45" s="497"/>
      <c r="K45" s="497"/>
      <c r="L45" s="497"/>
      <c r="M45" s="497"/>
      <c r="N45" s="497"/>
      <c r="O45" s="7" t="s">
        <v>0</v>
      </c>
      <c r="P45" s="497" t="s">
        <v>733</v>
      </c>
      <c r="Q45" s="497"/>
      <c r="R45" s="497"/>
      <c r="S45" s="497"/>
      <c r="T45" s="497"/>
      <c r="U45" s="497"/>
      <c r="V45" s="497"/>
      <c r="W45" s="497"/>
      <c r="X45" s="497"/>
      <c r="Y45" s="497"/>
      <c r="Z45" s="487" t="str">
        <f>IFERROR(VLOOKUP($C45,[3]RoboFS!$K:$Q,$AI$1,FALSE),"")</f>
        <v/>
      </c>
      <c r="AD45" s="487" t="str">
        <f>IFERROR(VLOOKUP($C45,[3]RoboFS!$K:$Q,$AI$2,FALSE),"")</f>
        <v/>
      </c>
    </row>
    <row r="46" spans="2:34">
      <c r="C46" s="293" t="s">
        <v>725</v>
      </c>
      <c r="E46" s="422">
        <v>1</v>
      </c>
      <c r="F46" s="422">
        <v>0</v>
      </c>
      <c r="G46" s="422">
        <v>0</v>
      </c>
      <c r="H46" s="422">
        <v>0</v>
      </c>
      <c r="I46" s="422">
        <v>0</v>
      </c>
      <c r="J46" s="422">
        <v>0</v>
      </c>
      <c r="K46" s="422">
        <v>0</v>
      </c>
      <c r="L46" s="422">
        <v>0</v>
      </c>
      <c r="M46" s="422">
        <v>0</v>
      </c>
      <c r="N46" s="422">
        <v>0</v>
      </c>
      <c r="O46" s="326"/>
      <c r="P46" s="422">
        <v>1</v>
      </c>
      <c r="Q46" s="422">
        <v>0</v>
      </c>
      <c r="R46" s="422">
        <v>0</v>
      </c>
      <c r="S46" s="422">
        <v>0</v>
      </c>
      <c r="T46" s="422">
        <v>0</v>
      </c>
      <c r="U46" s="422">
        <v>0</v>
      </c>
      <c r="V46" s="422">
        <v>0</v>
      </c>
      <c r="W46" s="422">
        <v>0</v>
      </c>
      <c r="X46" s="422">
        <v>0</v>
      </c>
      <c r="Y46" s="422">
        <v>0</v>
      </c>
      <c r="Z46" s="487" t="str">
        <f>IFERROR(VLOOKUP($C46,[3]RoboFS!$K:$Q,$AI$1,FALSE),"")</f>
        <v/>
      </c>
      <c r="AD46" s="487" t="str">
        <f>IFERROR(VLOOKUP($C46,[3]RoboFS!$K:$Q,$AI$2,FALSE),"")</f>
        <v/>
      </c>
    </row>
    <row r="47" spans="2:34">
      <c r="Z47" s="487" t="str">
        <f>IFERROR(VLOOKUP($C47,[3]RoboFS!$K:$Q,$AI$1,FALSE),"")</f>
        <v/>
      </c>
      <c r="AD47" s="487" t="str">
        <f>IFERROR(VLOOKUP($C47,[3]RoboFS!$K:$Q,$AI$2,FALSE),"")</f>
        <v/>
      </c>
    </row>
    <row r="48" spans="2:34">
      <c r="B48" s="30" t="s">
        <v>726</v>
      </c>
      <c r="C48" s="293" t="s">
        <v>163</v>
      </c>
      <c r="E48" s="422">
        <v>12</v>
      </c>
      <c r="F48" s="422">
        <v>0</v>
      </c>
      <c r="G48" s="422">
        <v>0</v>
      </c>
      <c r="H48" s="422">
        <v>0</v>
      </c>
      <c r="I48" s="422">
        <v>0</v>
      </c>
      <c r="J48" s="422">
        <v>0</v>
      </c>
      <c r="K48" s="422">
        <v>0</v>
      </c>
      <c r="L48" s="422">
        <v>0</v>
      </c>
      <c r="M48" s="422">
        <v>0</v>
      </c>
      <c r="N48" s="422">
        <v>0</v>
      </c>
      <c r="O48" s="326"/>
      <c r="P48" s="422">
        <v>20</v>
      </c>
      <c r="Q48" s="422">
        <v>0</v>
      </c>
      <c r="R48" s="422">
        <v>0</v>
      </c>
      <c r="S48" s="422">
        <v>0</v>
      </c>
      <c r="T48" s="422">
        <v>0</v>
      </c>
      <c r="U48" s="422">
        <v>0</v>
      </c>
      <c r="V48" s="422">
        <v>0</v>
      </c>
      <c r="W48" s="422">
        <v>0</v>
      </c>
      <c r="X48" s="422">
        <v>0</v>
      </c>
      <c r="Y48" s="422">
        <v>0</v>
      </c>
      <c r="Z48" s="487">
        <f>IFERROR(VLOOKUP($C48,[3]RoboFS!$K:$Q,$AI$1,FALSE),"")</f>
        <v>7</v>
      </c>
      <c r="AA48" s="488">
        <f>SUMPRODUCT(E48:N48,E$46:N$46)</f>
        <v>12</v>
      </c>
      <c r="AB48" s="488">
        <f>IF(Z48&lt;&gt;"",MAX(Z48-AA48,0),"")</f>
        <v>0</v>
      </c>
      <c r="AC48" s="489">
        <f>IF(Z48&lt;&gt;"",MAX(AA48-Z48,0),"")</f>
        <v>5</v>
      </c>
      <c r="AD48" s="487">
        <f>IFERROR(VLOOKUP($C48,[3]RoboFS!$K:$Q,$AI$2,FALSE),"")</f>
        <v>9</v>
      </c>
      <c r="AE48" s="488">
        <f>SUMPRODUCT(P48:Y48,P$46:Y$46)</f>
        <v>20</v>
      </c>
      <c r="AF48" s="488">
        <f>IF(AD48&lt;&gt;"",MAX(AD48-AE48,0),"")</f>
        <v>0</v>
      </c>
      <c r="AG48" s="489">
        <f>IF(AD48&lt;&gt;"",MAX(AE48-AD48,0),"")</f>
        <v>11</v>
      </c>
      <c r="AH48" s="293" t="s">
        <v>734</v>
      </c>
    </row>
    <row r="49" spans="2:34">
      <c r="B49" s="7"/>
      <c r="C49" s="293" t="s">
        <v>735</v>
      </c>
      <c r="E49" s="422">
        <v>22</v>
      </c>
      <c r="F49" s="422">
        <v>0</v>
      </c>
      <c r="G49" s="422">
        <v>0</v>
      </c>
      <c r="H49" s="422">
        <v>0</v>
      </c>
      <c r="I49" s="422">
        <v>0</v>
      </c>
      <c r="J49" s="422">
        <v>0</v>
      </c>
      <c r="K49" s="422">
        <v>0</v>
      </c>
      <c r="L49" s="422">
        <v>0</v>
      </c>
      <c r="M49" s="422">
        <v>0</v>
      </c>
      <c r="N49" s="422">
        <v>0</v>
      </c>
      <c r="O49" s="326"/>
      <c r="P49" s="422">
        <v>44</v>
      </c>
      <c r="Q49" s="422">
        <v>0</v>
      </c>
      <c r="R49" s="422">
        <v>0</v>
      </c>
      <c r="S49" s="422">
        <v>0</v>
      </c>
      <c r="T49" s="422">
        <v>0</v>
      </c>
      <c r="U49" s="422">
        <v>0</v>
      </c>
      <c r="V49" s="422">
        <v>0</v>
      </c>
      <c r="W49" s="422">
        <v>0</v>
      </c>
      <c r="X49" s="422">
        <v>0</v>
      </c>
      <c r="Y49" s="422">
        <v>0</v>
      </c>
      <c r="Z49" s="487" t="str">
        <f>IFERROR(VLOOKUP($C49,[3]RoboFS!$K:$Q,$AI$1,FALSE),"")</f>
        <v/>
      </c>
      <c r="AD49" s="487" t="str">
        <f>IFERROR(VLOOKUP($C49,[3]RoboFS!$K:$Q,$AI$2,FALSE),"")</f>
        <v/>
      </c>
    </row>
    <row r="50" spans="2:34">
      <c r="B50" s="7"/>
      <c r="E50" s="422"/>
      <c r="F50" s="422"/>
      <c r="G50" s="422"/>
      <c r="H50" s="422"/>
      <c r="I50" s="422"/>
      <c r="J50" s="422"/>
      <c r="K50" s="422"/>
      <c r="L50" s="422"/>
      <c r="M50" s="422"/>
      <c r="N50" s="422"/>
      <c r="O50" s="326"/>
      <c r="P50" s="422"/>
      <c r="Q50" s="422"/>
      <c r="R50" s="422"/>
      <c r="S50" s="422"/>
      <c r="T50" s="422"/>
      <c r="U50" s="422"/>
      <c r="V50" s="422"/>
      <c r="W50" s="422"/>
      <c r="X50" s="422"/>
      <c r="Y50" s="422"/>
      <c r="Z50" s="487" t="str">
        <f>IFERROR(VLOOKUP($C50,[3]RoboFS!$K:$Q,$AI$1,FALSE),"")</f>
        <v/>
      </c>
      <c r="AD50" s="487" t="str">
        <f>IFERROR(VLOOKUP($C50,[3]RoboFS!$K:$Q,$AI$2,FALSE),"")</f>
        <v/>
      </c>
    </row>
    <row r="51" spans="2:34">
      <c r="B51" s="30" t="s">
        <v>736</v>
      </c>
      <c r="C51" s="293" t="s">
        <v>737</v>
      </c>
      <c r="E51" s="326">
        <f t="shared" ref="E51:N51" si="16">E48*E49</f>
        <v>264</v>
      </c>
      <c r="F51" s="326">
        <f t="shared" si="16"/>
        <v>0</v>
      </c>
      <c r="G51" s="326">
        <f t="shared" si="16"/>
        <v>0</v>
      </c>
      <c r="H51" s="326">
        <f t="shared" si="16"/>
        <v>0</v>
      </c>
      <c r="I51" s="326">
        <f t="shared" si="16"/>
        <v>0</v>
      </c>
      <c r="J51" s="326">
        <f t="shared" si="16"/>
        <v>0</v>
      </c>
      <c r="K51" s="326">
        <f t="shared" si="16"/>
        <v>0</v>
      </c>
      <c r="L51" s="326">
        <f t="shared" si="16"/>
        <v>0</v>
      </c>
      <c r="M51" s="326">
        <f t="shared" si="16"/>
        <v>0</v>
      </c>
      <c r="N51" s="326">
        <f t="shared" si="16"/>
        <v>0</v>
      </c>
      <c r="O51" s="326" t="s">
        <v>0</v>
      </c>
      <c r="P51" s="326">
        <f t="shared" ref="P51:Y51" si="17">P48*P49</f>
        <v>880</v>
      </c>
      <c r="Q51" s="326">
        <f t="shared" si="17"/>
        <v>0</v>
      </c>
      <c r="R51" s="326">
        <f t="shared" si="17"/>
        <v>0</v>
      </c>
      <c r="S51" s="326">
        <f t="shared" si="17"/>
        <v>0</v>
      </c>
      <c r="T51" s="326">
        <f t="shared" si="17"/>
        <v>0</v>
      </c>
      <c r="U51" s="326">
        <f t="shared" si="17"/>
        <v>0</v>
      </c>
      <c r="V51" s="326">
        <f t="shared" si="17"/>
        <v>0</v>
      </c>
      <c r="W51" s="326">
        <f t="shared" si="17"/>
        <v>0</v>
      </c>
      <c r="X51" s="326">
        <f t="shared" si="17"/>
        <v>0</v>
      </c>
      <c r="Y51" s="326">
        <f t="shared" si="17"/>
        <v>0</v>
      </c>
      <c r="Z51" s="487" t="str">
        <f>IFERROR(VLOOKUP($C51,[3]RoboFS!$K:$Q,$AI$1,FALSE),"")</f>
        <v/>
      </c>
      <c r="AD51" s="487" t="str">
        <f>IFERROR(VLOOKUP($C51,[3]RoboFS!$K:$Q,$AI$2,FALSE),"")</f>
        <v/>
      </c>
    </row>
    <row r="52" spans="2:34">
      <c r="C52" s="293" t="s">
        <v>738</v>
      </c>
      <c r="E52" s="326">
        <f t="shared" ref="E52:N52" si="18">E51*E46</f>
        <v>264</v>
      </c>
      <c r="F52" s="326">
        <f t="shared" si="18"/>
        <v>0</v>
      </c>
      <c r="G52" s="326">
        <f t="shared" si="18"/>
        <v>0</v>
      </c>
      <c r="H52" s="326">
        <f t="shared" si="18"/>
        <v>0</v>
      </c>
      <c r="I52" s="326">
        <f t="shared" si="18"/>
        <v>0</v>
      </c>
      <c r="J52" s="326">
        <f t="shared" si="18"/>
        <v>0</v>
      </c>
      <c r="K52" s="326">
        <f t="shared" si="18"/>
        <v>0</v>
      </c>
      <c r="L52" s="326">
        <f t="shared" si="18"/>
        <v>0</v>
      </c>
      <c r="M52" s="326">
        <f t="shared" si="18"/>
        <v>0</v>
      </c>
      <c r="N52" s="326">
        <f t="shared" si="18"/>
        <v>0</v>
      </c>
      <c r="O52" s="326" t="s">
        <v>0</v>
      </c>
      <c r="P52" s="326">
        <f t="shared" ref="P52:Y52" si="19">P51*P46</f>
        <v>880</v>
      </c>
      <c r="Q52" s="326">
        <f t="shared" si="19"/>
        <v>0</v>
      </c>
      <c r="R52" s="326">
        <f t="shared" si="19"/>
        <v>0</v>
      </c>
      <c r="S52" s="326">
        <f t="shared" si="19"/>
        <v>0</v>
      </c>
      <c r="T52" s="326">
        <f t="shared" si="19"/>
        <v>0</v>
      </c>
      <c r="U52" s="326">
        <f t="shared" si="19"/>
        <v>0</v>
      </c>
      <c r="V52" s="326">
        <f t="shared" si="19"/>
        <v>0</v>
      </c>
      <c r="W52" s="326">
        <f t="shared" si="19"/>
        <v>0</v>
      </c>
      <c r="X52" s="326">
        <f t="shared" si="19"/>
        <v>0</v>
      </c>
      <c r="Y52" s="326">
        <f t="shared" si="19"/>
        <v>0</v>
      </c>
      <c r="Z52" s="487" t="str">
        <f>IFERROR(VLOOKUP($C52,[3]RoboFS!$K:$Q,$AI$1,FALSE),"")</f>
        <v/>
      </c>
      <c r="AD52" s="487" t="str">
        <f>IFERROR(VLOOKUP($C52,[3]RoboFS!$K:$Q,$AI$2,FALSE),"")</f>
        <v/>
      </c>
    </row>
    <row r="53" spans="2:34">
      <c r="Z53" s="487" t="str">
        <f>IFERROR(VLOOKUP($C53,[3]RoboFS!$K:$Q,$AI$1,FALSE),"")</f>
        <v/>
      </c>
      <c r="AD53" s="487" t="str">
        <f>IFERROR(VLOOKUP($C53,[3]RoboFS!$K:$Q,$AI$2,FALSE),"")</f>
        <v/>
      </c>
    </row>
    <row r="54" spans="2:34">
      <c r="C54" s="293" t="s">
        <v>161</v>
      </c>
      <c r="E54" s="160" t="s">
        <v>739</v>
      </c>
      <c r="F54" s="504"/>
      <c r="G54" s="504"/>
      <c r="H54" s="505">
        <f>SUM(E52:N52)</f>
        <v>264</v>
      </c>
      <c r="I54" s="326"/>
      <c r="J54" s="326"/>
      <c r="K54" s="326"/>
      <c r="L54" s="326"/>
      <c r="M54" s="326"/>
      <c r="N54" s="326"/>
      <c r="O54" s="326"/>
      <c r="P54" s="160" t="s">
        <v>739</v>
      </c>
      <c r="Q54" s="504"/>
      <c r="R54" s="504"/>
      <c r="S54" s="505">
        <f>SUM(P52:Y52)</f>
        <v>880</v>
      </c>
      <c r="T54" s="326"/>
      <c r="U54" s="326"/>
      <c r="V54" s="326"/>
      <c r="W54" s="326"/>
      <c r="X54" s="326"/>
      <c r="Y54" s="326"/>
      <c r="Z54" s="487">
        <f>IFERROR(VLOOKUP($C54,[3]RoboFS!$K:$Q,$AI$1,FALSE),"")</f>
        <v>266.27918795232591</v>
      </c>
      <c r="AA54" s="488">
        <f>H54</f>
        <v>264</v>
      </c>
      <c r="AB54" s="488">
        <f>IF(Z54&lt;&gt;"",MAX(Z54-AA54,0),"")</f>
        <v>2.2791879523259126</v>
      </c>
      <c r="AC54" s="489">
        <f>IF(Z54&lt;&gt;"",MAX(AA54-Z54,0),"")</f>
        <v>0</v>
      </c>
      <c r="AD54" s="487">
        <f>IFERROR(VLOOKUP($C54,[3]RoboFS!$K:$Q,$AI$2,FALSE),"")</f>
        <v>266.27918795232591</v>
      </c>
      <c r="AE54" s="488">
        <f>S54</f>
        <v>880</v>
      </c>
      <c r="AF54" s="488">
        <f>IF(AD54&lt;&gt;"",MAX(AD54-AE54,0),"")</f>
        <v>0</v>
      </c>
      <c r="AG54" s="489">
        <f>IF(AD54&lt;&gt;"",MAX(AE54-AD54,0),"")</f>
        <v>613.72081204767414</v>
      </c>
      <c r="AH54" s="10" t="s">
        <v>740</v>
      </c>
    </row>
    <row r="55" spans="2:34">
      <c r="B55" s="501"/>
      <c r="C55" s="502"/>
      <c r="D55" s="502"/>
      <c r="E55" s="502"/>
      <c r="F55" s="502"/>
      <c r="G55" s="502"/>
      <c r="H55" s="502"/>
      <c r="I55" s="502"/>
      <c r="J55" s="502"/>
      <c r="K55" s="502"/>
      <c r="L55" s="502"/>
      <c r="M55" s="502"/>
      <c r="N55" s="502"/>
      <c r="O55" s="503"/>
      <c r="P55" s="502"/>
      <c r="Q55" s="502"/>
      <c r="R55" s="502"/>
      <c r="S55" s="502"/>
      <c r="T55" s="502"/>
      <c r="U55" s="502"/>
      <c r="V55" s="502"/>
      <c r="W55" s="502"/>
      <c r="X55" s="502"/>
      <c r="Y55" s="502"/>
      <c r="Z55" s="487" t="str">
        <f>IFERROR(VLOOKUP($C55,[3]RoboFS!$K:$Q,$AI$1,FALSE),"")</f>
        <v/>
      </c>
      <c r="AD55" s="487" t="str">
        <f>IFERROR(VLOOKUP($C55,[3]RoboFS!$K:$Q,$AI$2,FALSE),"")</f>
        <v/>
      </c>
    </row>
    <row r="56" spans="2:34">
      <c r="B56" s="27"/>
      <c r="O56" s="326"/>
      <c r="Z56" s="487" t="str">
        <f>IFERROR(VLOOKUP($C56,[3]RoboFS!$K:$Q,$AI$1,FALSE),"")</f>
        <v/>
      </c>
      <c r="AD56" s="487" t="str">
        <f>IFERROR(VLOOKUP($C56,[3]RoboFS!$K:$Q,$AI$2,FALSE),"")</f>
        <v/>
      </c>
    </row>
    <row r="57" spans="2:34">
      <c r="B57" s="27" t="s">
        <v>51</v>
      </c>
      <c r="C57" s="40" t="s">
        <v>723</v>
      </c>
      <c r="D57" s="40"/>
      <c r="E57" s="497" t="s">
        <v>741</v>
      </c>
      <c r="F57" s="497" t="s">
        <v>742</v>
      </c>
      <c r="G57" s="497"/>
      <c r="H57" s="497"/>
      <c r="I57" s="497"/>
      <c r="J57" s="497"/>
      <c r="K57" s="497"/>
      <c r="L57" s="497"/>
      <c r="M57" s="497"/>
      <c r="N57" s="497"/>
      <c r="O57" s="7" t="s">
        <v>0</v>
      </c>
      <c r="P57" s="497" t="s">
        <v>743</v>
      </c>
      <c r="Q57" s="497" t="s">
        <v>742</v>
      </c>
      <c r="R57" s="497" t="s">
        <v>744</v>
      </c>
      <c r="S57" s="497"/>
      <c r="T57" s="497"/>
      <c r="U57" s="497"/>
      <c r="V57" s="497"/>
      <c r="W57" s="497"/>
      <c r="X57" s="497"/>
      <c r="Y57" s="497"/>
      <c r="Z57" s="487" t="str">
        <f>IFERROR(VLOOKUP($C57,[3]RoboFS!$K:$Q,$AI$1,FALSE),"")</f>
        <v/>
      </c>
      <c r="AD57" s="487" t="str">
        <f>IFERROR(VLOOKUP($C57,[3]RoboFS!$K:$Q,$AI$2,FALSE),"")</f>
        <v/>
      </c>
    </row>
    <row r="58" spans="2:34">
      <c r="C58" s="293" t="s">
        <v>725</v>
      </c>
      <c r="E58" s="422">
        <v>12</v>
      </c>
      <c r="F58" s="422">
        <v>5</v>
      </c>
      <c r="G58" s="422">
        <v>0</v>
      </c>
      <c r="H58" s="422">
        <v>0</v>
      </c>
      <c r="I58" s="422">
        <v>0</v>
      </c>
      <c r="J58" s="422">
        <v>0</v>
      </c>
      <c r="K58" s="422">
        <v>0</v>
      </c>
      <c r="L58" s="422">
        <v>0</v>
      </c>
      <c r="M58" s="422">
        <v>0</v>
      </c>
      <c r="N58" s="422">
        <v>0</v>
      </c>
      <c r="O58" s="326"/>
      <c r="P58" s="422">
        <v>38</v>
      </c>
      <c r="Q58" s="422">
        <v>4</v>
      </c>
      <c r="R58" s="422">
        <v>0</v>
      </c>
      <c r="S58" s="422">
        <v>0</v>
      </c>
      <c r="T58" s="422">
        <v>0</v>
      </c>
      <c r="U58" s="422">
        <v>0</v>
      </c>
      <c r="V58" s="422">
        <v>0</v>
      </c>
      <c r="W58" s="422">
        <v>0</v>
      </c>
      <c r="X58" s="422">
        <v>0</v>
      </c>
      <c r="Y58" s="422">
        <v>0</v>
      </c>
      <c r="Z58" s="487" t="str">
        <f>IFERROR(VLOOKUP($C58,[3]RoboFS!$K:$Q,$AI$1,FALSE),"")</f>
        <v/>
      </c>
      <c r="AD58" s="487" t="str">
        <f>IFERROR(VLOOKUP($C58,[3]RoboFS!$K:$Q,$AI$2,FALSE),"")</f>
        <v/>
      </c>
    </row>
    <row r="59" spans="2:34">
      <c r="Z59" s="487" t="str">
        <f>IFERROR(VLOOKUP($C59,[3]RoboFS!$K:$Q,$AI$1,FALSE),"")</f>
        <v/>
      </c>
      <c r="AD59" s="487" t="str">
        <f>IFERROR(VLOOKUP($C59,[3]RoboFS!$K:$Q,$AI$2,FALSE),"")</f>
        <v/>
      </c>
    </row>
    <row r="60" spans="2:34">
      <c r="B60" s="30" t="s">
        <v>726</v>
      </c>
      <c r="C60" s="293" t="s">
        <v>745</v>
      </c>
      <c r="E60" s="422">
        <v>4</v>
      </c>
      <c r="F60" s="422">
        <v>2</v>
      </c>
      <c r="G60" s="422">
        <v>0</v>
      </c>
      <c r="H60" s="422">
        <v>0</v>
      </c>
      <c r="I60" s="422">
        <v>0</v>
      </c>
      <c r="J60" s="422">
        <v>0</v>
      </c>
      <c r="K60" s="422">
        <v>0</v>
      </c>
      <c r="L60" s="422">
        <v>0</v>
      </c>
      <c r="M60" s="422">
        <v>0</v>
      </c>
      <c r="N60" s="422">
        <v>0</v>
      </c>
      <c r="O60" s="326"/>
      <c r="P60" s="422">
        <v>4</v>
      </c>
      <c r="Q60" s="422">
        <v>2</v>
      </c>
      <c r="R60" s="422">
        <v>0</v>
      </c>
      <c r="S60" s="422">
        <v>0</v>
      </c>
      <c r="T60" s="422">
        <v>0</v>
      </c>
      <c r="U60" s="422">
        <v>0</v>
      </c>
      <c r="V60" s="422">
        <v>0</v>
      </c>
      <c r="W60" s="422">
        <v>0</v>
      </c>
      <c r="X60" s="422">
        <v>0</v>
      </c>
      <c r="Y60" s="422">
        <v>0</v>
      </c>
      <c r="Z60" s="487" t="str">
        <f>IFERROR(VLOOKUP($C60,[3]RoboFS!$K:$Q,$AI$1,FALSE),"")</f>
        <v/>
      </c>
      <c r="AD60" s="487" t="str">
        <f>IFERROR(VLOOKUP($C60,[3]RoboFS!$K:$Q,$AI$2,FALSE),"")</f>
        <v/>
      </c>
    </row>
    <row r="61" spans="2:34">
      <c r="C61" s="293" t="s">
        <v>706</v>
      </c>
      <c r="E61" s="422">
        <v>2</v>
      </c>
      <c r="F61" s="422">
        <v>2</v>
      </c>
      <c r="G61" s="422">
        <v>0</v>
      </c>
      <c r="H61" s="422">
        <v>0</v>
      </c>
      <c r="I61" s="422">
        <v>0</v>
      </c>
      <c r="J61" s="422">
        <v>0</v>
      </c>
      <c r="K61" s="422">
        <v>0</v>
      </c>
      <c r="L61" s="422">
        <v>0</v>
      </c>
      <c r="M61" s="422">
        <v>0</v>
      </c>
      <c r="N61" s="422">
        <v>0</v>
      </c>
      <c r="O61" s="326"/>
      <c r="P61" s="422">
        <v>2</v>
      </c>
      <c r="Q61" s="422">
        <v>2</v>
      </c>
      <c r="R61" s="422">
        <v>0</v>
      </c>
      <c r="S61" s="422">
        <v>0</v>
      </c>
      <c r="T61" s="422">
        <v>0</v>
      </c>
      <c r="U61" s="422">
        <v>0</v>
      </c>
      <c r="V61" s="422">
        <v>0</v>
      </c>
      <c r="W61" s="422">
        <v>0</v>
      </c>
      <c r="X61" s="422">
        <v>0</v>
      </c>
      <c r="Y61" s="422">
        <v>0</v>
      </c>
      <c r="Z61" s="487" t="str">
        <f>IFERROR(VLOOKUP($C61,[3]RoboFS!$K:$Q,$AI$1,FALSE),"")</f>
        <v/>
      </c>
      <c r="AD61" s="487" t="str">
        <f>IFERROR(VLOOKUP($C61,[3]RoboFS!$K:$Q,$AI$2,FALSE),"")</f>
        <v/>
      </c>
    </row>
    <row r="62" spans="2:34">
      <c r="C62" s="293" t="s">
        <v>746</v>
      </c>
      <c r="E62" s="422">
        <v>16</v>
      </c>
      <c r="F62" s="422">
        <v>5</v>
      </c>
      <c r="G62" s="422">
        <v>0</v>
      </c>
      <c r="H62" s="422">
        <v>0</v>
      </c>
      <c r="I62" s="422">
        <v>0</v>
      </c>
      <c r="J62" s="422">
        <v>0</v>
      </c>
      <c r="K62" s="422">
        <v>0</v>
      </c>
      <c r="L62" s="422">
        <v>0</v>
      </c>
      <c r="M62" s="422">
        <v>0</v>
      </c>
      <c r="N62" s="422">
        <v>0</v>
      </c>
      <c r="O62" s="326"/>
      <c r="P62" s="422">
        <v>13</v>
      </c>
      <c r="Q62" s="422">
        <v>5</v>
      </c>
      <c r="R62" s="422">
        <v>0</v>
      </c>
      <c r="S62" s="422">
        <v>0</v>
      </c>
      <c r="T62" s="422">
        <v>0</v>
      </c>
      <c r="U62" s="422">
        <v>0</v>
      </c>
      <c r="V62" s="422">
        <v>0</v>
      </c>
      <c r="W62" s="422">
        <v>0</v>
      </c>
      <c r="X62" s="422">
        <v>0</v>
      </c>
      <c r="Y62" s="422">
        <v>0</v>
      </c>
      <c r="Z62" s="487" t="str">
        <f>IFERROR(VLOOKUP($C62,[3]RoboFS!$K:$Q,$AI$1,FALSE),"")</f>
        <v/>
      </c>
      <c r="AD62" s="487" t="str">
        <f>IFERROR(VLOOKUP($C62,[3]RoboFS!$K:$Q,$AI$2,FALSE),"")</f>
        <v/>
      </c>
    </row>
    <row r="63" spans="2:34">
      <c r="E63" s="422"/>
      <c r="F63" s="422"/>
      <c r="G63" s="422"/>
      <c r="H63" s="422"/>
      <c r="I63" s="422"/>
      <c r="J63" s="422"/>
      <c r="K63" s="422"/>
      <c r="L63" s="422"/>
      <c r="M63" s="422"/>
      <c r="N63" s="422"/>
      <c r="O63" s="326"/>
      <c r="P63" s="422"/>
      <c r="Q63" s="422"/>
      <c r="R63" s="422"/>
      <c r="S63" s="422"/>
      <c r="T63" s="422"/>
      <c r="U63" s="422"/>
      <c r="V63" s="422"/>
      <c r="W63" s="422"/>
      <c r="X63" s="422"/>
      <c r="Y63" s="422"/>
      <c r="Z63" s="487" t="str">
        <f>IFERROR(VLOOKUP($C63,[3]RoboFS!$K:$Q,$AI$1,FALSE),"")</f>
        <v/>
      </c>
      <c r="AD63" s="487" t="str">
        <f>IFERROR(VLOOKUP($C63,[3]RoboFS!$K:$Q,$AI$2,FALSE),"")</f>
        <v/>
      </c>
    </row>
    <row r="64" spans="2:34">
      <c r="B64" s="30" t="s">
        <v>736</v>
      </c>
      <c r="C64" s="293" t="s">
        <v>747</v>
      </c>
      <c r="E64" s="454">
        <f>E62*E61*E60*2</f>
        <v>256</v>
      </c>
      <c r="F64" s="454">
        <f t="shared" ref="F64:N64" si="20">F62*F61*F60*2</f>
        <v>40</v>
      </c>
      <c r="G64" s="454">
        <f t="shared" si="20"/>
        <v>0</v>
      </c>
      <c r="H64" s="454">
        <f t="shared" si="20"/>
        <v>0</v>
      </c>
      <c r="I64" s="454">
        <f t="shared" si="20"/>
        <v>0</v>
      </c>
      <c r="J64" s="454">
        <f t="shared" si="20"/>
        <v>0</v>
      </c>
      <c r="K64" s="454">
        <f t="shared" si="20"/>
        <v>0</v>
      </c>
      <c r="L64" s="454">
        <f t="shared" si="20"/>
        <v>0</v>
      </c>
      <c r="M64" s="454">
        <f t="shared" si="20"/>
        <v>0</v>
      </c>
      <c r="N64" s="454">
        <f t="shared" si="20"/>
        <v>0</v>
      </c>
      <c r="O64" s="326"/>
      <c r="P64" s="454">
        <f>P62*P61*P60*2</f>
        <v>208</v>
      </c>
      <c r="Q64" s="454">
        <f t="shared" ref="Q64:Y64" si="21">Q62*Q61*Q60*2</f>
        <v>40</v>
      </c>
      <c r="R64" s="454">
        <f t="shared" si="21"/>
        <v>0</v>
      </c>
      <c r="S64" s="454">
        <f t="shared" si="21"/>
        <v>0</v>
      </c>
      <c r="T64" s="454">
        <f t="shared" si="21"/>
        <v>0</v>
      </c>
      <c r="U64" s="454">
        <f t="shared" si="21"/>
        <v>0</v>
      </c>
      <c r="V64" s="454">
        <f t="shared" si="21"/>
        <v>0</v>
      </c>
      <c r="W64" s="454">
        <f t="shared" si="21"/>
        <v>0</v>
      </c>
      <c r="X64" s="454">
        <f t="shared" si="21"/>
        <v>0</v>
      </c>
      <c r="Y64" s="454">
        <f t="shared" si="21"/>
        <v>0</v>
      </c>
      <c r="Z64" s="487" t="str">
        <f>IFERROR(VLOOKUP($C64,[3]RoboFS!$K:$Q,$AI$1,FALSE),"")</f>
        <v/>
      </c>
      <c r="AD64" s="487" t="str">
        <f>IFERROR(VLOOKUP($C64,[3]RoboFS!$K:$Q,$AI$2,FALSE),"")</f>
        <v/>
      </c>
    </row>
    <row r="65" spans="2:34">
      <c r="C65" s="293" t="s">
        <v>104</v>
      </c>
      <c r="E65" s="454">
        <f>E64*E58</f>
        <v>3072</v>
      </c>
      <c r="F65" s="454">
        <f t="shared" ref="F65:N65" si="22">F64*F58</f>
        <v>200</v>
      </c>
      <c r="G65" s="454">
        <f t="shared" si="22"/>
        <v>0</v>
      </c>
      <c r="H65" s="454">
        <f t="shared" si="22"/>
        <v>0</v>
      </c>
      <c r="I65" s="454">
        <f t="shared" si="22"/>
        <v>0</v>
      </c>
      <c r="J65" s="454">
        <f t="shared" si="22"/>
        <v>0</v>
      </c>
      <c r="K65" s="454">
        <f t="shared" si="22"/>
        <v>0</v>
      </c>
      <c r="L65" s="454">
        <f t="shared" si="22"/>
        <v>0</v>
      </c>
      <c r="M65" s="454">
        <f t="shared" si="22"/>
        <v>0</v>
      </c>
      <c r="N65" s="454">
        <f t="shared" si="22"/>
        <v>0</v>
      </c>
      <c r="O65" s="326"/>
      <c r="P65" s="454">
        <f t="shared" ref="P65:Y65" si="23">P64*P58</f>
        <v>7904</v>
      </c>
      <c r="Q65" s="454">
        <f t="shared" si="23"/>
        <v>160</v>
      </c>
      <c r="R65" s="454">
        <f t="shared" si="23"/>
        <v>0</v>
      </c>
      <c r="S65" s="454">
        <f t="shared" si="23"/>
        <v>0</v>
      </c>
      <c r="T65" s="454">
        <f t="shared" si="23"/>
        <v>0</v>
      </c>
      <c r="U65" s="454">
        <f t="shared" si="23"/>
        <v>0</v>
      </c>
      <c r="V65" s="454">
        <f t="shared" si="23"/>
        <v>0</v>
      </c>
      <c r="W65" s="454">
        <f t="shared" si="23"/>
        <v>0</v>
      </c>
      <c r="X65" s="454">
        <f t="shared" si="23"/>
        <v>0</v>
      </c>
      <c r="Y65" s="454">
        <f t="shared" si="23"/>
        <v>0</v>
      </c>
      <c r="Z65" s="487">
        <f>IFERROR(VLOOKUP($C65,[3]RoboFS!$K:$Q,$AI$1,FALSE),"")</f>
        <v>3276.0470113807646</v>
      </c>
      <c r="AA65" s="488">
        <f>SUM(E65:N65)</f>
        <v>3272</v>
      </c>
      <c r="AB65" s="488">
        <f>IF(Z65&lt;&gt;"",MAX(Z65-AA65,0),"")</f>
        <v>4.0470113807646158</v>
      </c>
      <c r="AC65" s="489">
        <f>IF(Z65&lt;&gt;"",MAX(AA65-Z65,0),"")</f>
        <v>0</v>
      </c>
      <c r="AD65" s="487">
        <f>IFERROR(VLOOKUP($C65,[3]RoboFS!$K:$Q,$AI$2,FALSE),"")</f>
        <v>3761.0047533162488</v>
      </c>
      <c r="AE65" s="488">
        <f>SUM(P65:Y65)</f>
        <v>8064</v>
      </c>
      <c r="AF65" s="488">
        <f>IF(AD65&lt;&gt;"",MAX(AD65-AE65,0),"")</f>
        <v>0</v>
      </c>
      <c r="AG65" s="489">
        <f>IF(AD65&lt;&gt;"",MAX(AE65-AD65,0),"")</f>
        <v>4302.9952466837512</v>
      </c>
      <c r="AH65" s="293" t="s">
        <v>748</v>
      </c>
    </row>
    <row r="66" spans="2:34">
      <c r="B66" s="501"/>
      <c r="C66" s="502"/>
      <c r="D66" s="502"/>
      <c r="E66" s="502"/>
      <c r="F66" s="502"/>
      <c r="G66" s="502"/>
      <c r="H66" s="502"/>
      <c r="I66" s="502"/>
      <c r="J66" s="502"/>
      <c r="K66" s="502"/>
      <c r="L66" s="502"/>
      <c r="M66" s="502"/>
      <c r="N66" s="502"/>
      <c r="O66" s="503"/>
      <c r="P66" s="502"/>
      <c r="Q66" s="502"/>
      <c r="R66" s="502"/>
      <c r="S66" s="502"/>
      <c r="T66" s="502"/>
      <c r="U66" s="502"/>
      <c r="V66" s="502"/>
      <c r="W66" s="502"/>
      <c r="X66" s="502"/>
      <c r="Y66" s="502"/>
      <c r="Z66" s="487" t="str">
        <f>IFERROR(VLOOKUP($C66,[3]RoboFS!$K:$Q,$AI$1,FALSE),"")</f>
        <v/>
      </c>
      <c r="AD66" s="487" t="str">
        <f>IFERROR(VLOOKUP($C66,[3]RoboFS!$K:$Q,$AI$2,FALSE),"")</f>
        <v/>
      </c>
    </row>
    <row r="67" spans="2:34">
      <c r="B67" s="27"/>
      <c r="O67" s="326"/>
      <c r="Z67" s="487" t="str">
        <f>IFERROR(VLOOKUP($C67,[3]RoboFS!$K:$Q,$AI$1,FALSE),"")</f>
        <v/>
      </c>
      <c r="AD67" s="487" t="str">
        <f>IFERROR(VLOOKUP($C67,[3]RoboFS!$K:$Q,$AI$2,FALSE),"")</f>
        <v/>
      </c>
    </row>
    <row r="68" spans="2:34">
      <c r="B68" s="27" t="s">
        <v>193</v>
      </c>
      <c r="C68" s="40" t="s">
        <v>723</v>
      </c>
      <c r="D68" s="40"/>
      <c r="E68" s="497" t="s">
        <v>749</v>
      </c>
      <c r="F68" s="497"/>
      <c r="G68" s="497"/>
      <c r="H68" s="497"/>
      <c r="I68" s="497"/>
      <c r="J68" s="497"/>
      <c r="K68" s="497"/>
      <c r="L68" s="497"/>
      <c r="M68" s="497"/>
      <c r="N68" s="497"/>
      <c r="O68" s="7" t="s">
        <v>0</v>
      </c>
      <c r="P68" s="497" t="s">
        <v>749</v>
      </c>
      <c r="Q68" s="497"/>
      <c r="R68" s="497"/>
      <c r="S68" s="497"/>
      <c r="T68" s="497"/>
      <c r="U68" s="497"/>
      <c r="V68" s="497"/>
      <c r="W68" s="497"/>
      <c r="X68" s="497"/>
      <c r="Y68" s="497"/>
      <c r="Z68" s="487" t="str">
        <f>IFERROR(VLOOKUP($C68,[3]RoboFS!$K:$Q,$AI$1,FALSE),"")</f>
        <v/>
      </c>
      <c r="AD68" s="487" t="str">
        <f>IFERROR(VLOOKUP($C68,[3]RoboFS!$K:$Q,$AI$2,FALSE),"")</f>
        <v/>
      </c>
    </row>
    <row r="69" spans="2:34">
      <c r="C69" s="293" t="s">
        <v>725</v>
      </c>
      <c r="E69" s="422">
        <v>1</v>
      </c>
      <c r="F69" s="422">
        <v>0</v>
      </c>
      <c r="G69" s="422">
        <v>0</v>
      </c>
      <c r="H69" s="422">
        <v>0</v>
      </c>
      <c r="I69" s="422">
        <v>0</v>
      </c>
      <c r="J69" s="422">
        <v>0</v>
      </c>
      <c r="K69" s="422">
        <v>0</v>
      </c>
      <c r="L69" s="422">
        <v>0</v>
      </c>
      <c r="M69" s="422">
        <v>0</v>
      </c>
      <c r="N69" s="422">
        <v>0</v>
      </c>
      <c r="O69" s="326"/>
      <c r="P69" s="422">
        <v>1</v>
      </c>
      <c r="Q69" s="422">
        <v>0</v>
      </c>
      <c r="R69" s="422">
        <v>0</v>
      </c>
      <c r="S69" s="422">
        <v>0</v>
      </c>
      <c r="T69" s="422">
        <v>0</v>
      </c>
      <c r="U69" s="422">
        <v>0</v>
      </c>
      <c r="V69" s="422">
        <v>0</v>
      </c>
      <c r="W69" s="422">
        <v>0</v>
      </c>
      <c r="X69" s="422">
        <v>0</v>
      </c>
      <c r="Y69" s="422">
        <v>0</v>
      </c>
      <c r="Z69" s="487" t="str">
        <f>IFERROR(VLOOKUP($C69,[3]RoboFS!$K:$Q,$AI$1,FALSE),"")</f>
        <v/>
      </c>
      <c r="AD69" s="487" t="str">
        <f>IFERROR(VLOOKUP($C69,[3]RoboFS!$K:$Q,$AI$2,FALSE),"")</f>
        <v/>
      </c>
    </row>
    <row r="70" spans="2:34">
      <c r="Z70" s="487" t="str">
        <f>IFERROR(VLOOKUP($C70,[3]RoboFS!$K:$Q,$AI$1,FALSE),"")</f>
        <v/>
      </c>
      <c r="AD70" s="487" t="str">
        <f>IFERROR(VLOOKUP($C70,[3]RoboFS!$K:$Q,$AI$2,FALSE),"")</f>
        <v/>
      </c>
    </row>
    <row r="71" spans="2:34">
      <c r="C71" s="293" t="s">
        <v>745</v>
      </c>
      <c r="E71" s="422">
        <v>8</v>
      </c>
      <c r="F71" s="422">
        <v>0</v>
      </c>
      <c r="G71" s="422">
        <v>0</v>
      </c>
      <c r="H71" s="422">
        <v>0</v>
      </c>
      <c r="I71" s="422">
        <v>0</v>
      </c>
      <c r="J71" s="422">
        <v>0</v>
      </c>
      <c r="K71" s="422">
        <v>0</v>
      </c>
      <c r="L71" s="422">
        <v>0</v>
      </c>
      <c r="M71" s="422">
        <v>0</v>
      </c>
      <c r="N71" s="422">
        <v>0</v>
      </c>
      <c r="O71" s="326"/>
      <c r="P71" s="422">
        <v>8</v>
      </c>
      <c r="Q71" s="422">
        <v>0</v>
      </c>
      <c r="R71" s="422">
        <v>0</v>
      </c>
      <c r="S71" s="422">
        <v>0</v>
      </c>
      <c r="T71" s="422">
        <v>0</v>
      </c>
      <c r="U71" s="422">
        <v>0</v>
      </c>
      <c r="V71" s="422">
        <v>0</v>
      </c>
      <c r="W71" s="422">
        <v>0</v>
      </c>
      <c r="X71" s="422">
        <v>0</v>
      </c>
      <c r="Y71" s="422">
        <v>0</v>
      </c>
      <c r="Z71" s="487" t="str">
        <f>IFERROR(VLOOKUP($C71,[3]RoboFS!$K:$Q,$AI$1,FALSE),"")</f>
        <v/>
      </c>
      <c r="AD71" s="487" t="str">
        <f>IFERROR(VLOOKUP($C71,[3]RoboFS!$K:$Q,$AI$2,FALSE),"")</f>
        <v/>
      </c>
    </row>
    <row r="72" spans="2:34">
      <c r="C72" s="293" t="s">
        <v>706</v>
      </c>
      <c r="E72" s="422">
        <v>4</v>
      </c>
      <c r="F72" s="422">
        <v>0</v>
      </c>
      <c r="G72" s="422">
        <v>0</v>
      </c>
      <c r="H72" s="422">
        <v>0</v>
      </c>
      <c r="I72" s="422">
        <v>0</v>
      </c>
      <c r="J72" s="422">
        <v>0</v>
      </c>
      <c r="K72" s="422">
        <v>0</v>
      </c>
      <c r="L72" s="422">
        <v>0</v>
      </c>
      <c r="M72" s="422">
        <v>0</v>
      </c>
      <c r="N72" s="422">
        <v>0</v>
      </c>
      <c r="O72" s="326"/>
      <c r="P72" s="422">
        <v>4</v>
      </c>
      <c r="Q72" s="422">
        <v>0</v>
      </c>
      <c r="R72" s="422">
        <v>0</v>
      </c>
      <c r="S72" s="422">
        <v>0</v>
      </c>
      <c r="T72" s="422">
        <v>0</v>
      </c>
      <c r="U72" s="422">
        <v>0</v>
      </c>
      <c r="V72" s="422">
        <v>0</v>
      </c>
      <c r="W72" s="422">
        <v>0</v>
      </c>
      <c r="X72" s="422">
        <v>0</v>
      </c>
      <c r="Y72" s="422">
        <v>0</v>
      </c>
      <c r="Z72" s="487" t="str">
        <f>IFERROR(VLOOKUP($C72,[3]RoboFS!$K:$Q,$AI$1,FALSE),"")</f>
        <v/>
      </c>
      <c r="AD72" s="487" t="str">
        <f>IFERROR(VLOOKUP($C72,[3]RoboFS!$K:$Q,$AI$2,FALSE),"")</f>
        <v/>
      </c>
    </row>
    <row r="73" spans="2:34">
      <c r="C73" s="293" t="s">
        <v>746</v>
      </c>
      <c r="E73" s="506">
        <v>25</v>
      </c>
      <c r="F73" s="506">
        <v>0</v>
      </c>
      <c r="G73" s="422">
        <v>0</v>
      </c>
      <c r="H73" s="422">
        <v>0</v>
      </c>
      <c r="I73" s="422">
        <v>0</v>
      </c>
      <c r="J73" s="422">
        <v>0</v>
      </c>
      <c r="K73" s="422">
        <v>0</v>
      </c>
      <c r="L73" s="422">
        <v>0</v>
      </c>
      <c r="M73" s="422">
        <v>0</v>
      </c>
      <c r="N73" s="422">
        <v>0</v>
      </c>
      <c r="O73" s="326"/>
      <c r="P73" s="422">
        <v>17</v>
      </c>
      <c r="Q73" s="422">
        <v>0</v>
      </c>
      <c r="R73" s="422">
        <v>0</v>
      </c>
      <c r="S73" s="422">
        <v>0</v>
      </c>
      <c r="T73" s="422">
        <v>0</v>
      </c>
      <c r="U73" s="422">
        <v>0</v>
      </c>
      <c r="V73" s="422">
        <v>0</v>
      </c>
      <c r="W73" s="422">
        <v>0</v>
      </c>
      <c r="X73" s="422">
        <v>0</v>
      </c>
      <c r="Y73" s="422">
        <v>0</v>
      </c>
      <c r="Z73" s="487" t="str">
        <f>IFERROR(VLOOKUP($C73,[3]RoboFS!$K:$Q,$AI$1,FALSE),"")</f>
        <v/>
      </c>
      <c r="AD73" s="487" t="str">
        <f>IFERROR(VLOOKUP($C73,[3]RoboFS!$K:$Q,$AI$2,FALSE),"")</f>
        <v/>
      </c>
    </row>
    <row r="74" spans="2:34">
      <c r="E74" s="326"/>
      <c r="F74" s="326"/>
      <c r="G74" s="326"/>
      <c r="H74" s="326"/>
      <c r="I74" s="326"/>
      <c r="J74" s="326"/>
      <c r="K74" s="326"/>
      <c r="L74" s="326"/>
      <c r="M74" s="326"/>
      <c r="N74" s="326"/>
      <c r="O74" s="326"/>
      <c r="P74" s="326"/>
      <c r="Q74" s="326"/>
      <c r="R74" s="326"/>
      <c r="S74" s="326"/>
      <c r="T74" s="326"/>
      <c r="U74" s="326"/>
      <c r="V74" s="326"/>
      <c r="W74" s="326"/>
      <c r="X74" s="326"/>
      <c r="Y74" s="326"/>
      <c r="Z74" s="487" t="str">
        <f>IFERROR(VLOOKUP($C74,[3]RoboFS!$K:$Q,$AI$1,FALSE),"")</f>
        <v/>
      </c>
      <c r="AD74" s="487" t="str">
        <f>IFERROR(VLOOKUP($C74,[3]RoboFS!$K:$Q,$AI$2,FALSE),"")</f>
        <v/>
      </c>
    </row>
    <row r="75" spans="2:34">
      <c r="C75" s="293" t="s">
        <v>750</v>
      </c>
      <c r="E75" s="293">
        <f>E73*E71</f>
        <v>200</v>
      </c>
      <c r="F75" s="293">
        <f t="shared" ref="F75:N75" si="24">F73*F71</f>
        <v>0</v>
      </c>
      <c r="G75" s="293">
        <f t="shared" si="24"/>
        <v>0</v>
      </c>
      <c r="H75" s="293">
        <f t="shared" si="24"/>
        <v>0</v>
      </c>
      <c r="I75" s="293">
        <f t="shared" si="24"/>
        <v>0</v>
      </c>
      <c r="J75" s="293">
        <f t="shared" si="24"/>
        <v>0</v>
      </c>
      <c r="K75" s="293">
        <f t="shared" si="24"/>
        <v>0</v>
      </c>
      <c r="L75" s="293">
        <f t="shared" si="24"/>
        <v>0</v>
      </c>
      <c r="M75" s="293">
        <f t="shared" si="24"/>
        <v>0</v>
      </c>
      <c r="N75" s="293">
        <f t="shared" si="24"/>
        <v>0</v>
      </c>
      <c r="O75" s="326"/>
      <c r="P75" s="293">
        <f>P73*P71</f>
        <v>136</v>
      </c>
      <c r="Q75" s="293">
        <f t="shared" ref="Q75:Y75" si="25">Q73*Q71</f>
        <v>0</v>
      </c>
      <c r="R75" s="293">
        <f t="shared" si="25"/>
        <v>0</v>
      </c>
      <c r="S75" s="293">
        <f t="shared" si="25"/>
        <v>0</v>
      </c>
      <c r="T75" s="293">
        <f t="shared" si="25"/>
        <v>0</v>
      </c>
      <c r="U75" s="293">
        <f t="shared" si="25"/>
        <v>0</v>
      </c>
      <c r="V75" s="293">
        <f t="shared" si="25"/>
        <v>0</v>
      </c>
      <c r="W75" s="293">
        <f t="shared" si="25"/>
        <v>0</v>
      </c>
      <c r="X75" s="293">
        <f t="shared" si="25"/>
        <v>0</v>
      </c>
      <c r="Y75" s="293">
        <f t="shared" si="25"/>
        <v>0</v>
      </c>
      <c r="Z75" s="487" t="str">
        <f>IFERROR(VLOOKUP($C75,[3]RoboFS!$K:$Q,$AI$1,FALSE),"")</f>
        <v/>
      </c>
      <c r="AD75" s="487" t="str">
        <f>IFERROR(VLOOKUP($C75,[3]RoboFS!$K:$Q,$AI$2,FALSE),"")</f>
        <v/>
      </c>
    </row>
    <row r="76" spans="2:34">
      <c r="C76" s="293" t="s">
        <v>151</v>
      </c>
      <c r="E76" s="454">
        <f>E75*E69</f>
        <v>200</v>
      </c>
      <c r="F76" s="454">
        <f t="shared" ref="F76:N76" si="26">F75*F69</f>
        <v>0</v>
      </c>
      <c r="G76" s="454">
        <f t="shared" si="26"/>
        <v>0</v>
      </c>
      <c r="H76" s="454">
        <f t="shared" si="26"/>
        <v>0</v>
      </c>
      <c r="I76" s="454">
        <f t="shared" si="26"/>
        <v>0</v>
      </c>
      <c r="J76" s="454">
        <f t="shared" si="26"/>
        <v>0</v>
      </c>
      <c r="K76" s="454">
        <f t="shared" si="26"/>
        <v>0</v>
      </c>
      <c r="L76" s="454">
        <f t="shared" si="26"/>
        <v>0</v>
      </c>
      <c r="M76" s="454">
        <f t="shared" si="26"/>
        <v>0</v>
      </c>
      <c r="N76" s="454">
        <f t="shared" si="26"/>
        <v>0</v>
      </c>
      <c r="O76" s="326"/>
      <c r="P76" s="454">
        <f t="shared" ref="P76:Y76" si="27">P75*P69</f>
        <v>136</v>
      </c>
      <c r="Q76" s="454">
        <f t="shared" si="27"/>
        <v>0</v>
      </c>
      <c r="R76" s="454">
        <f t="shared" si="27"/>
        <v>0</v>
      </c>
      <c r="S76" s="454">
        <f t="shared" si="27"/>
        <v>0</v>
      </c>
      <c r="T76" s="454">
        <f t="shared" si="27"/>
        <v>0</v>
      </c>
      <c r="U76" s="454">
        <f t="shared" si="27"/>
        <v>0</v>
      </c>
      <c r="V76" s="454">
        <f t="shared" si="27"/>
        <v>0</v>
      </c>
      <c r="W76" s="454">
        <f t="shared" si="27"/>
        <v>0</v>
      </c>
      <c r="X76" s="454">
        <f t="shared" si="27"/>
        <v>0</v>
      </c>
      <c r="Y76" s="454">
        <f t="shared" si="27"/>
        <v>0</v>
      </c>
      <c r="Z76" s="487">
        <f>IFERROR(VLOOKUP($C76,[3]RoboFS!$K:$Q,$AI$1,FALSE),"")</f>
        <v>194.08916645710246</v>
      </c>
      <c r="AA76" s="488">
        <f>SUM(E76:N76)</f>
        <v>200</v>
      </c>
      <c r="AB76" s="488">
        <f>IF(Z76&lt;&gt;"",MAX(Z76-AA76,0),"")</f>
        <v>0</v>
      </c>
      <c r="AC76" s="489">
        <f>IF(Z76&lt;&gt;"",MAX(AA76-Z76,0),"")</f>
        <v>5.9108335428975352</v>
      </c>
      <c r="AD76" s="487">
        <f>IFERROR(VLOOKUP($C76,[3]RoboFS!$K:$Q,$AI$2,FALSE),"")</f>
        <v>245.36925837642167</v>
      </c>
      <c r="AE76" s="488">
        <f>SUM(P76:Y76)</f>
        <v>136</v>
      </c>
      <c r="AF76" s="488">
        <f>IF(AD76&lt;&gt;"",MAX(AD76-AE76,0),"")</f>
        <v>109.36925837642167</v>
      </c>
      <c r="AG76" s="489">
        <f>IF(AD76&lt;&gt;"",MAX(AE76-AD76,0),"")</f>
        <v>0</v>
      </c>
      <c r="AH76" s="293" t="s">
        <v>751</v>
      </c>
    </row>
    <row r="77" spans="2:34">
      <c r="C77" s="293" t="s">
        <v>752</v>
      </c>
      <c r="E77" s="507">
        <v>2</v>
      </c>
      <c r="F77" s="22"/>
      <c r="G77" s="22"/>
      <c r="H77" s="422"/>
      <c r="I77" s="422"/>
      <c r="J77" s="422"/>
      <c r="K77" s="422"/>
      <c r="L77" s="422"/>
      <c r="M77" s="422"/>
      <c r="N77" s="422"/>
      <c r="O77" s="326"/>
      <c r="P77" s="507">
        <v>4</v>
      </c>
      <c r="Q77" s="22"/>
      <c r="R77" s="22"/>
      <c r="S77" s="422"/>
      <c r="T77" s="422"/>
      <c r="U77" s="422"/>
      <c r="V77" s="422"/>
      <c r="W77" s="422"/>
      <c r="X77" s="422"/>
      <c r="Y77" s="422"/>
      <c r="Z77" s="487">
        <f>IFERROR(VLOOKUP($C77,[3]RoboFS!$K:$Q,$AI$1,FALSE),"")</f>
        <v>3</v>
      </c>
      <c r="AA77" s="488">
        <f>SUM(E77:N77)</f>
        <v>2</v>
      </c>
      <c r="AB77" s="488">
        <f>IF(Z77&lt;&gt;"",MAX(Z77-AA77,0),"")</f>
        <v>1</v>
      </c>
      <c r="AC77" s="489">
        <f>IF(Z77&lt;&gt;"",MAX(AA77-Z77,0),"")</f>
        <v>0</v>
      </c>
      <c r="AD77" s="487">
        <f>IFERROR(VLOOKUP($C77,[3]RoboFS!$K:$Q,$AI$2,FALSE),"")</f>
        <v>4</v>
      </c>
      <c r="AE77" s="488">
        <f>SUM(P77:Y77)</f>
        <v>4</v>
      </c>
      <c r="AF77" s="488">
        <f>IF(AD77&lt;&gt;"",MAX(AD77-AE77,0),"")</f>
        <v>0</v>
      </c>
      <c r="AG77" s="489">
        <f>IF(AD77&lt;&gt;"",MAX(AE77-AD77,0),"")</f>
        <v>0</v>
      </c>
      <c r="AH77" s="293" t="s">
        <v>753</v>
      </c>
    </row>
    <row r="78" spans="2:34">
      <c r="B78" s="501"/>
      <c r="C78" s="502"/>
      <c r="D78" s="502"/>
      <c r="E78" s="502"/>
      <c r="F78" s="502"/>
      <c r="G78" s="502"/>
      <c r="H78" s="502"/>
      <c r="I78" s="502"/>
      <c r="J78" s="502"/>
      <c r="K78" s="502"/>
      <c r="L78" s="502"/>
      <c r="M78" s="502"/>
      <c r="N78" s="502"/>
      <c r="O78" s="503"/>
      <c r="P78" s="502"/>
      <c r="Q78" s="502"/>
      <c r="R78" s="502"/>
      <c r="S78" s="502"/>
      <c r="T78" s="502"/>
      <c r="U78" s="502"/>
      <c r="V78" s="502"/>
      <c r="W78" s="502"/>
      <c r="X78" s="502"/>
      <c r="Y78" s="502"/>
      <c r="Z78" s="487" t="str">
        <f>IFERROR(VLOOKUP($C78,[3]RoboFS!$K:$Q,$AI$1,FALSE),"")</f>
        <v/>
      </c>
      <c r="AD78" s="487" t="str">
        <f>IFERROR(VLOOKUP($C78,[3]RoboFS!$K:$Q,$AI$2,FALSE),"")</f>
        <v/>
      </c>
    </row>
    <row r="79" spans="2:34">
      <c r="Z79" s="487" t="str">
        <f>IFERROR(VLOOKUP($C79,[3]RoboFS!$K:$Q,$AI$1,FALSE),"")</f>
        <v/>
      </c>
      <c r="AD79" s="487" t="str">
        <f>IFERROR(VLOOKUP($C79,[3]RoboFS!$K:$Q,$AI$2,FALSE),"")</f>
        <v/>
      </c>
    </row>
    <row r="80" spans="2:34">
      <c r="B80" s="27" t="s">
        <v>754</v>
      </c>
      <c r="C80" s="40" t="s">
        <v>723</v>
      </c>
      <c r="D80" s="40"/>
      <c r="E80" s="497" t="s">
        <v>755</v>
      </c>
      <c r="F80" s="497"/>
      <c r="G80" s="497"/>
      <c r="H80" s="497"/>
      <c r="I80" s="497"/>
      <c r="J80" s="497"/>
      <c r="K80" s="497"/>
      <c r="L80" s="497"/>
      <c r="M80" s="497"/>
      <c r="N80" s="497"/>
      <c r="O80" s="7" t="s">
        <v>0</v>
      </c>
      <c r="P80" s="497" t="s">
        <v>755</v>
      </c>
      <c r="Q80" s="497"/>
      <c r="R80" s="497"/>
      <c r="S80" s="497"/>
      <c r="T80" s="497"/>
      <c r="U80" s="497"/>
      <c r="V80" s="497"/>
      <c r="W80" s="497"/>
      <c r="X80" s="497"/>
      <c r="Y80" s="497"/>
      <c r="Z80" s="487" t="str">
        <f>IFERROR(VLOOKUP($C80,[3]RoboFS!$K:$Q,$AI$1,FALSE),"")</f>
        <v/>
      </c>
      <c r="AD80" s="487" t="str">
        <f>IFERROR(VLOOKUP($C80,[3]RoboFS!$K:$Q,$AI$2,FALSE),"")</f>
        <v/>
      </c>
    </row>
    <row r="81" spans="2:34">
      <c r="B81" s="27"/>
      <c r="C81" s="293" t="s">
        <v>725</v>
      </c>
      <c r="E81" s="422">
        <v>1</v>
      </c>
      <c r="F81" s="422">
        <v>0</v>
      </c>
      <c r="G81" s="422">
        <v>0</v>
      </c>
      <c r="H81" s="422">
        <v>0</v>
      </c>
      <c r="I81" s="422">
        <v>0</v>
      </c>
      <c r="J81" s="422">
        <v>0</v>
      </c>
      <c r="K81" s="422">
        <v>0</v>
      </c>
      <c r="L81" s="422">
        <v>0</v>
      </c>
      <c r="M81" s="422">
        <v>0</v>
      </c>
      <c r="N81" s="422">
        <v>0</v>
      </c>
      <c r="O81" s="326"/>
      <c r="P81" s="422">
        <v>1</v>
      </c>
      <c r="Q81" s="422">
        <v>0</v>
      </c>
      <c r="R81" s="422">
        <v>0</v>
      </c>
      <c r="S81" s="422">
        <v>0</v>
      </c>
      <c r="T81" s="422">
        <v>0</v>
      </c>
      <c r="U81" s="422">
        <v>0</v>
      </c>
      <c r="V81" s="422">
        <v>0</v>
      </c>
      <c r="W81" s="422">
        <v>0</v>
      </c>
      <c r="X81" s="422">
        <v>0</v>
      </c>
      <c r="Y81" s="422">
        <v>0</v>
      </c>
      <c r="Z81" s="487" t="str">
        <f>IFERROR(VLOOKUP($C81,[3]RoboFS!$K:$Q,$AI$1,FALSE),"")</f>
        <v/>
      </c>
      <c r="AD81" s="487" t="str">
        <f>IFERROR(VLOOKUP($C81,[3]RoboFS!$K:$Q,$AI$2,FALSE),"")</f>
        <v/>
      </c>
    </row>
    <row r="82" spans="2:34">
      <c r="B82" s="27"/>
      <c r="D82" s="293" t="s">
        <v>0</v>
      </c>
      <c r="E82" s="325" t="s">
        <v>0</v>
      </c>
      <c r="F82" s="325" t="s">
        <v>0</v>
      </c>
      <c r="G82" s="325" t="s">
        <v>0</v>
      </c>
      <c r="H82" s="325"/>
      <c r="I82" s="325"/>
      <c r="J82" s="325"/>
      <c r="K82" s="325"/>
      <c r="L82" s="325"/>
      <c r="M82" s="325"/>
      <c r="N82" s="325"/>
      <c r="P82" s="325" t="s">
        <v>0</v>
      </c>
      <c r="Q82" s="325" t="s">
        <v>0</v>
      </c>
      <c r="R82" s="325" t="s">
        <v>0</v>
      </c>
      <c r="S82" s="325"/>
      <c r="T82" s="325"/>
      <c r="U82" s="325"/>
      <c r="V82" s="325"/>
      <c r="W82" s="325"/>
      <c r="X82" s="325"/>
      <c r="Y82" s="325"/>
      <c r="Z82" s="487" t="str">
        <f>IFERROR(VLOOKUP($C82,[3]RoboFS!$K:$Q,$AI$1,FALSE),"")</f>
        <v/>
      </c>
      <c r="AD82" s="487" t="str">
        <f>IFERROR(VLOOKUP($C82,[3]RoboFS!$K:$Q,$AI$2,FALSE),"")</f>
        <v/>
      </c>
    </row>
    <row r="83" spans="2:34">
      <c r="B83" s="30" t="s">
        <v>726</v>
      </c>
      <c r="C83" s="293" t="s">
        <v>152</v>
      </c>
      <c r="E83" s="32">
        <v>1</v>
      </c>
      <c r="F83" s="32">
        <v>1</v>
      </c>
      <c r="G83" s="32">
        <v>1</v>
      </c>
      <c r="H83" s="32">
        <v>1</v>
      </c>
      <c r="I83" s="32">
        <v>1</v>
      </c>
      <c r="J83" s="32">
        <v>1</v>
      </c>
      <c r="K83" s="32">
        <v>1</v>
      </c>
      <c r="L83" s="32">
        <v>1</v>
      </c>
      <c r="M83" s="32">
        <v>1</v>
      </c>
      <c r="N83" s="32">
        <v>1</v>
      </c>
      <c r="O83" s="326"/>
      <c r="P83" s="32">
        <v>1</v>
      </c>
      <c r="Q83" s="32">
        <v>1</v>
      </c>
      <c r="R83" s="32">
        <v>1</v>
      </c>
      <c r="S83" s="32">
        <v>1</v>
      </c>
      <c r="T83" s="32">
        <v>1</v>
      </c>
      <c r="U83" s="32">
        <v>1</v>
      </c>
      <c r="V83" s="32">
        <v>1</v>
      </c>
      <c r="W83" s="32">
        <v>1</v>
      </c>
      <c r="X83" s="32">
        <v>1</v>
      </c>
      <c r="Y83" s="32">
        <v>1</v>
      </c>
      <c r="Z83" s="487" t="str">
        <f>IFERROR(VLOOKUP($C83,[3]RoboFS!$K:$Q,$AI$1,FALSE),"")</f>
        <v/>
      </c>
      <c r="AA83" s="488">
        <f t="shared" ref="AA83:AA99" si="28">SUMPRODUCT(E83:N83,E$81:N$81)</f>
        <v>1</v>
      </c>
      <c r="AB83" s="488" t="str">
        <f t="shared" ref="AB83:AB99" si="29">IF(Z83&lt;&gt;"",MAX(Z83-AA83,0),"")</f>
        <v/>
      </c>
      <c r="AC83" s="489" t="str">
        <f t="shared" ref="AC83:AC99" si="30">IF(Z83&lt;&gt;"",MAX(AA83-Z83,0),"")</f>
        <v/>
      </c>
      <c r="AD83" s="487" t="str">
        <f>IFERROR(VLOOKUP($C83,[3]RoboFS!$K:$Q,$AI$2,FALSE),"")</f>
        <v/>
      </c>
      <c r="AE83" s="488">
        <f>SUMPRODUCT(P83:Y83,P$81:Y$81)</f>
        <v>1</v>
      </c>
      <c r="AF83" s="488" t="str">
        <f t="shared" ref="AF83:AF99" si="31">IF(AD83&lt;&gt;"",MAX(AD83-AE83,0),"")</f>
        <v/>
      </c>
      <c r="AG83" s="489" t="str">
        <f t="shared" ref="AG83:AG99" si="32">IF(AD83&lt;&gt;"",MAX(AE83-AD83,0),"")</f>
        <v/>
      </c>
    </row>
    <row r="84" spans="2:34">
      <c r="B84" s="27"/>
      <c r="C84" s="293" t="s">
        <v>153</v>
      </c>
      <c r="E84" s="497">
        <v>2</v>
      </c>
      <c r="F84" s="497">
        <v>0</v>
      </c>
      <c r="G84" s="497">
        <v>0</v>
      </c>
      <c r="H84" s="497">
        <v>0</v>
      </c>
      <c r="I84" s="497">
        <v>0</v>
      </c>
      <c r="J84" s="497">
        <v>0</v>
      </c>
      <c r="K84" s="497">
        <v>0</v>
      </c>
      <c r="L84" s="497">
        <v>0</v>
      </c>
      <c r="M84" s="497">
        <v>0</v>
      </c>
      <c r="N84" s="497">
        <v>0</v>
      </c>
      <c r="O84" s="326"/>
      <c r="P84" s="497">
        <v>2</v>
      </c>
      <c r="Q84" s="497">
        <v>0</v>
      </c>
      <c r="R84" s="497">
        <v>0</v>
      </c>
      <c r="S84" s="497">
        <v>0</v>
      </c>
      <c r="T84" s="497">
        <v>0</v>
      </c>
      <c r="U84" s="497">
        <v>0</v>
      </c>
      <c r="V84" s="497">
        <v>0</v>
      </c>
      <c r="W84" s="497">
        <v>0</v>
      </c>
      <c r="X84" s="497">
        <v>0</v>
      </c>
      <c r="Y84" s="497">
        <v>0</v>
      </c>
      <c r="Z84" s="487" t="str">
        <f>IFERROR(VLOOKUP($C84,[3]RoboFS!$K:$Q,$AI$1,FALSE),"")</f>
        <v/>
      </c>
      <c r="AA84" s="488">
        <f t="shared" si="28"/>
        <v>2</v>
      </c>
      <c r="AB84" s="488" t="str">
        <f t="shared" si="29"/>
        <v/>
      </c>
      <c r="AC84" s="489" t="str">
        <f t="shared" si="30"/>
        <v/>
      </c>
      <c r="AD84" s="487" t="str">
        <f>IFERROR(VLOOKUP($C84,[3]RoboFS!$K:$Q,$AI$2,FALSE),"")</f>
        <v/>
      </c>
      <c r="AE84" s="488">
        <f t="shared" ref="AE84:AE99" si="33">SUMPRODUCT(P84:Y84,P$81:Y$81)</f>
        <v>2</v>
      </c>
      <c r="AF84" s="488" t="str">
        <f t="shared" si="31"/>
        <v/>
      </c>
      <c r="AG84" s="489" t="str">
        <f t="shared" si="32"/>
        <v/>
      </c>
    </row>
    <row r="85" spans="2:34">
      <c r="B85" s="27"/>
      <c r="C85" s="293" t="s">
        <v>154</v>
      </c>
      <c r="E85" s="32">
        <v>1</v>
      </c>
      <c r="F85" s="32">
        <v>1</v>
      </c>
      <c r="G85" s="32">
        <v>1</v>
      </c>
      <c r="H85" s="32">
        <v>1</v>
      </c>
      <c r="I85" s="32">
        <v>1</v>
      </c>
      <c r="J85" s="32">
        <v>1</v>
      </c>
      <c r="K85" s="32">
        <v>1</v>
      </c>
      <c r="L85" s="32">
        <v>1</v>
      </c>
      <c r="M85" s="32">
        <v>1</v>
      </c>
      <c r="N85" s="32">
        <v>1</v>
      </c>
      <c r="O85" s="326" t="s">
        <v>0</v>
      </c>
      <c r="P85" s="32">
        <v>1</v>
      </c>
      <c r="Q85" s="32">
        <v>1</v>
      </c>
      <c r="R85" s="32">
        <v>1</v>
      </c>
      <c r="S85" s="32">
        <v>1</v>
      </c>
      <c r="T85" s="32">
        <v>1</v>
      </c>
      <c r="U85" s="32">
        <v>1</v>
      </c>
      <c r="V85" s="32">
        <v>1</v>
      </c>
      <c r="W85" s="32">
        <v>1</v>
      </c>
      <c r="X85" s="32">
        <v>1</v>
      </c>
      <c r="Y85" s="32">
        <v>1</v>
      </c>
      <c r="Z85" s="487" t="str">
        <f>IFERROR(VLOOKUP($C85,[3]RoboFS!$K:$Q,$AI$1,FALSE),"")</f>
        <v/>
      </c>
      <c r="AA85" s="488">
        <f t="shared" si="28"/>
        <v>1</v>
      </c>
      <c r="AB85" s="488" t="str">
        <f t="shared" si="29"/>
        <v/>
      </c>
      <c r="AC85" s="489" t="str">
        <f t="shared" si="30"/>
        <v/>
      </c>
      <c r="AD85" s="487" t="str">
        <f>IFERROR(VLOOKUP($C85,[3]RoboFS!$K:$Q,$AI$2,FALSE),"")</f>
        <v/>
      </c>
      <c r="AE85" s="488">
        <f t="shared" si="33"/>
        <v>1</v>
      </c>
      <c r="AF85" s="488" t="str">
        <f t="shared" si="31"/>
        <v/>
      </c>
      <c r="AG85" s="489" t="str">
        <f t="shared" si="32"/>
        <v/>
      </c>
    </row>
    <row r="86" spans="2:34">
      <c r="B86" s="27"/>
      <c r="C86" s="293" t="s">
        <v>155</v>
      </c>
      <c r="E86" s="418">
        <f>IF([3]RoboFS_Assumptions!$B$99="Yes",1,0)</f>
        <v>0</v>
      </c>
      <c r="F86" s="418">
        <v>1</v>
      </c>
      <c r="G86" s="418">
        <v>1</v>
      </c>
      <c r="H86" s="418"/>
      <c r="I86" s="418"/>
      <c r="J86" s="418"/>
      <c r="K86" s="418"/>
      <c r="L86" s="418"/>
      <c r="M86" s="418"/>
      <c r="N86" s="418"/>
      <c r="O86" s="326"/>
      <c r="P86" s="418">
        <v>0</v>
      </c>
      <c r="Q86" s="418">
        <v>0</v>
      </c>
      <c r="R86" s="418"/>
      <c r="S86" s="418"/>
      <c r="T86" s="418"/>
      <c r="U86" s="418"/>
      <c r="V86" s="418"/>
      <c r="W86" s="418"/>
      <c r="X86" s="418"/>
      <c r="Y86" s="418"/>
      <c r="Z86" s="487" t="str">
        <f>IFERROR(VLOOKUP($C86,[3]RoboFS!$K:$Q,$AI$1,FALSE),"")</f>
        <v/>
      </c>
      <c r="AA86" s="488">
        <f t="shared" si="28"/>
        <v>0</v>
      </c>
      <c r="AB86" s="488" t="str">
        <f t="shared" si="29"/>
        <v/>
      </c>
      <c r="AC86" s="489" t="str">
        <f t="shared" si="30"/>
        <v/>
      </c>
      <c r="AD86" s="487" t="str">
        <f>IFERROR(VLOOKUP($C86,[3]RoboFS!$K:$Q,$AI$2,FALSE),"")</f>
        <v/>
      </c>
      <c r="AE86" s="488">
        <f t="shared" si="33"/>
        <v>0</v>
      </c>
      <c r="AF86" s="488" t="str">
        <f t="shared" si="31"/>
        <v/>
      </c>
      <c r="AG86" s="489" t="str">
        <f t="shared" si="32"/>
        <v/>
      </c>
    </row>
    <row r="87" spans="2:34">
      <c r="B87" s="27"/>
      <c r="C87" s="293" t="s">
        <v>156</v>
      </c>
      <c r="E87" s="32">
        <v>1</v>
      </c>
      <c r="F87" s="32">
        <v>1</v>
      </c>
      <c r="G87" s="32">
        <v>1</v>
      </c>
      <c r="H87" s="32">
        <v>1</v>
      </c>
      <c r="I87" s="32">
        <v>1</v>
      </c>
      <c r="J87" s="32">
        <v>1</v>
      </c>
      <c r="K87" s="32">
        <v>1</v>
      </c>
      <c r="L87" s="32">
        <v>1</v>
      </c>
      <c r="M87" s="32">
        <v>1</v>
      </c>
      <c r="N87" s="32">
        <v>1</v>
      </c>
      <c r="O87" s="326"/>
      <c r="P87" s="32">
        <v>1</v>
      </c>
      <c r="Q87" s="32">
        <v>1</v>
      </c>
      <c r="R87" s="32">
        <v>1</v>
      </c>
      <c r="S87" s="32">
        <v>1</v>
      </c>
      <c r="T87" s="32">
        <v>1</v>
      </c>
      <c r="U87" s="32">
        <v>1</v>
      </c>
      <c r="V87" s="32">
        <v>1</v>
      </c>
      <c r="W87" s="32">
        <v>1</v>
      </c>
      <c r="X87" s="32">
        <v>1</v>
      </c>
      <c r="Y87" s="32">
        <v>1</v>
      </c>
      <c r="Z87" s="487" t="str">
        <f>IFERROR(VLOOKUP($C87,[3]RoboFS!$K:$Q,$AI$1,FALSE),"")</f>
        <v/>
      </c>
      <c r="AA87" s="488">
        <f t="shared" si="28"/>
        <v>1</v>
      </c>
      <c r="AB87" s="488" t="str">
        <f t="shared" si="29"/>
        <v/>
      </c>
      <c r="AC87" s="489" t="str">
        <f t="shared" si="30"/>
        <v/>
      </c>
      <c r="AD87" s="487" t="str">
        <f>IFERROR(VLOOKUP($C87,[3]RoboFS!$K:$Q,$AI$2,FALSE),"")</f>
        <v/>
      </c>
      <c r="AE87" s="488">
        <f t="shared" si="33"/>
        <v>1</v>
      </c>
      <c r="AF87" s="488" t="str">
        <f t="shared" si="31"/>
        <v/>
      </c>
      <c r="AG87" s="489" t="str">
        <f t="shared" si="32"/>
        <v/>
      </c>
    </row>
    <row r="88" spans="2:34">
      <c r="B88" s="27"/>
      <c r="C88" s="492" t="s">
        <v>144</v>
      </c>
      <c r="E88" s="418">
        <v>12</v>
      </c>
      <c r="F88" s="418">
        <v>0</v>
      </c>
      <c r="G88" s="418">
        <v>0</v>
      </c>
      <c r="H88" s="418">
        <v>0</v>
      </c>
      <c r="I88" s="418">
        <v>0</v>
      </c>
      <c r="J88" s="418">
        <v>0</v>
      </c>
      <c r="K88" s="418">
        <v>0</v>
      </c>
      <c r="L88" s="418">
        <v>0</v>
      </c>
      <c r="M88" s="418">
        <v>0</v>
      </c>
      <c r="N88" s="418">
        <v>0</v>
      </c>
      <c r="O88" s="326"/>
      <c r="P88" s="418">
        <v>28</v>
      </c>
      <c r="Q88" s="418"/>
      <c r="R88" s="418">
        <v>0</v>
      </c>
      <c r="S88" s="418">
        <v>0</v>
      </c>
      <c r="T88" s="418">
        <v>0</v>
      </c>
      <c r="U88" s="418">
        <v>0</v>
      </c>
      <c r="V88" s="418">
        <v>0</v>
      </c>
      <c r="W88" s="418">
        <v>0</v>
      </c>
      <c r="X88" s="418">
        <v>0</v>
      </c>
      <c r="Y88" s="418">
        <v>0</v>
      </c>
      <c r="Z88" s="487">
        <f>IFERROR(VLOOKUP($C88,[3]RoboFS!$K:$Q,$AI$1,FALSE),"")</f>
        <v>13</v>
      </c>
      <c r="AA88" s="488">
        <f t="shared" si="28"/>
        <v>12</v>
      </c>
      <c r="AB88" s="488">
        <f t="shared" si="29"/>
        <v>1</v>
      </c>
      <c r="AC88" s="489">
        <f t="shared" si="30"/>
        <v>0</v>
      </c>
      <c r="AD88" s="487">
        <f>IFERROR(VLOOKUP($C88,[3]RoboFS!$K:$Q,$AI$2,FALSE),"")</f>
        <v>15</v>
      </c>
      <c r="AE88" s="488">
        <f t="shared" si="33"/>
        <v>28</v>
      </c>
      <c r="AF88" s="488">
        <f t="shared" si="31"/>
        <v>0</v>
      </c>
      <c r="AG88" s="489">
        <f t="shared" si="32"/>
        <v>13</v>
      </c>
    </row>
    <row r="89" spans="2:34">
      <c r="C89" s="293" t="s">
        <v>158</v>
      </c>
      <c r="E89" s="32">
        <f>E88</f>
        <v>12</v>
      </c>
      <c r="F89" s="32">
        <f t="shared" ref="F89:N89" si="34">F88</f>
        <v>0</v>
      </c>
      <c r="G89" s="32">
        <f t="shared" si="34"/>
        <v>0</v>
      </c>
      <c r="H89" s="32">
        <f t="shared" si="34"/>
        <v>0</v>
      </c>
      <c r="I89" s="32">
        <f t="shared" si="34"/>
        <v>0</v>
      </c>
      <c r="J89" s="32">
        <f t="shared" si="34"/>
        <v>0</v>
      </c>
      <c r="K89" s="32">
        <f t="shared" si="34"/>
        <v>0</v>
      </c>
      <c r="L89" s="32">
        <f t="shared" si="34"/>
        <v>0</v>
      </c>
      <c r="M89" s="32">
        <f t="shared" si="34"/>
        <v>0</v>
      </c>
      <c r="N89" s="32">
        <f t="shared" si="34"/>
        <v>0</v>
      </c>
      <c r="O89" s="326"/>
      <c r="P89" s="32">
        <f>P88</f>
        <v>28</v>
      </c>
      <c r="Q89" s="32">
        <f t="shared" ref="Q89:Y89" si="35">Q88</f>
        <v>0</v>
      </c>
      <c r="R89" s="32">
        <f t="shared" si="35"/>
        <v>0</v>
      </c>
      <c r="S89" s="32">
        <f t="shared" si="35"/>
        <v>0</v>
      </c>
      <c r="T89" s="32">
        <f t="shared" si="35"/>
        <v>0</v>
      </c>
      <c r="U89" s="32">
        <f t="shared" si="35"/>
        <v>0</v>
      </c>
      <c r="V89" s="32">
        <f t="shared" si="35"/>
        <v>0</v>
      </c>
      <c r="W89" s="32">
        <f t="shared" si="35"/>
        <v>0</v>
      </c>
      <c r="X89" s="32">
        <f t="shared" si="35"/>
        <v>0</v>
      </c>
      <c r="Y89" s="32">
        <f t="shared" si="35"/>
        <v>0</v>
      </c>
      <c r="Z89" s="487" t="str">
        <f>IFERROR(VLOOKUP($C89,[3]RoboFS!$K:$Q,$AI$1,FALSE),"")</f>
        <v/>
      </c>
      <c r="AA89" s="488">
        <f t="shared" si="28"/>
        <v>12</v>
      </c>
      <c r="AB89" s="488" t="str">
        <f t="shared" si="29"/>
        <v/>
      </c>
      <c r="AC89" s="489" t="str">
        <f t="shared" si="30"/>
        <v/>
      </c>
      <c r="AD89" s="487" t="str">
        <f>IFERROR(VLOOKUP($C89,[3]RoboFS!$K:$Q,$AI$2,FALSE),"")</f>
        <v/>
      </c>
      <c r="AE89" s="488">
        <f t="shared" si="33"/>
        <v>28</v>
      </c>
      <c r="AF89" s="488" t="str">
        <f t="shared" si="31"/>
        <v/>
      </c>
      <c r="AG89" s="489" t="str">
        <f t="shared" si="32"/>
        <v/>
      </c>
    </row>
    <row r="90" spans="2:34">
      <c r="B90" s="27"/>
      <c r="C90" s="293" t="s">
        <v>159</v>
      </c>
      <c r="E90" s="32">
        <f>E88*0.5</f>
        <v>6</v>
      </c>
      <c r="F90" s="32">
        <f t="shared" ref="F90:N90" si="36">F88*0.5</f>
        <v>0</v>
      </c>
      <c r="G90" s="32">
        <f t="shared" si="36"/>
        <v>0</v>
      </c>
      <c r="H90" s="32">
        <f t="shared" si="36"/>
        <v>0</v>
      </c>
      <c r="I90" s="32">
        <f t="shared" si="36"/>
        <v>0</v>
      </c>
      <c r="J90" s="32">
        <f t="shared" si="36"/>
        <v>0</v>
      </c>
      <c r="K90" s="32">
        <f t="shared" si="36"/>
        <v>0</v>
      </c>
      <c r="L90" s="32">
        <f t="shared" si="36"/>
        <v>0</v>
      </c>
      <c r="M90" s="32">
        <f t="shared" si="36"/>
        <v>0</v>
      </c>
      <c r="N90" s="32">
        <f t="shared" si="36"/>
        <v>0</v>
      </c>
      <c r="O90" s="326"/>
      <c r="P90" s="32">
        <f>P88*0.5</f>
        <v>14</v>
      </c>
      <c r="Q90" s="32">
        <f t="shared" ref="Q90:Y90" si="37">Q88*0.5</f>
        <v>0</v>
      </c>
      <c r="R90" s="32">
        <f t="shared" si="37"/>
        <v>0</v>
      </c>
      <c r="S90" s="32">
        <f t="shared" si="37"/>
        <v>0</v>
      </c>
      <c r="T90" s="32">
        <f t="shared" si="37"/>
        <v>0</v>
      </c>
      <c r="U90" s="32">
        <f t="shared" si="37"/>
        <v>0</v>
      </c>
      <c r="V90" s="32">
        <f t="shared" si="37"/>
        <v>0</v>
      </c>
      <c r="W90" s="32">
        <f t="shared" si="37"/>
        <v>0</v>
      </c>
      <c r="X90" s="32">
        <f t="shared" si="37"/>
        <v>0</v>
      </c>
      <c r="Y90" s="32">
        <f t="shared" si="37"/>
        <v>0</v>
      </c>
      <c r="Z90" s="487" t="str">
        <f>IFERROR(VLOOKUP($C90,[3]RoboFS!$K:$Q,$AI$1,FALSE),"")</f>
        <v/>
      </c>
      <c r="AA90" s="488">
        <f t="shared" si="28"/>
        <v>6</v>
      </c>
      <c r="AB90" s="488" t="str">
        <f t="shared" si="29"/>
        <v/>
      </c>
      <c r="AC90" s="489" t="str">
        <f t="shared" si="30"/>
        <v/>
      </c>
      <c r="AD90" s="487" t="str">
        <f>IFERROR(VLOOKUP($C90,[3]RoboFS!$K:$Q,$AI$2,FALSE),"")</f>
        <v/>
      </c>
      <c r="AE90" s="488">
        <f t="shared" si="33"/>
        <v>14</v>
      </c>
      <c r="AF90" s="488" t="str">
        <f t="shared" si="31"/>
        <v/>
      </c>
      <c r="AG90" s="489" t="str">
        <f t="shared" si="32"/>
        <v/>
      </c>
    </row>
    <row r="91" spans="2:34">
      <c r="B91" s="27"/>
      <c r="C91" s="492" t="s">
        <v>134</v>
      </c>
      <c r="E91" s="418">
        <v>7</v>
      </c>
      <c r="F91" s="418">
        <v>0</v>
      </c>
      <c r="G91" s="418">
        <v>0</v>
      </c>
      <c r="H91" s="418">
        <v>0</v>
      </c>
      <c r="I91" s="418">
        <v>0</v>
      </c>
      <c r="J91" s="418">
        <v>0</v>
      </c>
      <c r="K91" s="418">
        <v>0</v>
      </c>
      <c r="L91" s="418">
        <v>0</v>
      </c>
      <c r="M91" s="418">
        <v>0</v>
      </c>
      <c r="N91" s="418">
        <v>0</v>
      </c>
      <c r="O91" s="326"/>
      <c r="P91" s="418">
        <v>7</v>
      </c>
      <c r="Q91" s="418">
        <v>0</v>
      </c>
      <c r="R91" s="418">
        <v>0</v>
      </c>
      <c r="S91" s="418">
        <v>0</v>
      </c>
      <c r="T91" s="418">
        <v>0</v>
      </c>
      <c r="U91" s="418">
        <v>0</v>
      </c>
      <c r="V91" s="418">
        <v>0</v>
      </c>
      <c r="W91" s="418">
        <v>0</v>
      </c>
      <c r="X91" s="418">
        <v>0</v>
      </c>
      <c r="Y91" s="418">
        <v>0</v>
      </c>
      <c r="Z91" s="487">
        <f>IFERROR(VLOOKUP($C91,[3]RoboFS!$K:$Q,$AI$1,FALSE),"")</f>
        <v>4</v>
      </c>
      <c r="AA91" s="488">
        <f t="shared" si="28"/>
        <v>7</v>
      </c>
      <c r="AB91" s="488">
        <f t="shared" si="29"/>
        <v>0</v>
      </c>
      <c r="AC91" s="489">
        <f t="shared" si="30"/>
        <v>3</v>
      </c>
      <c r="AD91" s="487">
        <f>IFERROR(VLOOKUP($C91,[3]RoboFS!$K:$Q,$AI$2,FALSE),"")</f>
        <v>5</v>
      </c>
      <c r="AE91" s="488">
        <f t="shared" si="33"/>
        <v>7</v>
      </c>
      <c r="AF91" s="488">
        <f t="shared" si="31"/>
        <v>0</v>
      </c>
      <c r="AG91" s="489">
        <f t="shared" si="32"/>
        <v>2</v>
      </c>
      <c r="AH91" s="293" t="s">
        <v>756</v>
      </c>
    </row>
    <row r="92" spans="2:34">
      <c r="B92" s="27"/>
      <c r="C92" s="492" t="s">
        <v>139</v>
      </c>
      <c r="E92" s="418">
        <v>7</v>
      </c>
      <c r="F92" s="418">
        <v>0</v>
      </c>
      <c r="G92" s="418">
        <v>0</v>
      </c>
      <c r="H92" s="418">
        <v>0</v>
      </c>
      <c r="I92" s="418">
        <v>0</v>
      </c>
      <c r="J92" s="418">
        <v>0</v>
      </c>
      <c r="K92" s="418">
        <v>0</v>
      </c>
      <c r="L92" s="418">
        <v>0</v>
      </c>
      <c r="M92" s="418">
        <v>0</v>
      </c>
      <c r="N92" s="418">
        <v>0</v>
      </c>
      <c r="O92" s="326"/>
      <c r="P92" s="418">
        <v>10</v>
      </c>
      <c r="Q92" s="418">
        <v>0</v>
      </c>
      <c r="R92" s="418">
        <v>0</v>
      </c>
      <c r="S92" s="418">
        <v>0</v>
      </c>
      <c r="T92" s="418">
        <v>0</v>
      </c>
      <c r="U92" s="418">
        <v>0</v>
      </c>
      <c r="V92" s="418">
        <v>0</v>
      </c>
      <c r="W92" s="418">
        <v>0</v>
      </c>
      <c r="X92" s="418">
        <v>0</v>
      </c>
      <c r="Y92" s="418">
        <v>0</v>
      </c>
      <c r="Z92" s="487">
        <f>IFERROR(VLOOKUP($C92,[3]RoboFS!$K:$Q,$AI$1,FALSE),"")</f>
        <v>10</v>
      </c>
      <c r="AA92" s="488">
        <f t="shared" si="28"/>
        <v>7</v>
      </c>
      <c r="AB92" s="488">
        <f t="shared" si="29"/>
        <v>3</v>
      </c>
      <c r="AC92" s="489">
        <f t="shared" si="30"/>
        <v>0</v>
      </c>
      <c r="AD92" s="487">
        <f>IFERROR(VLOOKUP($C92,[3]RoboFS!$K:$Q,$AI$2,FALSE),"")</f>
        <v>12</v>
      </c>
      <c r="AE92" s="488">
        <f t="shared" si="33"/>
        <v>10</v>
      </c>
      <c r="AF92" s="488">
        <f t="shared" si="31"/>
        <v>2</v>
      </c>
      <c r="AG92" s="489">
        <f t="shared" si="32"/>
        <v>0</v>
      </c>
    </row>
    <row r="93" spans="2:34">
      <c r="B93" s="27"/>
      <c r="C93" s="293" t="s">
        <v>162</v>
      </c>
      <c r="E93" s="418">
        <f>IF([3]RoboFS_Assumptions!$B$99="Yes",1,0)</f>
        <v>0</v>
      </c>
      <c r="F93" s="418">
        <v>0</v>
      </c>
      <c r="G93" s="418">
        <v>0</v>
      </c>
      <c r="H93" s="418">
        <v>0</v>
      </c>
      <c r="I93" s="418">
        <v>0</v>
      </c>
      <c r="J93" s="418">
        <v>0</v>
      </c>
      <c r="K93" s="418">
        <v>0</v>
      </c>
      <c r="L93" s="418">
        <v>0</v>
      </c>
      <c r="M93" s="418">
        <v>0</v>
      </c>
      <c r="N93" s="418">
        <v>0</v>
      </c>
      <c r="O93" s="326"/>
      <c r="P93" s="418">
        <v>0</v>
      </c>
      <c r="Q93" s="418">
        <v>0</v>
      </c>
      <c r="R93" s="418">
        <v>0</v>
      </c>
      <c r="S93" s="418">
        <v>0</v>
      </c>
      <c r="T93" s="418">
        <v>0</v>
      </c>
      <c r="U93" s="418">
        <v>0</v>
      </c>
      <c r="V93" s="418">
        <v>0</v>
      </c>
      <c r="W93" s="418">
        <v>0</v>
      </c>
      <c r="X93" s="418">
        <v>0</v>
      </c>
      <c r="Y93" s="418">
        <v>0</v>
      </c>
      <c r="Z93" s="487" t="str">
        <f>IFERROR(VLOOKUP($C93,[3]RoboFS!$K:$Q,$AI$1,FALSE),"")</f>
        <v/>
      </c>
      <c r="AA93" s="488">
        <f t="shared" si="28"/>
        <v>0</v>
      </c>
      <c r="AB93" s="488" t="str">
        <f t="shared" si="29"/>
        <v/>
      </c>
      <c r="AC93" s="489" t="str">
        <f t="shared" si="30"/>
        <v/>
      </c>
      <c r="AD93" s="487" t="str">
        <f>IFERROR(VLOOKUP($C93,[3]RoboFS!$K:$Q,$AI$2,FALSE),"")</f>
        <v/>
      </c>
      <c r="AE93" s="488">
        <f t="shared" si="33"/>
        <v>0</v>
      </c>
      <c r="AF93" s="488" t="str">
        <f t="shared" si="31"/>
        <v/>
      </c>
      <c r="AG93" s="489" t="str">
        <f t="shared" si="32"/>
        <v/>
      </c>
    </row>
    <row r="94" spans="2:34">
      <c r="B94" s="27"/>
      <c r="C94" s="293" t="s">
        <v>69</v>
      </c>
      <c r="E94" s="326">
        <v>2</v>
      </c>
      <c r="F94" s="326">
        <v>3</v>
      </c>
      <c r="G94" s="326">
        <v>3</v>
      </c>
      <c r="H94" s="326">
        <v>3</v>
      </c>
      <c r="I94" s="326">
        <v>3</v>
      </c>
      <c r="J94" s="326">
        <v>3</v>
      </c>
      <c r="K94" s="326">
        <v>3</v>
      </c>
      <c r="L94" s="326">
        <v>3</v>
      </c>
      <c r="M94" s="326">
        <v>3</v>
      </c>
      <c r="N94" s="326">
        <v>3</v>
      </c>
      <c r="O94" s="326"/>
      <c r="P94" s="326">
        <v>2</v>
      </c>
      <c r="Q94" s="326">
        <v>3</v>
      </c>
      <c r="R94" s="326">
        <v>3</v>
      </c>
      <c r="S94" s="326">
        <v>3</v>
      </c>
      <c r="T94" s="326">
        <v>3</v>
      </c>
      <c r="U94" s="326">
        <v>3</v>
      </c>
      <c r="V94" s="326">
        <v>3</v>
      </c>
      <c r="W94" s="326">
        <v>3</v>
      </c>
      <c r="X94" s="326">
        <v>3</v>
      </c>
      <c r="Y94" s="326">
        <v>3</v>
      </c>
      <c r="Z94" s="487" t="str">
        <f>IFERROR(VLOOKUP($C94,[3]RoboFS!$K:$Q,$AI$1,FALSE),"")</f>
        <v/>
      </c>
      <c r="AA94" s="488">
        <f t="shared" si="28"/>
        <v>2</v>
      </c>
      <c r="AB94" s="488" t="str">
        <f t="shared" si="29"/>
        <v/>
      </c>
      <c r="AC94" s="489" t="str">
        <f t="shared" si="30"/>
        <v/>
      </c>
      <c r="AD94" s="487" t="str">
        <f>IFERROR(VLOOKUP($C94,[3]RoboFS!$K:$Q,$AI$2,FALSE),"")</f>
        <v/>
      </c>
      <c r="AE94" s="488">
        <f t="shared" si="33"/>
        <v>2</v>
      </c>
      <c r="AF94" s="488" t="str">
        <f t="shared" si="31"/>
        <v/>
      </c>
      <c r="AG94" s="489" t="str">
        <f t="shared" si="32"/>
        <v/>
      </c>
    </row>
    <row r="95" spans="2:34">
      <c r="B95" s="27"/>
      <c r="C95" s="293" t="s">
        <v>73</v>
      </c>
      <c r="E95" s="422">
        <v>3</v>
      </c>
      <c r="F95" s="422">
        <v>0</v>
      </c>
      <c r="G95" s="422">
        <v>0</v>
      </c>
      <c r="H95" s="422">
        <v>0</v>
      </c>
      <c r="I95" s="422">
        <v>0</v>
      </c>
      <c r="J95" s="422">
        <v>0</v>
      </c>
      <c r="K95" s="422">
        <v>0</v>
      </c>
      <c r="L95" s="422">
        <v>0</v>
      </c>
      <c r="M95" s="422">
        <v>0</v>
      </c>
      <c r="N95" s="422">
        <v>0</v>
      </c>
      <c r="O95" s="326"/>
      <c r="P95" s="422">
        <v>3</v>
      </c>
      <c r="Q95" s="422">
        <v>0</v>
      </c>
      <c r="R95" s="422">
        <v>0</v>
      </c>
      <c r="S95" s="422">
        <v>0</v>
      </c>
      <c r="T95" s="422">
        <v>0</v>
      </c>
      <c r="U95" s="422">
        <v>0</v>
      </c>
      <c r="V95" s="422">
        <v>0</v>
      </c>
      <c r="W95" s="422">
        <v>0</v>
      </c>
      <c r="X95" s="422">
        <v>0</v>
      </c>
      <c r="Y95" s="422">
        <v>0</v>
      </c>
      <c r="Z95" s="487" t="str">
        <f>IFERROR(VLOOKUP($C95,[3]RoboFS!$K:$Q,$AI$1,FALSE),"")</f>
        <v/>
      </c>
      <c r="AA95" s="488">
        <f t="shared" si="28"/>
        <v>3</v>
      </c>
      <c r="AB95" s="488" t="str">
        <f t="shared" si="29"/>
        <v/>
      </c>
      <c r="AC95" s="489" t="str">
        <f t="shared" si="30"/>
        <v/>
      </c>
      <c r="AD95" s="487" t="str">
        <f>IFERROR(VLOOKUP($C95,[3]RoboFS!$K:$Q,$AI$2,FALSE),"")</f>
        <v/>
      </c>
      <c r="AE95" s="488">
        <f t="shared" si="33"/>
        <v>3</v>
      </c>
      <c r="AF95" s="488" t="str">
        <f t="shared" si="31"/>
        <v/>
      </c>
      <c r="AG95" s="489" t="str">
        <f t="shared" si="32"/>
        <v/>
      </c>
    </row>
    <row r="96" spans="2:34">
      <c r="B96" s="27"/>
      <c r="C96" s="293" t="s">
        <v>122</v>
      </c>
      <c r="E96" s="326">
        <v>1</v>
      </c>
      <c r="F96" s="326">
        <v>1</v>
      </c>
      <c r="G96" s="326">
        <v>1</v>
      </c>
      <c r="H96" s="326">
        <v>1</v>
      </c>
      <c r="I96" s="326">
        <v>1</v>
      </c>
      <c r="J96" s="326">
        <v>1</v>
      </c>
      <c r="K96" s="326">
        <v>1</v>
      </c>
      <c r="L96" s="326">
        <v>1</v>
      </c>
      <c r="M96" s="326">
        <v>1</v>
      </c>
      <c r="N96" s="326">
        <v>1</v>
      </c>
      <c r="O96" s="326"/>
      <c r="P96" s="326">
        <v>1</v>
      </c>
      <c r="Q96" s="326">
        <v>1</v>
      </c>
      <c r="R96" s="326">
        <v>1</v>
      </c>
      <c r="S96" s="326">
        <v>1</v>
      </c>
      <c r="T96" s="326">
        <v>1</v>
      </c>
      <c r="U96" s="326">
        <v>1</v>
      </c>
      <c r="V96" s="326">
        <v>1</v>
      </c>
      <c r="W96" s="326">
        <v>1</v>
      </c>
      <c r="X96" s="326">
        <v>1</v>
      </c>
      <c r="Y96" s="326">
        <v>1</v>
      </c>
      <c r="Z96" s="487" t="str">
        <f>IFERROR(VLOOKUP($C96,[3]RoboFS!$K:$Q,$AI$1,FALSE),"")</f>
        <v/>
      </c>
      <c r="AA96" s="488">
        <f t="shared" si="28"/>
        <v>1</v>
      </c>
      <c r="AB96" s="488" t="str">
        <f t="shared" si="29"/>
        <v/>
      </c>
      <c r="AC96" s="489" t="str">
        <f t="shared" si="30"/>
        <v/>
      </c>
      <c r="AD96" s="487" t="str">
        <f>IFERROR(VLOOKUP($C96,[3]RoboFS!$K:$Q,$AI$2,FALSE),"")</f>
        <v/>
      </c>
      <c r="AE96" s="488">
        <f t="shared" si="33"/>
        <v>1</v>
      </c>
      <c r="AF96" s="488" t="str">
        <f t="shared" si="31"/>
        <v/>
      </c>
      <c r="AG96" s="489" t="str">
        <f t="shared" si="32"/>
        <v/>
      </c>
    </row>
    <row r="97" spans="2:34">
      <c r="B97" s="27"/>
      <c r="C97" s="492" t="s">
        <v>124</v>
      </c>
      <c r="E97" s="422">
        <v>6</v>
      </c>
      <c r="F97" s="422">
        <v>0</v>
      </c>
      <c r="G97" s="422">
        <v>0</v>
      </c>
      <c r="H97" s="422">
        <v>0</v>
      </c>
      <c r="I97" s="422">
        <v>0</v>
      </c>
      <c r="J97" s="422">
        <v>0</v>
      </c>
      <c r="K97" s="422">
        <v>0</v>
      </c>
      <c r="L97" s="422">
        <v>0</v>
      </c>
      <c r="M97" s="422">
        <v>0</v>
      </c>
      <c r="N97" s="422">
        <v>0</v>
      </c>
      <c r="O97" s="326"/>
      <c r="P97" s="422">
        <v>8</v>
      </c>
      <c r="Q97" s="422">
        <v>0</v>
      </c>
      <c r="R97" s="422">
        <v>0</v>
      </c>
      <c r="S97" s="422">
        <v>0</v>
      </c>
      <c r="T97" s="422">
        <v>0</v>
      </c>
      <c r="U97" s="422">
        <v>0</v>
      </c>
      <c r="V97" s="422">
        <v>0</v>
      </c>
      <c r="W97" s="422">
        <v>0</v>
      </c>
      <c r="X97" s="422">
        <v>0</v>
      </c>
      <c r="Y97" s="422">
        <v>0</v>
      </c>
      <c r="Z97" s="487">
        <f>IFERROR(VLOOKUP($C97,[3]RoboFS!$K:$Q,$AI$1,FALSE),"")</f>
        <v>6</v>
      </c>
      <c r="AA97" s="488">
        <f t="shared" si="28"/>
        <v>6</v>
      </c>
      <c r="AB97" s="488">
        <f t="shared" si="29"/>
        <v>0</v>
      </c>
      <c r="AC97" s="489">
        <f t="shared" si="30"/>
        <v>0</v>
      </c>
      <c r="AD97" s="487">
        <f>IFERROR(VLOOKUP($C97,[3]RoboFS!$K:$Q,$AI$2,FALSE),"")</f>
        <v>3</v>
      </c>
      <c r="AE97" s="488">
        <f t="shared" si="33"/>
        <v>8</v>
      </c>
      <c r="AF97" s="488">
        <f t="shared" si="31"/>
        <v>0</v>
      </c>
      <c r="AG97" s="489">
        <f t="shared" si="32"/>
        <v>5</v>
      </c>
    </row>
    <row r="98" spans="2:34">
      <c r="B98" s="27"/>
      <c r="C98" s="293" t="s">
        <v>128</v>
      </c>
      <c r="E98" s="418">
        <f>IF([3]RoboFS_Assumptions!$B$99="Yes",1,0)</f>
        <v>0</v>
      </c>
      <c r="F98" s="422">
        <v>0</v>
      </c>
      <c r="G98" s="422">
        <v>0</v>
      </c>
      <c r="H98" s="422">
        <v>0</v>
      </c>
      <c r="I98" s="422">
        <v>0</v>
      </c>
      <c r="J98" s="422">
        <v>0</v>
      </c>
      <c r="K98" s="422">
        <v>0</v>
      </c>
      <c r="L98" s="422">
        <v>0</v>
      </c>
      <c r="M98" s="422">
        <v>0</v>
      </c>
      <c r="N98" s="422">
        <v>0</v>
      </c>
      <c r="O98" s="326"/>
      <c r="P98" s="422">
        <v>0</v>
      </c>
      <c r="Q98" s="422">
        <v>0</v>
      </c>
      <c r="R98" s="422">
        <v>0</v>
      </c>
      <c r="S98" s="422">
        <v>0</v>
      </c>
      <c r="T98" s="422">
        <v>0</v>
      </c>
      <c r="U98" s="422">
        <v>0</v>
      </c>
      <c r="V98" s="422">
        <v>0</v>
      </c>
      <c r="W98" s="422">
        <v>0</v>
      </c>
      <c r="X98" s="422">
        <v>0</v>
      </c>
      <c r="Y98" s="422">
        <v>0</v>
      </c>
      <c r="Z98" s="487" t="str">
        <f>IFERROR(VLOOKUP($C98,[3]RoboFS!$K:$Q,$AI$1,FALSE),"")</f>
        <v/>
      </c>
      <c r="AA98" s="488">
        <f t="shared" si="28"/>
        <v>0</v>
      </c>
      <c r="AB98" s="488" t="str">
        <f t="shared" si="29"/>
        <v/>
      </c>
      <c r="AC98" s="489" t="str">
        <f t="shared" si="30"/>
        <v/>
      </c>
      <c r="AD98" s="487" t="str">
        <f>IFERROR(VLOOKUP($C98,[3]RoboFS!$K:$Q,$AI$2,FALSE),"")</f>
        <v/>
      </c>
      <c r="AE98" s="488">
        <f t="shared" si="33"/>
        <v>0</v>
      </c>
      <c r="AF98" s="488" t="str">
        <f t="shared" si="31"/>
        <v/>
      </c>
      <c r="AG98" s="489" t="str">
        <f t="shared" si="32"/>
        <v/>
      </c>
    </row>
    <row r="99" spans="2:34">
      <c r="B99" s="27"/>
      <c r="C99" s="293" t="s">
        <v>130</v>
      </c>
      <c r="E99" s="418">
        <f>IF([3]RoboFS_Assumptions!$B$99="Yes",1,0)</f>
        <v>0</v>
      </c>
      <c r="F99" s="422">
        <v>0</v>
      </c>
      <c r="G99" s="422">
        <v>0</v>
      </c>
      <c r="H99" s="422">
        <v>0</v>
      </c>
      <c r="I99" s="422">
        <v>0</v>
      </c>
      <c r="J99" s="422">
        <v>0</v>
      </c>
      <c r="K99" s="422">
        <v>0</v>
      </c>
      <c r="L99" s="422">
        <v>0</v>
      </c>
      <c r="M99" s="422">
        <v>0</v>
      </c>
      <c r="N99" s="422">
        <v>0</v>
      </c>
      <c r="O99" s="326"/>
      <c r="P99" s="422">
        <v>0</v>
      </c>
      <c r="Q99" s="422">
        <v>0</v>
      </c>
      <c r="R99" s="422">
        <v>0</v>
      </c>
      <c r="S99" s="422">
        <v>0</v>
      </c>
      <c r="T99" s="422">
        <v>0</v>
      </c>
      <c r="U99" s="422">
        <v>0</v>
      </c>
      <c r="V99" s="422">
        <v>0</v>
      </c>
      <c r="W99" s="422">
        <v>0</v>
      </c>
      <c r="X99" s="422">
        <v>0</v>
      </c>
      <c r="Y99" s="422">
        <v>0</v>
      </c>
      <c r="Z99" s="487" t="str">
        <f>IFERROR(VLOOKUP($C99,[3]RoboFS!$K:$Q,$AI$1,FALSE),"")</f>
        <v/>
      </c>
      <c r="AA99" s="488">
        <f t="shared" si="28"/>
        <v>0</v>
      </c>
      <c r="AB99" s="488" t="str">
        <f t="shared" si="29"/>
        <v/>
      </c>
      <c r="AC99" s="489" t="str">
        <f t="shared" si="30"/>
        <v/>
      </c>
      <c r="AD99" s="487" t="str">
        <f>IFERROR(VLOOKUP($C99,[3]RoboFS!$K:$Q,$AI$2,FALSE),"")</f>
        <v/>
      </c>
      <c r="AE99" s="488">
        <f t="shared" si="33"/>
        <v>0</v>
      </c>
      <c r="AF99" s="488" t="str">
        <f t="shared" si="31"/>
        <v/>
      </c>
      <c r="AG99" s="489" t="str">
        <f t="shared" si="32"/>
        <v/>
      </c>
    </row>
    <row r="100" spans="2:34">
      <c r="B100" s="501"/>
      <c r="C100" s="502"/>
      <c r="D100" s="502"/>
      <c r="E100" s="502"/>
      <c r="F100" s="502"/>
      <c r="G100" s="502"/>
      <c r="H100" s="502"/>
      <c r="I100" s="502"/>
      <c r="J100" s="502"/>
      <c r="K100" s="502"/>
      <c r="L100" s="502"/>
      <c r="M100" s="502"/>
      <c r="N100" s="502"/>
      <c r="O100" s="503"/>
      <c r="P100" s="502"/>
      <c r="Q100" s="502"/>
      <c r="R100" s="502"/>
      <c r="S100" s="502"/>
      <c r="T100" s="502"/>
      <c r="U100" s="502"/>
      <c r="V100" s="502"/>
      <c r="W100" s="502"/>
      <c r="X100" s="502"/>
      <c r="Y100" s="502"/>
      <c r="Z100" s="487" t="str">
        <f>IFERROR(VLOOKUP($C100,[3]RoboFS!$K:$Q,$AI$1,FALSE),"")</f>
        <v/>
      </c>
      <c r="AD100" s="487" t="str">
        <f>IFERROR(VLOOKUP($C100,[3]RoboFS!$K:$Q,$AI$2,FALSE),"")</f>
        <v/>
      </c>
    </row>
    <row r="101" spans="2:34">
      <c r="Z101" s="487" t="str">
        <f>IFERROR(VLOOKUP($C101,[3]RoboFS!$K:$Q,$AI$1,FALSE),"")</f>
        <v/>
      </c>
      <c r="AD101" s="487" t="str">
        <f>IFERROR(VLOOKUP($C101,[3]RoboFS!$K:$Q,$AI$2,FALSE),"")</f>
        <v/>
      </c>
    </row>
    <row r="102" spans="2:34">
      <c r="B102" s="27" t="s">
        <v>172</v>
      </c>
      <c r="C102" s="40" t="s">
        <v>723</v>
      </c>
      <c r="D102" s="40"/>
      <c r="E102" s="497" t="s">
        <v>757</v>
      </c>
      <c r="F102" s="497"/>
      <c r="O102" s="7" t="s">
        <v>0</v>
      </c>
      <c r="P102" s="497" t="s">
        <v>757</v>
      </c>
      <c r="Q102" s="497"/>
      <c r="Z102" s="487" t="str">
        <f>IFERROR(VLOOKUP($C102,[3]RoboFS!$K:$Q,$AI$1,FALSE),"")</f>
        <v/>
      </c>
      <c r="AD102" s="487" t="str">
        <f>IFERROR(VLOOKUP($C102,[3]RoboFS!$K:$Q,$AI$2,FALSE),"")</f>
        <v/>
      </c>
    </row>
    <row r="103" spans="2:34">
      <c r="B103" s="27"/>
      <c r="C103" s="293" t="s">
        <v>758</v>
      </c>
      <c r="D103" s="40"/>
      <c r="E103" s="497">
        <v>4</v>
      </c>
      <c r="F103" s="497"/>
      <c r="O103" s="7"/>
      <c r="P103" s="497">
        <v>2</v>
      </c>
      <c r="Q103" s="497"/>
      <c r="Z103" s="487" t="str">
        <f>IFERROR(VLOOKUP($C103,[3]RoboFS!$K:$Q,$AI$1,FALSE),"")</f>
        <v/>
      </c>
      <c r="AD103" s="487" t="str">
        <f>IFERROR(VLOOKUP($C103,[3]RoboFS!$K:$Q,$AI$2,FALSE),"")</f>
        <v/>
      </c>
      <c r="AH103" s="293" t="s">
        <v>759</v>
      </c>
    </row>
    <row r="104" spans="2:34">
      <c r="B104" s="27"/>
      <c r="C104" s="293" t="s">
        <v>760</v>
      </c>
      <c r="D104" s="40"/>
      <c r="E104" s="497">
        <v>0</v>
      </c>
      <c r="F104" s="497"/>
      <c r="O104" s="7"/>
      <c r="P104" s="497">
        <v>2</v>
      </c>
      <c r="Q104" s="497"/>
      <c r="Z104" s="487" t="str">
        <f>IFERROR(VLOOKUP($C104,[3]RoboFS!$K:$Q,$AI$1,FALSE),"")</f>
        <v/>
      </c>
      <c r="AD104" s="487" t="str">
        <f>IFERROR(VLOOKUP($C104,[3]RoboFS!$K:$Q,$AI$2,FALSE),"")</f>
        <v/>
      </c>
    </row>
    <row r="105" spans="2:34">
      <c r="B105" s="27"/>
      <c r="C105" s="293" t="s">
        <v>761</v>
      </c>
      <c r="D105" s="40"/>
      <c r="E105" s="497">
        <v>1</v>
      </c>
      <c r="F105" s="497">
        <v>0</v>
      </c>
      <c r="O105" s="7"/>
      <c r="P105" s="497">
        <v>1</v>
      </c>
      <c r="Q105" s="497">
        <v>0</v>
      </c>
      <c r="Z105" s="487" t="str">
        <f>IFERROR(VLOOKUP($C105,[3]RoboFS!$K:$Q,$AI$1,FALSE),"")</f>
        <v/>
      </c>
      <c r="AD105" s="487" t="str">
        <f>IFERROR(VLOOKUP($C105,[3]RoboFS!$K:$Q,$AI$2,FALSE),"")</f>
        <v/>
      </c>
      <c r="AH105" s="293" t="s">
        <v>762</v>
      </c>
    </row>
    <row r="106" spans="2:34">
      <c r="B106" s="27"/>
      <c r="C106" s="293" t="s">
        <v>763</v>
      </c>
      <c r="D106" s="40"/>
      <c r="E106" s="497">
        <v>6</v>
      </c>
      <c r="F106" s="497"/>
      <c r="O106" s="7"/>
      <c r="P106" s="497">
        <v>3</v>
      </c>
      <c r="Q106" s="497"/>
      <c r="Z106" s="487" t="str">
        <f>IFERROR(VLOOKUP($C106,[3]RoboFS!$K:$Q,$AI$1,FALSE),"")</f>
        <v/>
      </c>
      <c r="AD106" s="487" t="str">
        <f>IFERROR(VLOOKUP($C106,[3]RoboFS!$K:$Q,$AI$2,FALSE),"")</f>
        <v/>
      </c>
      <c r="AH106" s="293" t="s">
        <v>764</v>
      </c>
    </row>
    <row r="107" spans="2:34">
      <c r="C107" s="293" t="s">
        <v>1</v>
      </c>
      <c r="E107" s="326">
        <f>SUM(E103:E106)</f>
        <v>11</v>
      </c>
      <c r="F107" s="326">
        <f>SUM(F103:F106)</f>
        <v>0</v>
      </c>
      <c r="O107" s="326"/>
      <c r="P107" s="326">
        <f>SUM(P103:P106)</f>
        <v>8</v>
      </c>
      <c r="Q107" s="326">
        <f>SUM(Q103:Q106)</f>
        <v>0</v>
      </c>
      <c r="Z107" s="487" t="str">
        <f>IFERROR(VLOOKUP($C107,[3]RoboFS!$K:$Q,$AI$1,FALSE),"")</f>
        <v/>
      </c>
      <c r="AD107" s="487" t="str">
        <f>IFERROR(VLOOKUP($C107,[3]RoboFS!$K:$Q,$AI$2,FALSE),"")</f>
        <v/>
      </c>
    </row>
    <row r="108" spans="2:34">
      <c r="Z108" s="487" t="str">
        <f>IFERROR(VLOOKUP($C108,[3]RoboFS!$K:$Q,$AI$1,FALSE),"")</f>
        <v/>
      </c>
      <c r="AD108" s="487" t="str">
        <f>IFERROR(VLOOKUP($C108,[3]RoboFS!$K:$Q,$AI$2,FALSE),"")</f>
        <v/>
      </c>
    </row>
    <row r="109" spans="2:34">
      <c r="B109" s="30" t="s">
        <v>726</v>
      </c>
      <c r="C109" s="293" t="s">
        <v>173</v>
      </c>
      <c r="E109" s="422">
        <v>1</v>
      </c>
      <c r="F109" s="422">
        <v>0</v>
      </c>
      <c r="P109" s="422">
        <v>1</v>
      </c>
      <c r="Q109" s="422">
        <v>0</v>
      </c>
      <c r="Z109" s="487">
        <f>IFERROR(VLOOKUP($C109,[3]RoboFS!$K:$Q,$AI$1,FALSE),"")</f>
        <v>11</v>
      </c>
      <c r="AA109" s="488">
        <f>SUMPRODUCT(E109:N109,E$107:N$107)</f>
        <v>11</v>
      </c>
      <c r="AB109" s="488">
        <f>IF(Z109&lt;&gt;"",MAX(Z109-AA109,0),"")</f>
        <v>0</v>
      </c>
      <c r="AC109" s="489">
        <f>IF(Z109&lt;&gt;"",MAX(AA109-Z109,0),"")</f>
        <v>0</v>
      </c>
      <c r="AD109" s="487">
        <f>IFERROR(VLOOKUP($C109,[3]RoboFS!$K:$Q,$AI$2,FALSE),"")</f>
        <v>22</v>
      </c>
      <c r="AE109" s="488">
        <f>SUMPRODUCT(P109:Y109,P$107:Y$107)</f>
        <v>8</v>
      </c>
      <c r="AF109" s="488">
        <f>IF(AD109&lt;&gt;"",MAX(AD109-AE109,0),"")</f>
        <v>14</v>
      </c>
      <c r="AG109" s="489">
        <f>IF(AD109&lt;&gt;"",MAX(AE109-AD109,0),"")</f>
        <v>0</v>
      </c>
    </row>
    <row r="110" spans="2:34">
      <c r="C110" s="293" t="s">
        <v>122</v>
      </c>
      <c r="E110" s="454">
        <f>E109</f>
        <v>1</v>
      </c>
      <c r="F110" s="454">
        <f>F109</f>
        <v>0</v>
      </c>
      <c r="P110" s="454">
        <f>P109</f>
        <v>1</v>
      </c>
      <c r="Q110" s="454">
        <f>Q109</f>
        <v>0</v>
      </c>
      <c r="Z110" s="487" t="str">
        <f>IFERROR(VLOOKUP($C110,[3]RoboFS!$K:$Q,$AI$1,FALSE),"")</f>
        <v/>
      </c>
      <c r="AA110" s="488">
        <f>SUMPRODUCT(E110:N110,E$107:N$107)</f>
        <v>11</v>
      </c>
      <c r="AB110" s="488" t="str">
        <f>IF(Z110&lt;&gt;"",MAX(Z110-AA110,0),"")</f>
        <v/>
      </c>
      <c r="AC110" s="489" t="str">
        <f>IF(Z110&lt;&gt;"",MAX(AA110-Z110,0),"")</f>
        <v/>
      </c>
      <c r="AD110" s="487" t="str">
        <f>IFERROR(VLOOKUP($C110,[3]RoboFS!$K:$Q,$AI$2,FALSE),"")</f>
        <v/>
      </c>
      <c r="AE110" s="488">
        <f>SUMPRODUCT(P110:Y110,P$107:Y$107)</f>
        <v>8</v>
      </c>
      <c r="AF110" s="488" t="str">
        <f>IF(AD110&lt;&gt;"",MAX(AD110-AE110,0),"")</f>
        <v/>
      </c>
      <c r="AG110" s="489" t="str">
        <f>IF(AD110&lt;&gt;"",MAX(AE110-AD110,0),"")</f>
        <v/>
      </c>
    </row>
    <row r="111" spans="2:34">
      <c r="C111" s="293" t="s">
        <v>69</v>
      </c>
      <c r="E111" s="454">
        <f>E109</f>
        <v>1</v>
      </c>
      <c r="F111" s="454">
        <f>F109</f>
        <v>0</v>
      </c>
      <c r="P111" s="454">
        <f>P109</f>
        <v>1</v>
      </c>
      <c r="Q111" s="454">
        <f>Q109</f>
        <v>0</v>
      </c>
      <c r="Z111" s="487" t="str">
        <f>IFERROR(VLOOKUP($C111,[3]RoboFS!$K:$Q,$AI$1,FALSE),"")</f>
        <v/>
      </c>
      <c r="AA111" s="488">
        <f>SUMPRODUCT(E111:N111,E$107:N$107)</f>
        <v>11</v>
      </c>
      <c r="AB111" s="488" t="str">
        <f>IF(Z111&lt;&gt;"",MAX(Z111-AA111,0),"")</f>
        <v/>
      </c>
      <c r="AC111" s="489" t="str">
        <f>IF(Z111&lt;&gt;"",MAX(AA111-Z111,0),"")</f>
        <v/>
      </c>
      <c r="AD111" s="487" t="str">
        <f>IFERROR(VLOOKUP($C111,[3]RoboFS!$K:$Q,$AI$2,FALSE),"")</f>
        <v/>
      </c>
      <c r="AE111" s="488">
        <f>SUMPRODUCT(P111:Y111,P$107:Y$107)</f>
        <v>8</v>
      </c>
      <c r="AF111" s="488" t="str">
        <f>IF(AD111&lt;&gt;"",MAX(AD111-AE111,0),"")</f>
        <v/>
      </c>
      <c r="AG111" s="489" t="str">
        <f>IF(AD111&lt;&gt;"",MAX(AE111-AD111,0),"")</f>
        <v/>
      </c>
    </row>
    <row r="112" spans="2:34">
      <c r="B112" s="501"/>
      <c r="C112" s="502"/>
      <c r="D112" s="502"/>
      <c r="E112" s="502"/>
      <c r="F112" s="502"/>
      <c r="G112" s="502"/>
      <c r="H112" s="502"/>
      <c r="I112" s="502"/>
      <c r="J112" s="502"/>
      <c r="K112" s="502"/>
      <c r="L112" s="502"/>
      <c r="M112" s="502"/>
      <c r="N112" s="502"/>
      <c r="O112" s="503"/>
      <c r="P112" s="502"/>
      <c r="Q112" s="502"/>
      <c r="R112" s="502"/>
      <c r="S112" s="502"/>
      <c r="T112" s="502"/>
      <c r="U112" s="502"/>
      <c r="V112" s="502"/>
      <c r="W112" s="502"/>
      <c r="X112" s="502"/>
      <c r="Y112" s="502"/>
      <c r="Z112" s="487" t="str">
        <f>IFERROR(VLOOKUP($C112,[3]RoboFS!$K:$Q,$AI$1,FALSE),"")</f>
        <v/>
      </c>
      <c r="AD112" s="487" t="str">
        <f>IFERROR(VLOOKUP($C112,[3]RoboFS!$K:$Q,$AI$2,FALSE),"")</f>
        <v/>
      </c>
    </row>
    <row r="113" spans="2:34">
      <c r="Z113" s="487" t="str">
        <f>IFERROR(VLOOKUP($C113,[3]RoboFS!$K:$Q,$AI$1,FALSE),"")</f>
        <v/>
      </c>
      <c r="AD113" s="487" t="str">
        <f>IFERROR(VLOOKUP($C113,[3]RoboFS!$K:$Q,$AI$2,FALSE),"")</f>
        <v/>
      </c>
    </row>
    <row r="114" spans="2:34">
      <c r="B114" s="27" t="s">
        <v>765</v>
      </c>
      <c r="C114" s="40" t="s">
        <v>723</v>
      </c>
      <c r="D114" s="40"/>
      <c r="E114" s="497" t="s">
        <v>766</v>
      </c>
      <c r="O114" s="7" t="s">
        <v>0</v>
      </c>
      <c r="P114" s="497" t="s">
        <v>766</v>
      </c>
      <c r="Z114" s="487" t="str">
        <f>IFERROR(VLOOKUP($C114,[3]RoboFS!$K:$Q,$AI$1,FALSE),"")</f>
        <v/>
      </c>
      <c r="AD114" s="487" t="str">
        <f>IFERROR(VLOOKUP($C114,[3]RoboFS!$K:$Q,$AI$2,FALSE),"")</f>
        <v/>
      </c>
    </row>
    <row r="115" spans="2:34">
      <c r="C115" s="293" t="s">
        <v>767</v>
      </c>
      <c r="E115" s="422">
        <v>2</v>
      </c>
      <c r="O115" s="326"/>
      <c r="P115" s="422">
        <v>3</v>
      </c>
      <c r="Z115" s="487" t="str">
        <f>IFERROR(VLOOKUP($C115,[3]RoboFS!$K:$Q,$AI$1,FALSE),"")</f>
        <v/>
      </c>
      <c r="AD115" s="487" t="str">
        <f>IFERROR(VLOOKUP($C115,[3]RoboFS!$K:$Q,$AI$2,FALSE),"")</f>
        <v/>
      </c>
    </row>
    <row r="116" spans="2:34">
      <c r="C116" s="293" t="s">
        <v>768</v>
      </c>
      <c r="E116" s="482">
        <v>2</v>
      </c>
      <c r="P116" s="482">
        <v>2</v>
      </c>
      <c r="Z116" s="487" t="str">
        <f>IFERROR(VLOOKUP($C116,[3]RoboFS!$K:$Q,$AI$1,FALSE),"")</f>
        <v/>
      </c>
      <c r="AD116" s="487" t="str">
        <f>IFERROR(VLOOKUP($C116,[3]RoboFS!$K:$Q,$AI$2,FALSE),"")</f>
        <v/>
      </c>
    </row>
    <row r="117" spans="2:34">
      <c r="B117" s="30" t="s">
        <v>726</v>
      </c>
      <c r="C117" s="293" t="s">
        <v>123</v>
      </c>
      <c r="E117" s="454">
        <f>SUM(E115:E116)</f>
        <v>4</v>
      </c>
      <c r="F117" s="10"/>
      <c r="P117" s="454">
        <f>SUM(P115:P116)</f>
        <v>5</v>
      </c>
      <c r="Z117" s="487" t="str">
        <f>IFERROR(VLOOKUP($C117,[3]RoboFS!$K:$Q,$AI$1,FALSE),"")</f>
        <v/>
      </c>
      <c r="AA117" s="488">
        <f>SUM(E117:N117)</f>
        <v>4</v>
      </c>
      <c r="AB117" s="488" t="str">
        <f>IF(Z117&lt;&gt;"",MAX(Z117-AA117,0),"")</f>
        <v/>
      </c>
      <c r="AC117" s="489" t="str">
        <f>IF(Z117&lt;&gt;"",MAX(AA117-Z117,0),"")</f>
        <v/>
      </c>
      <c r="AD117" s="487" t="str">
        <f>IFERROR(VLOOKUP($C117,[3]RoboFS!$K:$Q,$AI$2,FALSE),"")</f>
        <v/>
      </c>
      <c r="AE117" s="488">
        <f>SUM(P117:Y117)</f>
        <v>5</v>
      </c>
      <c r="AF117" s="488" t="str">
        <f>IF(AD117&lt;&gt;"",MAX(AD117-AE117,0),"")</f>
        <v/>
      </c>
      <c r="AG117" s="489" t="str">
        <f>IF(AD117&lt;&gt;"",MAX(AE117-AD117,0),"")</f>
        <v/>
      </c>
    </row>
    <row r="118" spans="2:34">
      <c r="B118" s="501"/>
      <c r="C118" s="502"/>
      <c r="D118" s="502"/>
      <c r="E118" s="502"/>
      <c r="F118" s="502"/>
      <c r="G118" s="502"/>
      <c r="H118" s="502"/>
      <c r="I118" s="502"/>
      <c r="J118" s="502"/>
      <c r="K118" s="502"/>
      <c r="L118" s="502"/>
      <c r="M118" s="502"/>
      <c r="N118" s="502"/>
      <c r="O118" s="503"/>
      <c r="P118" s="502"/>
      <c r="Q118" s="502"/>
      <c r="R118" s="502"/>
      <c r="S118" s="502"/>
      <c r="T118" s="502"/>
      <c r="U118" s="502"/>
      <c r="V118" s="502"/>
      <c r="W118" s="502"/>
      <c r="X118" s="502"/>
      <c r="Y118" s="502"/>
      <c r="Z118" s="487" t="str">
        <f>IFERROR(VLOOKUP($C118,[3]RoboFS!$K:$Q,$AI$1,FALSE),"")</f>
        <v/>
      </c>
      <c r="AA118" s="293"/>
      <c r="AB118" s="293"/>
      <c r="AC118" s="168"/>
      <c r="AD118" s="487" t="str">
        <f>IFERROR(VLOOKUP($C118,[3]RoboFS!$K:$Q,$AI$2,FALSE),"")</f>
        <v/>
      </c>
      <c r="AE118" s="293"/>
      <c r="AF118" s="293"/>
      <c r="AG118" s="168"/>
    </row>
    <row r="119" spans="2:34">
      <c r="B119" s="27"/>
      <c r="O119" s="326"/>
      <c r="Z119" s="487" t="str">
        <f>IFERROR(VLOOKUP($C119,[3]RoboFS!$K:$Q,$AI$1,FALSE),"")</f>
        <v/>
      </c>
      <c r="AA119" s="293"/>
      <c r="AB119" s="293"/>
      <c r="AC119" s="168"/>
      <c r="AD119" s="487" t="str">
        <f>IFERROR(VLOOKUP($C119,[3]RoboFS!$K:$Q,$AI$2,FALSE),"")</f>
        <v/>
      </c>
      <c r="AE119" s="293"/>
      <c r="AF119" s="293"/>
      <c r="AG119" s="168"/>
    </row>
    <row r="120" spans="2:34">
      <c r="B120" s="27" t="s">
        <v>769</v>
      </c>
      <c r="AA120" s="293"/>
      <c r="AB120" s="293"/>
      <c r="AC120" s="168"/>
      <c r="AE120" s="293"/>
      <c r="AF120" s="293"/>
      <c r="AG120" s="168"/>
    </row>
    <row r="121" spans="2:34">
      <c r="C121" s="293" t="s">
        <v>768</v>
      </c>
      <c r="E121" s="422">
        <v>0</v>
      </c>
      <c r="P121" s="422">
        <v>0</v>
      </c>
      <c r="AA121" s="293"/>
      <c r="AB121" s="293"/>
      <c r="AC121" s="168"/>
      <c r="AE121" s="293"/>
      <c r="AF121" s="293"/>
      <c r="AG121" s="168"/>
    </row>
    <row r="122" spans="2:34">
      <c r="C122" s="293" t="s">
        <v>770</v>
      </c>
      <c r="E122" s="422">
        <v>0</v>
      </c>
      <c r="P122" s="422">
        <v>0</v>
      </c>
      <c r="AA122" s="293"/>
      <c r="AB122" s="293"/>
      <c r="AC122" s="168"/>
      <c r="AE122" s="293"/>
      <c r="AF122" s="293"/>
      <c r="AG122" s="168"/>
      <c r="AH122" s="293" t="s">
        <v>771</v>
      </c>
    </row>
    <row r="123" spans="2:34">
      <c r="C123" s="293" t="s">
        <v>772</v>
      </c>
      <c r="E123" s="422">
        <v>0</v>
      </c>
      <c r="P123" s="422">
        <v>0</v>
      </c>
      <c r="AA123" s="293"/>
      <c r="AB123" s="293"/>
      <c r="AC123" s="168"/>
      <c r="AE123" s="293"/>
      <c r="AF123" s="293"/>
      <c r="AG123" s="168"/>
    </row>
    <row r="124" spans="2:34">
      <c r="C124" s="293" t="s">
        <v>773</v>
      </c>
      <c r="E124" s="482">
        <v>2</v>
      </c>
      <c r="P124" s="482">
        <v>4</v>
      </c>
      <c r="AA124" s="293"/>
      <c r="AB124" s="293"/>
      <c r="AC124" s="168"/>
      <c r="AE124" s="293"/>
      <c r="AF124" s="293"/>
      <c r="AG124" s="168"/>
      <c r="AH124" s="293" t="s">
        <v>774</v>
      </c>
    </row>
    <row r="125" spans="2:34">
      <c r="C125" s="293" t="s">
        <v>775</v>
      </c>
      <c r="E125" s="454">
        <f>SUM(E121:E124)</f>
        <v>2</v>
      </c>
      <c r="P125" s="454">
        <f>SUM(P121:P124)</f>
        <v>4</v>
      </c>
      <c r="Z125" s="487">
        <f>IFERROR(VLOOKUP($C125,[3]RoboFS!$K:$Q,$AI$1,FALSE),"")</f>
        <v>6</v>
      </c>
      <c r="AA125" s="488">
        <f>SUM(E125:N125)</f>
        <v>2</v>
      </c>
      <c r="AB125" s="488">
        <f>IF(Z125&lt;&gt;"",MAX(Z125-AA125,0),"")</f>
        <v>4</v>
      </c>
      <c r="AC125" s="489">
        <f>IF(Z125&lt;&gt;"",MAX(AA125-Z125,0),"")</f>
        <v>0</v>
      </c>
      <c r="AD125" s="487">
        <f>IFERROR(VLOOKUP($C125,[3]RoboFS!$K:$Q,$AI$2,FALSE),"")</f>
        <v>12</v>
      </c>
      <c r="AE125" s="488">
        <f>SUM(P125:Y125)</f>
        <v>4</v>
      </c>
      <c r="AF125" s="488">
        <f>IF(AD125&lt;&gt;"",MAX(AD125-AE125,0),"")</f>
        <v>8</v>
      </c>
      <c r="AG125" s="489">
        <f>IF(AD125&lt;&gt;"",MAX(AE125-AD125,0),"")</f>
        <v>0</v>
      </c>
    </row>
    <row r="126" spans="2:34">
      <c r="B126" s="501"/>
      <c r="C126" s="502"/>
      <c r="D126" s="502"/>
      <c r="E126" s="502"/>
      <c r="F126" s="502"/>
      <c r="G126" s="502"/>
      <c r="H126" s="502"/>
      <c r="I126" s="502"/>
      <c r="J126" s="502"/>
      <c r="K126" s="502"/>
      <c r="L126" s="502"/>
      <c r="M126" s="502"/>
      <c r="N126" s="502"/>
      <c r="O126" s="503"/>
      <c r="P126" s="502"/>
      <c r="Q126" s="502"/>
      <c r="R126" s="502"/>
      <c r="S126" s="502"/>
      <c r="T126" s="502"/>
      <c r="U126" s="502"/>
      <c r="V126" s="502"/>
      <c r="W126" s="502"/>
      <c r="X126" s="502"/>
      <c r="Y126" s="502"/>
      <c r="AA126" s="293"/>
      <c r="AB126" s="293"/>
      <c r="AC126" s="168"/>
      <c r="AE126" s="293"/>
      <c r="AF126" s="293"/>
      <c r="AG126" s="168"/>
    </row>
    <row r="127" spans="2:34">
      <c r="B127" s="27" t="s">
        <v>776</v>
      </c>
      <c r="O127" s="326"/>
      <c r="AA127" s="293"/>
      <c r="AB127" s="293"/>
      <c r="AC127" s="168"/>
      <c r="AE127" s="293"/>
      <c r="AF127" s="293"/>
      <c r="AG127" s="168"/>
    </row>
    <row r="128" spans="2:34">
      <c r="B128" s="27"/>
      <c r="C128" s="293" t="s">
        <v>772</v>
      </c>
      <c r="E128" s="22">
        <v>8</v>
      </c>
      <c r="O128" s="326"/>
      <c r="P128" s="22">
        <v>12</v>
      </c>
      <c r="AA128" s="293"/>
      <c r="AB128" s="293"/>
      <c r="AC128" s="168"/>
      <c r="AE128" s="293"/>
      <c r="AF128" s="293"/>
      <c r="AG128" s="168"/>
    </row>
    <row r="129" spans="2:33">
      <c r="B129" s="27"/>
      <c r="C129" s="293" t="s">
        <v>770</v>
      </c>
      <c r="E129" s="22">
        <v>0</v>
      </c>
      <c r="O129" s="326"/>
      <c r="P129" s="22">
        <v>0</v>
      </c>
      <c r="AA129" s="293"/>
      <c r="AB129" s="293"/>
      <c r="AC129" s="168"/>
      <c r="AE129" s="293"/>
      <c r="AF129" s="293"/>
      <c r="AG129" s="168"/>
    </row>
    <row r="130" spans="2:33">
      <c r="B130" s="27"/>
      <c r="C130" s="293" t="s">
        <v>1</v>
      </c>
      <c r="E130" s="29">
        <f>SUM(E128:E129)</f>
        <v>8</v>
      </c>
      <c r="O130" s="326"/>
      <c r="P130" s="29">
        <f>SUM(P128:P129)</f>
        <v>12</v>
      </c>
      <c r="AA130" s="293"/>
      <c r="AB130" s="293"/>
      <c r="AC130" s="168"/>
      <c r="AE130" s="293"/>
      <c r="AF130" s="293"/>
      <c r="AG130" s="168"/>
    </row>
    <row r="131" spans="2:33">
      <c r="B131" s="27"/>
      <c r="O131" s="326"/>
      <c r="AA131" s="293"/>
      <c r="AB131" s="293"/>
      <c r="AC131" s="168"/>
      <c r="AE131" s="293"/>
      <c r="AF131" s="293"/>
      <c r="AG131" s="168"/>
    </row>
    <row r="132" spans="2:33">
      <c r="B132" s="30" t="s">
        <v>726</v>
      </c>
      <c r="C132" s="293" t="s">
        <v>167</v>
      </c>
      <c r="E132" s="293">
        <f>E130</f>
        <v>8</v>
      </c>
      <c r="O132" s="326"/>
      <c r="P132" s="293">
        <f>P130</f>
        <v>12</v>
      </c>
      <c r="Z132" s="487">
        <f>IFERROR(VLOOKUP($C132,[3]RoboFS!$K:$Q,$AI$1,FALSE),"")</f>
        <v>4</v>
      </c>
      <c r="AA132" s="488">
        <f>SUM(E132:N132)</f>
        <v>8</v>
      </c>
      <c r="AB132" s="488">
        <f>IF(Z132&lt;&gt;"",MAX(Z132-AA132,0),"")</f>
        <v>0</v>
      </c>
      <c r="AC132" s="489">
        <f>IF(Z132&lt;&gt;"",MAX(AA132-Z132,0),"")</f>
        <v>4</v>
      </c>
      <c r="AD132" s="487">
        <f>IFERROR(VLOOKUP($C132,[3]RoboFS!$K:$Q,$AI$2,FALSE),"")</f>
        <v>8</v>
      </c>
      <c r="AE132" s="488">
        <f>SUM(P132:Y132)</f>
        <v>12</v>
      </c>
      <c r="AF132" s="488">
        <f>IF(AD132&lt;&gt;"",MAX(AD132-AE132,0),"")</f>
        <v>0</v>
      </c>
      <c r="AG132" s="489">
        <f>IF(AD132&lt;&gt;"",MAX(AE132-AD132,0),"")</f>
        <v>4</v>
      </c>
    </row>
    <row r="133" spans="2:33">
      <c r="C133" s="293" t="s">
        <v>775</v>
      </c>
      <c r="E133" s="293">
        <f>E130</f>
        <v>8</v>
      </c>
      <c r="O133" s="326"/>
      <c r="P133" s="293">
        <f>P130</f>
        <v>12</v>
      </c>
      <c r="Z133" s="487">
        <f>IFERROR(VLOOKUP($C133,[3]RoboFS!$K:$Q,$AI$1,FALSE),"")</f>
        <v>6</v>
      </c>
      <c r="AA133" s="488">
        <f>SUM(E133:N133)</f>
        <v>8</v>
      </c>
      <c r="AB133" s="488">
        <f>IF(Z133&lt;&gt;"",MAX(Z133-AA133,0),"")</f>
        <v>0</v>
      </c>
      <c r="AC133" s="489">
        <f>IF(Z133&lt;&gt;"",MAX(AA133-Z133,0),"")</f>
        <v>2</v>
      </c>
      <c r="AD133" s="487">
        <f>IFERROR(VLOOKUP($C133,[3]RoboFS!$K:$Q,$AI$2,FALSE),"")</f>
        <v>12</v>
      </c>
      <c r="AE133" s="488">
        <f>SUM(P133:Y133)</f>
        <v>12</v>
      </c>
      <c r="AF133" s="488">
        <f>IF(AD133&lt;&gt;"",MAX(AD133-AE133,0),"")</f>
        <v>0</v>
      </c>
      <c r="AG133" s="489">
        <f>IF(AD133&lt;&gt;"",MAX(AE133-AD133,0),"")</f>
        <v>0</v>
      </c>
    </row>
    <row r="134" spans="2:33">
      <c r="B134" s="501"/>
      <c r="C134" s="502"/>
      <c r="D134" s="502"/>
      <c r="E134" s="502"/>
      <c r="F134" s="502"/>
      <c r="G134" s="502"/>
      <c r="H134" s="502"/>
      <c r="I134" s="502"/>
      <c r="J134" s="502"/>
      <c r="K134" s="502"/>
      <c r="L134" s="502"/>
      <c r="M134" s="502"/>
      <c r="N134" s="502"/>
      <c r="O134" s="503"/>
      <c r="P134" s="502"/>
      <c r="Q134" s="502"/>
      <c r="R134" s="502"/>
      <c r="S134" s="502"/>
      <c r="T134" s="502"/>
      <c r="U134" s="502"/>
      <c r="V134" s="502"/>
      <c r="W134" s="502"/>
      <c r="X134" s="502"/>
      <c r="Y134" s="502"/>
      <c r="AA134" s="293"/>
      <c r="AB134" s="293"/>
      <c r="AC134" s="168"/>
      <c r="AE134" s="293"/>
      <c r="AF134" s="293"/>
      <c r="AG134" s="168"/>
    </row>
    <row r="135" spans="2:33">
      <c r="B135" s="27" t="s">
        <v>165</v>
      </c>
      <c r="C135" s="293" t="s">
        <v>777</v>
      </c>
      <c r="E135" s="422">
        <v>0</v>
      </c>
      <c r="P135" s="422">
        <v>0</v>
      </c>
      <c r="Z135" s="487" t="str">
        <f>IFERROR(VLOOKUP($C135,[3]RoboFS!$K:$Q,$AI$1,FALSE),"")</f>
        <v/>
      </c>
      <c r="AA135" s="293"/>
      <c r="AB135" s="293"/>
      <c r="AC135" s="168"/>
      <c r="AD135" s="487" t="str">
        <f>IFERROR(VLOOKUP($C135,[3]RoboFS!$K:$Q,$AI$2,FALSE),"")</f>
        <v/>
      </c>
      <c r="AE135" s="293"/>
      <c r="AF135" s="293"/>
      <c r="AG135" s="168"/>
    </row>
    <row r="136" spans="2:33">
      <c r="C136" s="293" t="s">
        <v>778</v>
      </c>
      <c r="E136" s="422">
        <v>13</v>
      </c>
      <c r="P136" s="422">
        <v>0</v>
      </c>
      <c r="Z136" s="487" t="str">
        <f>IFERROR(VLOOKUP($C136,[3]RoboFS!$K:$Q,$AI$1,FALSE),"")</f>
        <v/>
      </c>
      <c r="AA136" s="293"/>
      <c r="AB136" s="293"/>
      <c r="AC136" s="168"/>
      <c r="AD136" s="487" t="str">
        <f>IFERROR(VLOOKUP($C136,[3]RoboFS!$K:$Q,$AI$2,FALSE),"")</f>
        <v/>
      </c>
      <c r="AE136" s="293"/>
      <c r="AF136" s="293"/>
      <c r="AG136" s="168"/>
    </row>
    <row r="137" spans="2:33">
      <c r="C137" s="293" t="s">
        <v>779</v>
      </c>
      <c r="E137" s="482">
        <v>0</v>
      </c>
      <c r="P137" s="482">
        <v>0</v>
      </c>
      <c r="Z137" s="487" t="str">
        <f>IFERROR(VLOOKUP($C137,[3]RoboFS!$K:$Q,$AI$1,FALSE),"")</f>
        <v/>
      </c>
      <c r="AD137" s="487" t="str">
        <f>IFERROR(VLOOKUP($C137,[3]RoboFS!$K:$Q,$AI$2,FALSE),"")</f>
        <v/>
      </c>
    </row>
    <row r="138" spans="2:33">
      <c r="C138" s="293" t="s">
        <v>165</v>
      </c>
      <c r="E138" s="454">
        <f>SUM(E135:E137)</f>
        <v>13</v>
      </c>
      <c r="F138" s="10"/>
      <c r="P138" s="454">
        <f>SUM(P135:P137)</f>
        <v>0</v>
      </c>
      <c r="Z138" s="487">
        <f>IFERROR(VLOOKUP($C138,[3]RoboFS!$K:$Q,$AI$1,FALSE),"")</f>
        <v>13</v>
      </c>
      <c r="AA138" s="488">
        <f>SUM(E138:N138)</f>
        <v>13</v>
      </c>
      <c r="AB138" s="488">
        <f>IF(Z138&lt;&gt;"",MAX(Z138-AA138,0),"")</f>
        <v>0</v>
      </c>
      <c r="AC138" s="489">
        <f>IF(Z138&lt;&gt;"",MAX(AA138-Z138,0),"")</f>
        <v>0</v>
      </c>
      <c r="AD138" s="487">
        <f>IFERROR(VLOOKUP($C138,[3]RoboFS!$K:$Q,$AI$2,FALSE),"")</f>
        <v>26</v>
      </c>
      <c r="AE138" s="488">
        <f>SUM(P138:Y138)</f>
        <v>0</v>
      </c>
      <c r="AF138" s="488">
        <f>IF(AD138&lt;&gt;"",MAX(AD138-AE138,0),"")</f>
        <v>26</v>
      </c>
      <c r="AG138" s="489">
        <f>IF(AD138&lt;&gt;"",MAX(AE138-AD138,0),"")</f>
        <v>0</v>
      </c>
    </row>
    <row r="139" spans="2:33">
      <c r="B139" s="501"/>
      <c r="C139" s="502"/>
      <c r="D139" s="502"/>
      <c r="E139" s="502"/>
      <c r="F139" s="502"/>
      <c r="G139" s="502"/>
      <c r="H139" s="502"/>
      <c r="I139" s="502"/>
      <c r="J139" s="502"/>
      <c r="K139" s="502"/>
      <c r="L139" s="502"/>
      <c r="M139" s="502"/>
      <c r="N139" s="502"/>
      <c r="O139" s="503"/>
      <c r="P139" s="502"/>
      <c r="Q139" s="502"/>
      <c r="R139" s="502"/>
      <c r="S139" s="502"/>
      <c r="T139" s="502"/>
      <c r="U139" s="502"/>
      <c r="V139" s="502"/>
      <c r="W139" s="502"/>
      <c r="X139" s="502"/>
      <c r="Y139" s="502"/>
      <c r="Z139" s="487" t="str">
        <f>IFERROR(VLOOKUP($C139,[3]RoboFS!$K:$Q,$AI$1,FALSE),"")</f>
        <v/>
      </c>
      <c r="AA139" s="293"/>
      <c r="AB139" s="293"/>
      <c r="AC139" s="168"/>
      <c r="AD139" s="487" t="str">
        <f>IFERROR(VLOOKUP($C139,[3]RoboFS!$K:$Q,$AI$2,FALSE),"")</f>
        <v/>
      </c>
      <c r="AE139" s="293"/>
      <c r="AF139" s="293"/>
      <c r="AG139" s="168"/>
    </row>
    <row r="140" spans="2:33">
      <c r="B140" s="27" t="s">
        <v>132</v>
      </c>
      <c r="C140" s="40" t="s">
        <v>723</v>
      </c>
      <c r="D140" s="40"/>
      <c r="E140" s="497" t="s">
        <v>780</v>
      </c>
      <c r="F140" s="497"/>
      <c r="G140" s="497"/>
      <c r="H140" s="497"/>
      <c r="I140" s="497"/>
      <c r="J140" s="497"/>
      <c r="K140" s="497"/>
      <c r="L140" s="497"/>
      <c r="M140" s="497"/>
      <c r="N140" s="497"/>
      <c r="O140" s="7" t="s">
        <v>0</v>
      </c>
      <c r="P140" s="497" t="s">
        <v>780</v>
      </c>
      <c r="Q140" s="497"/>
      <c r="R140" s="497"/>
      <c r="S140" s="497"/>
      <c r="T140" s="497"/>
      <c r="U140" s="497"/>
      <c r="V140" s="497"/>
      <c r="W140" s="497"/>
      <c r="X140" s="497"/>
      <c r="Y140" s="497"/>
      <c r="Z140" s="487" t="str">
        <f>IFERROR(VLOOKUP($C140,[3]RoboFS!$K:$Q,$AI$1,FALSE),"")</f>
        <v/>
      </c>
      <c r="AA140" s="293"/>
      <c r="AB140" s="293"/>
      <c r="AC140" s="168"/>
      <c r="AD140" s="487" t="str">
        <f>IFERROR(VLOOKUP($C140,[3]RoboFS!$K:$Q,$AI$2,FALSE),"")</f>
        <v/>
      </c>
      <c r="AE140" s="293"/>
      <c r="AF140" s="293"/>
      <c r="AG140" s="168"/>
    </row>
    <row r="141" spans="2:33">
      <c r="C141" s="293" t="s">
        <v>725</v>
      </c>
      <c r="E141" s="422">
        <v>1</v>
      </c>
      <c r="F141" s="422">
        <v>0</v>
      </c>
      <c r="G141" s="422">
        <v>0</v>
      </c>
      <c r="H141" s="422">
        <v>0</v>
      </c>
      <c r="I141" s="422">
        <v>0</v>
      </c>
      <c r="J141" s="422">
        <v>0</v>
      </c>
      <c r="K141" s="422">
        <v>0</v>
      </c>
      <c r="L141" s="422">
        <v>0</v>
      </c>
      <c r="M141" s="422">
        <v>0</v>
      </c>
      <c r="N141" s="422">
        <v>0</v>
      </c>
      <c r="O141" s="326"/>
      <c r="P141" s="422">
        <v>1</v>
      </c>
      <c r="Q141" s="422">
        <v>0</v>
      </c>
      <c r="R141" s="422">
        <v>0</v>
      </c>
      <c r="S141" s="422">
        <v>0</v>
      </c>
      <c r="T141" s="422">
        <v>0</v>
      </c>
      <c r="U141" s="422">
        <v>0</v>
      </c>
      <c r="V141" s="422">
        <v>0</v>
      </c>
      <c r="W141" s="422">
        <v>0</v>
      </c>
      <c r="X141" s="422">
        <v>0</v>
      </c>
      <c r="Y141" s="422">
        <v>0</v>
      </c>
      <c r="Z141" s="487" t="str">
        <f>IFERROR(VLOOKUP($C141,[3]RoboFS!$K:$Q,$AI$1,FALSE),"")</f>
        <v/>
      </c>
      <c r="AA141" s="293"/>
      <c r="AB141" s="293"/>
      <c r="AC141" s="168"/>
      <c r="AD141" s="487" t="str">
        <f>IFERROR(VLOOKUP($C141,[3]RoboFS!$K:$Q,$AI$2,FALSE),"")</f>
        <v/>
      </c>
      <c r="AE141" s="293"/>
      <c r="AF141" s="293"/>
      <c r="AG141" s="168"/>
    </row>
    <row r="142" spans="2:33">
      <c r="Z142" s="487" t="str">
        <f>IFERROR(VLOOKUP($C142,[3]RoboFS!$K:$Q,$AI$1,FALSE),"")</f>
        <v/>
      </c>
      <c r="AA142" s="293"/>
      <c r="AB142" s="293"/>
      <c r="AC142" s="168"/>
      <c r="AD142" s="487" t="str">
        <f>IFERROR(VLOOKUP($C142,[3]RoboFS!$K:$Q,$AI$2,FALSE),"")</f>
        <v/>
      </c>
      <c r="AE142" s="293"/>
      <c r="AF142" s="293"/>
      <c r="AG142" s="168"/>
    </row>
    <row r="143" spans="2:33">
      <c r="C143" s="293" t="s">
        <v>745</v>
      </c>
      <c r="E143" s="422">
        <v>10</v>
      </c>
      <c r="F143" s="422">
        <v>0</v>
      </c>
      <c r="G143" s="422">
        <v>0</v>
      </c>
      <c r="H143" s="422">
        <v>0</v>
      </c>
      <c r="I143" s="422">
        <v>0</v>
      </c>
      <c r="J143" s="422">
        <v>0</v>
      </c>
      <c r="K143" s="422">
        <v>0</v>
      </c>
      <c r="L143" s="422">
        <v>0</v>
      </c>
      <c r="M143" s="422">
        <v>0</v>
      </c>
      <c r="N143" s="422">
        <v>0</v>
      </c>
      <c r="O143" s="326"/>
      <c r="P143" s="422">
        <v>8</v>
      </c>
      <c r="Q143" s="422">
        <v>0</v>
      </c>
      <c r="R143" s="422">
        <v>0</v>
      </c>
      <c r="S143" s="422">
        <v>0</v>
      </c>
      <c r="T143" s="422">
        <v>0</v>
      </c>
      <c r="U143" s="422">
        <v>0</v>
      </c>
      <c r="V143" s="422">
        <v>0</v>
      </c>
      <c r="W143" s="422">
        <v>0</v>
      </c>
      <c r="X143" s="422">
        <v>0</v>
      </c>
      <c r="Y143" s="422">
        <v>0</v>
      </c>
      <c r="Z143" s="487" t="str">
        <f>IFERROR(VLOOKUP($C143,[3]RoboFS!$K:$Q,$AI$1,FALSE),"")</f>
        <v/>
      </c>
      <c r="AA143" s="293"/>
      <c r="AB143" s="293"/>
      <c r="AC143" s="168"/>
      <c r="AD143" s="487" t="str">
        <f>IFERROR(VLOOKUP($C143,[3]RoboFS!$K:$Q,$AI$2,FALSE),"")</f>
        <v/>
      </c>
      <c r="AE143" s="293"/>
      <c r="AF143" s="293"/>
      <c r="AG143" s="168"/>
    </row>
    <row r="144" spans="2:33">
      <c r="C144" s="293" t="s">
        <v>706</v>
      </c>
      <c r="E144" s="422">
        <v>1</v>
      </c>
      <c r="F144" s="422">
        <v>0</v>
      </c>
      <c r="G144" s="422">
        <v>0</v>
      </c>
      <c r="H144" s="422">
        <v>0</v>
      </c>
      <c r="I144" s="422">
        <v>0</v>
      </c>
      <c r="J144" s="422">
        <v>0</v>
      </c>
      <c r="K144" s="422">
        <v>0</v>
      </c>
      <c r="L144" s="422">
        <v>0</v>
      </c>
      <c r="M144" s="422">
        <v>0</v>
      </c>
      <c r="N144" s="422">
        <v>0</v>
      </c>
      <c r="O144" s="326"/>
      <c r="P144" s="422">
        <v>1</v>
      </c>
      <c r="Q144" s="422">
        <v>0</v>
      </c>
      <c r="R144" s="422">
        <v>0</v>
      </c>
      <c r="S144" s="422">
        <v>0</v>
      </c>
      <c r="T144" s="422">
        <v>0</v>
      </c>
      <c r="U144" s="422">
        <v>0</v>
      </c>
      <c r="V144" s="422">
        <v>0</v>
      </c>
      <c r="W144" s="422">
        <v>0</v>
      </c>
      <c r="X144" s="422">
        <v>0</v>
      </c>
      <c r="Y144" s="422">
        <v>0</v>
      </c>
      <c r="Z144" s="487" t="str">
        <f>IFERROR(VLOOKUP($C144,[3]RoboFS!$K:$Q,$AI$1,FALSE),"")</f>
        <v/>
      </c>
      <c r="AA144" s="293"/>
      <c r="AB144" s="293"/>
      <c r="AC144" s="168"/>
      <c r="AD144" s="487" t="str">
        <f>IFERROR(VLOOKUP($C144,[3]RoboFS!$K:$Q,$AI$2,FALSE),"")</f>
        <v/>
      </c>
      <c r="AE144" s="293"/>
      <c r="AF144" s="293"/>
      <c r="AG144" s="168"/>
    </row>
    <row r="145" spans="2:34">
      <c r="C145" s="293" t="s">
        <v>746</v>
      </c>
      <c r="E145" s="506">
        <v>14</v>
      </c>
      <c r="F145" s="506">
        <v>0</v>
      </c>
      <c r="G145" s="422">
        <v>0</v>
      </c>
      <c r="H145" s="422">
        <v>0</v>
      </c>
      <c r="I145" s="422">
        <v>0</v>
      </c>
      <c r="J145" s="422">
        <v>0</v>
      </c>
      <c r="K145" s="422">
        <v>0</v>
      </c>
      <c r="L145" s="422">
        <v>0</v>
      </c>
      <c r="M145" s="422">
        <v>0</v>
      </c>
      <c r="N145" s="422">
        <v>0</v>
      </c>
      <c r="O145" s="326"/>
      <c r="P145" s="422">
        <v>13</v>
      </c>
      <c r="Q145" s="422">
        <v>0</v>
      </c>
      <c r="R145" s="422">
        <v>0</v>
      </c>
      <c r="S145" s="422">
        <v>0</v>
      </c>
      <c r="T145" s="422">
        <v>0</v>
      </c>
      <c r="U145" s="422">
        <v>0</v>
      </c>
      <c r="V145" s="422">
        <v>0</v>
      </c>
      <c r="W145" s="422">
        <v>0</v>
      </c>
      <c r="X145" s="422">
        <v>0</v>
      </c>
      <c r="Y145" s="422">
        <v>0</v>
      </c>
      <c r="Z145" s="487" t="str">
        <f>IFERROR(VLOOKUP($C145,[3]RoboFS!$K:$Q,$AI$1,FALSE),"")</f>
        <v/>
      </c>
      <c r="AA145" s="293"/>
      <c r="AB145" s="293"/>
      <c r="AC145" s="168"/>
      <c r="AD145" s="487" t="str">
        <f>IFERROR(VLOOKUP($C145,[3]RoboFS!$K:$Q,$AI$2,FALSE),"")</f>
        <v/>
      </c>
      <c r="AE145" s="293"/>
      <c r="AF145" s="293"/>
      <c r="AG145" s="168"/>
    </row>
    <row r="147" spans="2:34">
      <c r="C147" s="293" t="s">
        <v>781</v>
      </c>
      <c r="E147" s="293">
        <f>E145*E143*2</f>
        <v>280</v>
      </c>
      <c r="F147" s="293">
        <f t="shared" ref="F147:N147" si="38">F145*F143</f>
        <v>0</v>
      </c>
      <c r="G147" s="293">
        <f t="shared" si="38"/>
        <v>0</v>
      </c>
      <c r="H147" s="293">
        <f t="shared" si="38"/>
        <v>0</v>
      </c>
      <c r="I147" s="293">
        <f t="shared" si="38"/>
        <v>0</v>
      </c>
      <c r="J147" s="293">
        <f t="shared" si="38"/>
        <v>0</v>
      </c>
      <c r="K147" s="293">
        <f t="shared" si="38"/>
        <v>0</v>
      </c>
      <c r="L147" s="293">
        <f t="shared" si="38"/>
        <v>0</v>
      </c>
      <c r="M147" s="293">
        <f t="shared" si="38"/>
        <v>0</v>
      </c>
      <c r="N147" s="293">
        <f t="shared" si="38"/>
        <v>0</v>
      </c>
      <c r="O147" s="326"/>
      <c r="P147" s="293">
        <f>P145*P143*2</f>
        <v>208</v>
      </c>
      <c r="Q147" s="293">
        <f t="shared" ref="Q147:Y147" si="39">Q145*Q143</f>
        <v>0</v>
      </c>
      <c r="R147" s="293">
        <f t="shared" si="39"/>
        <v>0</v>
      </c>
      <c r="S147" s="293">
        <f t="shared" si="39"/>
        <v>0</v>
      </c>
      <c r="T147" s="293">
        <f t="shared" si="39"/>
        <v>0</v>
      </c>
      <c r="U147" s="293">
        <f t="shared" si="39"/>
        <v>0</v>
      </c>
      <c r="V147" s="293">
        <f t="shared" si="39"/>
        <v>0</v>
      </c>
      <c r="W147" s="293">
        <f t="shared" si="39"/>
        <v>0</v>
      </c>
      <c r="X147" s="293">
        <f t="shared" si="39"/>
        <v>0</v>
      </c>
      <c r="Y147" s="293">
        <f t="shared" si="39"/>
        <v>0</v>
      </c>
      <c r="Z147" s="487" t="str">
        <f>IFERROR(VLOOKUP($C147,[3]RoboFS!$K:$Q,$AI$1,FALSE),"")</f>
        <v/>
      </c>
      <c r="AA147" s="293"/>
      <c r="AB147" s="293"/>
      <c r="AC147" s="168"/>
      <c r="AD147" s="487" t="str">
        <f>IFERROR(VLOOKUP($C147,[3]RoboFS!$K:$Q,$AI$2,FALSE),"")</f>
        <v/>
      </c>
      <c r="AE147" s="293"/>
      <c r="AF147" s="293"/>
      <c r="AG147" s="168"/>
    </row>
    <row r="148" spans="2:34">
      <c r="C148" s="293" t="s">
        <v>133</v>
      </c>
      <c r="E148" s="454">
        <f>E147*E141</f>
        <v>280</v>
      </c>
      <c r="F148" s="454">
        <f t="shared" ref="F148:N148" si="40">F147*F141</f>
        <v>0</v>
      </c>
      <c r="G148" s="454">
        <f t="shared" si="40"/>
        <v>0</v>
      </c>
      <c r="H148" s="454">
        <f t="shared" si="40"/>
        <v>0</v>
      </c>
      <c r="I148" s="454">
        <f t="shared" si="40"/>
        <v>0</v>
      </c>
      <c r="J148" s="454">
        <f t="shared" si="40"/>
        <v>0</v>
      </c>
      <c r="K148" s="454">
        <f t="shared" si="40"/>
        <v>0</v>
      </c>
      <c r="L148" s="454">
        <f t="shared" si="40"/>
        <v>0</v>
      </c>
      <c r="M148" s="454">
        <f t="shared" si="40"/>
        <v>0</v>
      </c>
      <c r="N148" s="454">
        <f t="shared" si="40"/>
        <v>0</v>
      </c>
      <c r="O148" s="326"/>
      <c r="P148" s="454">
        <f t="shared" ref="P148:Y148" si="41">P147*P141</f>
        <v>208</v>
      </c>
      <c r="Q148" s="454">
        <f t="shared" si="41"/>
        <v>0</v>
      </c>
      <c r="R148" s="454">
        <f t="shared" si="41"/>
        <v>0</v>
      </c>
      <c r="S148" s="454">
        <f t="shared" si="41"/>
        <v>0</v>
      </c>
      <c r="T148" s="454">
        <f t="shared" si="41"/>
        <v>0</v>
      </c>
      <c r="U148" s="454">
        <f t="shared" si="41"/>
        <v>0</v>
      </c>
      <c r="V148" s="454">
        <f t="shared" si="41"/>
        <v>0</v>
      </c>
      <c r="W148" s="454">
        <f t="shared" si="41"/>
        <v>0</v>
      </c>
      <c r="X148" s="454">
        <f t="shared" si="41"/>
        <v>0</v>
      </c>
      <c r="Y148" s="454">
        <f t="shared" si="41"/>
        <v>0</v>
      </c>
      <c r="Z148" s="487">
        <f>IFERROR(VLOOKUP($C148,[3]RoboFS!$K:$Q,$AI$1,FALSE),"")</f>
        <v>273.5345993410487</v>
      </c>
      <c r="AA148" s="488">
        <f>SUM(E148:N148)</f>
        <v>280</v>
      </c>
      <c r="AB148" s="488">
        <f>IF(Z148&lt;&gt;"",MAX(Z148-AA148,0),"")</f>
        <v>0</v>
      </c>
      <c r="AC148" s="489">
        <f>IF(Z148&lt;&gt;"",MAX(AA148-Z148,0),"")</f>
        <v>6.465400658951296</v>
      </c>
      <c r="AD148" s="487">
        <f>IFERROR(VLOOKUP($C148,[3]RoboFS!$K:$Q,$AI$2,FALSE),"")</f>
        <v>316.24121070001246</v>
      </c>
      <c r="AE148" s="488">
        <f>SUM(P148:Y148)</f>
        <v>208</v>
      </c>
      <c r="AF148" s="488">
        <f>IF(AD148&lt;&gt;"",MAX(AD148-AE148,0),"")</f>
        <v>108.24121070001246</v>
      </c>
      <c r="AG148" s="489">
        <f>IF(AD148&lt;&gt;"",MAX(AE148-AD148,0),"")</f>
        <v>0</v>
      </c>
      <c r="AH148" s="293" t="s">
        <v>782</v>
      </c>
    </row>
    <row r="149" spans="2:34">
      <c r="C149" s="293" t="s">
        <v>149</v>
      </c>
      <c r="E149" s="507">
        <v>1</v>
      </c>
      <c r="F149" s="22"/>
      <c r="G149" s="22"/>
      <c r="H149" s="422"/>
      <c r="I149" s="422"/>
      <c r="J149" s="422"/>
      <c r="K149" s="422"/>
      <c r="L149" s="422"/>
      <c r="M149" s="422"/>
      <c r="N149" s="422"/>
      <c r="O149" s="326"/>
      <c r="P149" s="507">
        <v>3</v>
      </c>
      <c r="Q149" s="22"/>
      <c r="R149" s="22"/>
      <c r="S149" s="422"/>
      <c r="T149" s="422"/>
      <c r="U149" s="422"/>
      <c r="V149" s="422"/>
      <c r="W149" s="422"/>
      <c r="X149" s="422"/>
      <c r="Y149" s="422"/>
      <c r="Z149" s="487">
        <f>IFERROR(VLOOKUP($C149,[3]RoboFS!$K:$Q,$AI$1,FALSE),"")</f>
        <v>1</v>
      </c>
      <c r="AA149" s="488">
        <f>SUM(E149:N149)</f>
        <v>1</v>
      </c>
      <c r="AB149" s="488">
        <f>IF(Z149&lt;&gt;"",MAX(Z149-AA149,0),"")</f>
        <v>0</v>
      </c>
      <c r="AC149" s="489">
        <f>IF(Z149&lt;&gt;"",MAX(AA149-Z149,0),"")</f>
        <v>0</v>
      </c>
      <c r="AD149" s="487">
        <f>IFERROR(VLOOKUP($C149,[3]RoboFS!$K:$Q,$AI$2,FALSE),"")</f>
        <v>2</v>
      </c>
      <c r="AE149" s="488">
        <f>SUM(P149:Y149)</f>
        <v>3</v>
      </c>
      <c r="AF149" s="488">
        <f>IF(AD149&lt;&gt;"",MAX(AD149-AE149,0),"")</f>
        <v>0</v>
      </c>
      <c r="AG149" s="489">
        <f>IF(AD149&lt;&gt;"",MAX(AE149-AD149,0),"")</f>
        <v>1</v>
      </c>
      <c r="AH149" s="293" t="s">
        <v>783</v>
      </c>
    </row>
    <row r="150" spans="2:34">
      <c r="B150" s="501"/>
      <c r="C150" s="502"/>
      <c r="D150" s="502"/>
      <c r="E150" s="502"/>
      <c r="F150" s="502"/>
      <c r="G150" s="502"/>
      <c r="H150" s="502"/>
      <c r="I150" s="502"/>
      <c r="J150" s="502"/>
      <c r="K150" s="502"/>
      <c r="L150" s="502"/>
      <c r="M150" s="502"/>
      <c r="N150" s="502"/>
      <c r="O150" s="503"/>
      <c r="P150" s="502"/>
      <c r="Q150" s="502"/>
      <c r="R150" s="502"/>
      <c r="S150" s="502"/>
      <c r="T150" s="502"/>
      <c r="U150" s="502"/>
      <c r="V150" s="502"/>
      <c r="W150" s="502"/>
      <c r="X150" s="502"/>
      <c r="Y150" s="502"/>
      <c r="Z150" s="487" t="str">
        <f>IFERROR(VLOOKUP($C150,[3]RoboFS!$K:$Q,$AI$1,FALSE),"")</f>
        <v/>
      </c>
      <c r="AA150" s="293"/>
      <c r="AB150" s="293"/>
      <c r="AC150" s="168"/>
      <c r="AD150" s="487" t="str">
        <f>IFERROR(VLOOKUP($C150,[3]RoboFS!$K:$Q,$AI$2,FALSE),"")</f>
        <v/>
      </c>
      <c r="AE150" s="293"/>
      <c r="AF150" s="293"/>
      <c r="AG150" s="168"/>
    </row>
    <row r="151" spans="2:34">
      <c r="C151" s="366" t="s">
        <v>784</v>
      </c>
      <c r="Z151" s="487" t="str">
        <f>IFERROR(VLOOKUP($C151,[3]RoboFS!$K:$Q,$AI$1,FALSE),"")</f>
        <v/>
      </c>
      <c r="AA151" s="293"/>
      <c r="AB151" s="293"/>
      <c r="AC151" s="168"/>
      <c r="AD151" s="487" t="str">
        <f>IFERROR(VLOOKUP($C151,[3]RoboFS!$K:$Q,$AI$2,FALSE),"")</f>
        <v/>
      </c>
      <c r="AE151" s="293"/>
      <c r="AF151" s="293"/>
      <c r="AG151" s="168"/>
    </row>
    <row r="152" spans="2:34">
      <c r="C152" s="293" t="s">
        <v>148</v>
      </c>
      <c r="E152" s="454">
        <f>Z152</f>
        <v>234.43157894736845</v>
      </c>
      <c r="P152" s="454">
        <f>AD152</f>
        <v>281.31789473684222</v>
      </c>
      <c r="Z152" s="487">
        <f>IFERROR(VLOOKUP($C152,[3]RoboFS!$K:$Q,$AI$1,FALSE),"")</f>
        <v>234.43157894736845</v>
      </c>
      <c r="AA152" s="488">
        <f>SUM(E152:N152)</f>
        <v>234.43157894736845</v>
      </c>
      <c r="AB152" s="488">
        <f>IF(Z152&lt;&gt;"",MAX(Z152-AA152,0),"")</f>
        <v>0</v>
      </c>
      <c r="AC152" s="489">
        <f>IF(Z152&lt;&gt;"",MAX(AA152-Z152,0),"")</f>
        <v>0</v>
      </c>
      <c r="AD152" s="487">
        <f>IFERROR(VLOOKUP($C152,[3]RoboFS!$K:$Q,$AI$2,FALSE),"")</f>
        <v>281.31789473684222</v>
      </c>
      <c r="AE152" s="488">
        <f>SUM(P152:Y152)</f>
        <v>281.31789473684222</v>
      </c>
      <c r="AF152" s="488">
        <f>IF(AD152&lt;&gt;"",MAX(AD152-AE152,0),"")</f>
        <v>0</v>
      </c>
      <c r="AG152" s="489">
        <f>IF(AD152&lt;&gt;"",MAX(AE152-AD152,0),"")</f>
        <v>0</v>
      </c>
    </row>
    <row r="153" spans="2:34">
      <c r="C153" s="293" t="s">
        <v>88</v>
      </c>
      <c r="Z153" s="487" t="str">
        <f>IFERROR(VLOOKUP($C153,[3]RoboFS!$K:$Q,$AI$1,FALSE),"")</f>
        <v/>
      </c>
      <c r="AA153" s="293"/>
      <c r="AB153" s="293"/>
      <c r="AC153" s="168"/>
      <c r="AD153" s="487" t="str">
        <f>IFERROR(VLOOKUP($C153,[3]RoboFS!$K:$Q,$AI$2,FALSE),"")</f>
        <v/>
      </c>
      <c r="AE153" s="293"/>
      <c r="AF153" s="293"/>
      <c r="AG153" s="168"/>
    </row>
    <row r="154" spans="2:34">
      <c r="C154" s="293" t="s">
        <v>181</v>
      </c>
      <c r="Z154" s="487" t="str">
        <f>IFERROR(VLOOKUP($C154,[3]RoboFS!$K:$Q,$AI$1,FALSE),"")</f>
        <v/>
      </c>
      <c r="AA154" s="293"/>
      <c r="AB154" s="293"/>
      <c r="AC154" s="168"/>
      <c r="AD154" s="487" t="str">
        <f>IFERROR(VLOOKUP($C154,[3]RoboFS!$K:$Q,$AI$2,FALSE),"")</f>
        <v/>
      </c>
      <c r="AE154" s="293"/>
      <c r="AF154" s="293"/>
      <c r="AG154" s="168"/>
    </row>
    <row r="155" spans="2:34">
      <c r="C155" s="293" t="s">
        <v>785</v>
      </c>
      <c r="Z155" s="487" t="str">
        <f>IFERROR(VLOOKUP($C155,[3]RoboFS!$K:$Q,$AI$1,FALSE),"")</f>
        <v/>
      </c>
      <c r="AA155" s="293"/>
      <c r="AB155" s="293"/>
      <c r="AC155" s="168"/>
      <c r="AD155" s="487" t="str">
        <f>IFERROR(VLOOKUP($C155,[3]RoboFS!$K:$Q,$AI$2,FALSE),"")</f>
        <v/>
      </c>
      <c r="AE155" s="293"/>
      <c r="AF155" s="293"/>
      <c r="AG155" s="168"/>
    </row>
    <row r="156" spans="2:34">
      <c r="C156" s="293" t="s">
        <v>786</v>
      </c>
      <c r="E156" s="454">
        <f>Z156</f>
        <v>74095.078386734167</v>
      </c>
      <c r="P156" s="454">
        <f>AD156</f>
        <v>74095.078386734167</v>
      </c>
      <c r="Z156" s="487">
        <f>IFERROR(VLOOKUP($C156,[3]RoboFS!$K:$Q,$AI$1,FALSE),"")</f>
        <v>74095.078386734167</v>
      </c>
      <c r="AA156" s="488">
        <f>SUM(E156:N156)</f>
        <v>74095.078386734167</v>
      </c>
      <c r="AB156" s="488">
        <f>IF(Z156&lt;&gt;"",MAX(Z156-AA156,0),"")</f>
        <v>0</v>
      </c>
      <c r="AC156" s="489">
        <f>IF(Z156&lt;&gt;"",MAX(AA156-Z156,0),"")</f>
        <v>0</v>
      </c>
      <c r="AD156" s="487">
        <f>IFERROR(VLOOKUP($C156,[3]RoboFS!$K:$Q,$AI$2,FALSE),"")</f>
        <v>74095.078386734167</v>
      </c>
      <c r="AE156" s="488">
        <f>SUM(P156:Y156)</f>
        <v>74095.078386734167</v>
      </c>
      <c r="AF156" s="488">
        <f>IF(AD156&lt;&gt;"",MAX(AD156-AE156,0),"")</f>
        <v>0</v>
      </c>
      <c r="AG156" s="489">
        <f>IF(AD156&lt;&gt;"",MAX(AE156-AD156,0),"")</f>
        <v>0</v>
      </c>
    </row>
    <row r="157" spans="2:34">
      <c r="C157" s="293" t="s">
        <v>787</v>
      </c>
      <c r="E157" s="22">
        <v>1</v>
      </c>
      <c r="P157" s="22">
        <v>1</v>
      </c>
      <c r="Z157" s="487">
        <f>IFERROR(VLOOKUP($C157,[3]RoboFS!$K:$Q,$AI$1,FALSE),"")</f>
        <v>1</v>
      </c>
      <c r="AA157" s="488">
        <f>SUM(E157:N157)</f>
        <v>1</v>
      </c>
      <c r="AB157" s="488">
        <f>IF(Z157&lt;&gt;"",MAX(Z157-AA157,0),"")</f>
        <v>0</v>
      </c>
      <c r="AC157" s="489">
        <f>IF(Z157&lt;&gt;"",MAX(AA157-Z157,0),"")</f>
        <v>0</v>
      </c>
      <c r="AD157" s="487">
        <f>IFERROR(VLOOKUP($C157,[3]RoboFS!$K:$Q,$AI$2,FALSE),"")</f>
        <v>1</v>
      </c>
      <c r="AE157" s="488">
        <f>SUM(P157:Y157)</f>
        <v>1</v>
      </c>
      <c r="AF157" s="488">
        <f>IF(AD157&lt;&gt;"",MAX(AD157-AE157,0),"")</f>
        <v>0</v>
      </c>
      <c r="AG157" s="489">
        <f>IF(AD157&lt;&gt;"",MAX(AE157-AD157,0),"")</f>
        <v>0</v>
      </c>
    </row>
    <row r="158" spans="2:34">
      <c r="C158" s="293" t="s">
        <v>788</v>
      </c>
      <c r="E158" s="454">
        <f>Z158</f>
        <v>3276.0470113807646</v>
      </c>
      <c r="P158" s="454">
        <f>AD158</f>
        <v>3761.0047533162488</v>
      </c>
      <c r="Z158" s="487">
        <f>IFERROR(VLOOKUP($C158,[3]RoboFS!$K:$Q,$AI$1,FALSE),"")</f>
        <v>3276.0470113807646</v>
      </c>
      <c r="AA158" s="488">
        <f>SUM(E158:N158)</f>
        <v>3276.0470113807646</v>
      </c>
      <c r="AB158" s="488">
        <f>IF(Z158&lt;&gt;"",MAX(Z158-AA158,0),"")</f>
        <v>0</v>
      </c>
      <c r="AC158" s="489">
        <f>IF(Z158&lt;&gt;"",MAX(AA158-Z158,0),"")</f>
        <v>0</v>
      </c>
      <c r="AD158" s="487">
        <f>IFERROR(VLOOKUP($C158,[3]RoboFS!$K:$Q,$AI$2,FALSE),"")</f>
        <v>3761.0047533162488</v>
      </c>
      <c r="AE158" s="488">
        <f>SUM(P158:Y158)</f>
        <v>3761.0047533162488</v>
      </c>
      <c r="AF158" s="488">
        <f>IF(AD158&lt;&gt;"",MAX(AD158-AE158,0),"")</f>
        <v>0</v>
      </c>
      <c r="AG158" s="489">
        <f>IF(AD158&lt;&gt;"",MAX(AE158-AD158,0),"")</f>
        <v>0</v>
      </c>
    </row>
  </sheetData>
  <mergeCells count="2">
    <mergeCell ref="E2:N2"/>
    <mergeCell ref="P2:Y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Model_Flow_Rates_for_capacity</vt:lpstr>
      <vt:lpstr>Metrics</vt:lpstr>
      <vt:lpstr>Receive MFD</vt:lpstr>
      <vt:lpstr>Pack MFD</vt:lpstr>
      <vt:lpstr>Launch 1.0 MFD</vt:lpstr>
      <vt:lpstr>Equipment list_11_09_2019</vt:lpstr>
      <vt:lpstr>Configuration form</vt:lpstr>
      <vt:lpstr>Cell_Name</vt:lpstr>
      <vt:lpstr>Cell_Number</vt:lpstr>
      <vt:lpstr>Columns_Beta_Plan</vt:lpstr>
      <vt:lpstr>Columns_Costing</vt:lpstr>
      <vt:lpstr>Columns_Flags_OEM</vt:lpstr>
      <vt:lpstr>Equipment_List_Range</vt:lpstr>
      <vt:lpstr>OEM_Group</vt:lpstr>
      <vt:lpstr>OEM_Number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LHB</dc:creator>
  <cp:keywords/>
  <dc:description/>
  <cp:lastModifiedBy>abhis</cp:lastModifiedBy>
  <cp:lastPrinted>2018-05-28T08:20:33Z</cp:lastPrinted>
  <dcterms:created xsi:type="dcterms:W3CDTF">2016-10-16T03:33:22Z</dcterms:created>
  <dcterms:modified xsi:type="dcterms:W3CDTF">2019-11-11T20:28:01Z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9dfebd81-5b93-4b79-94a5-5ebb308ea67a</vt:lpwstr>
  </property>
</Properties>
</file>