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Abhishek\Data Analyst\Excel\Projects\3. Tesla\"/>
    </mc:Choice>
  </mc:AlternateContent>
  <xr:revisionPtr revIDLastSave="0" documentId="13_ncr:1_{A7B9460A-BE64-49F6-8B2D-AB5414261AF6}" xr6:coauthVersionLast="47" xr6:coauthVersionMax="47" xr10:uidLastSave="{00000000-0000-0000-0000-000000000000}"/>
  <bookViews>
    <workbookView xWindow="0" yWindow="0" windowWidth="20490" windowHeight="11520" tabRatio="798" activeTab="2" xr2:uid="{088B9767-8161-4C9A-8AA5-81794D775A6B}"/>
  </bookViews>
  <sheets>
    <sheet name="Quarterly Data" sheetId="11" r:id="rId1"/>
    <sheet name="Annual Data" sheetId="10" r:id="rId2"/>
    <sheet name="Financial Health and Trends" sheetId="8" r:id="rId3"/>
    <sheet name="Investment and Valuation" sheetId="13" r:id="rId4"/>
    <sheet name="Cost Analysis" sheetId="15" r:id="rId5"/>
  </sheets>
  <definedNames>
    <definedName name="_xlnm._FilterDatabase" localSheetId="4" hidden="1">'Cost Analysis'!$L$60:$V$74</definedName>
    <definedName name="_xlnm._FilterDatabase" localSheetId="2" hidden="1">'Financial Health and Trends'!$AG$132:$AJ$146</definedName>
    <definedName name="_xlnm._FilterDatabase" localSheetId="3" hidden="1">'Investment and Valuation'!$F$149:$G$164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1" i="8" l="1"/>
  <c r="E3" i="11"/>
  <c r="F191" i="8"/>
  <c r="H3" i="10"/>
  <c r="AE75" i="15"/>
  <c r="AD75" i="15"/>
  <c r="AC75" i="15"/>
  <c r="AB75" i="15"/>
  <c r="AA75" i="15"/>
  <c r="AA74" i="15"/>
  <c r="X70" i="15"/>
  <c r="U70" i="15"/>
  <c r="V70" i="15"/>
  <c r="W70" i="15"/>
  <c r="U69" i="15"/>
  <c r="V69" i="15"/>
  <c r="W69" i="15"/>
  <c r="X69" i="15"/>
  <c r="T69" i="15"/>
  <c r="T70" i="15"/>
  <c r="X61" i="15"/>
  <c r="W61" i="15"/>
  <c r="V61" i="15"/>
  <c r="U61" i="15"/>
  <c r="T61" i="15"/>
  <c r="S61" i="15"/>
  <c r="I2" i="10"/>
  <c r="DO2" i="10"/>
  <c r="N184" i="13"/>
  <c r="H184" i="13"/>
  <c r="I184" i="13"/>
  <c r="J184" i="13"/>
  <c r="K184" i="13"/>
  <c r="L184" i="13"/>
  <c r="M184" i="13"/>
  <c r="I183" i="13"/>
  <c r="J183" i="13"/>
  <c r="J192" i="13" s="1"/>
  <c r="K183" i="13"/>
  <c r="L183" i="13"/>
  <c r="M183" i="13"/>
  <c r="N183" i="13"/>
  <c r="N191" i="13" s="1"/>
  <c r="H183" i="13"/>
  <c r="H192" i="13" s="1"/>
  <c r="G184" i="13"/>
  <c r="G183" i="13"/>
  <c r="W157" i="13"/>
  <c r="W98" i="13"/>
  <c r="W99" i="13"/>
  <c r="H96" i="13"/>
  <c r="DP7" i="10"/>
  <c r="DO10" i="10"/>
  <c r="DO3" i="10"/>
  <c r="CP3" i="10"/>
  <c r="CP2" i="10"/>
  <c r="CK2" i="10"/>
  <c r="AD2" i="10"/>
  <c r="AD3" i="10"/>
  <c r="DP2" i="10"/>
  <c r="E2" i="10"/>
  <c r="B2" i="10"/>
  <c r="F2" i="10"/>
  <c r="G2" i="10"/>
  <c r="H2" i="10"/>
  <c r="K2" i="10"/>
  <c r="O2" i="10"/>
  <c r="P2" i="10"/>
  <c r="Q2" i="10"/>
  <c r="T2" i="10"/>
  <c r="DJ2" i="10"/>
  <c r="DK2" i="10"/>
  <c r="DL2" i="10"/>
  <c r="DM2" i="10"/>
  <c r="AC64" i="15"/>
  <c r="DP3" i="10"/>
  <c r="DP4" i="10"/>
  <c r="DP5" i="10"/>
  <c r="DP6" i="10"/>
  <c r="DP8" i="10"/>
  <c r="DP9" i="10"/>
  <c r="DP10" i="10"/>
  <c r="DP11" i="10"/>
  <c r="DP12" i="10"/>
  <c r="DP13" i="10"/>
  <c r="DP14" i="10"/>
  <c r="DP15" i="10"/>
  <c r="DP16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N96" i="13"/>
  <c r="N97" i="13" s="1"/>
  <c r="Y162" i="13"/>
  <c r="Y163" i="13"/>
  <c r="Y164" i="13"/>
  <c r="Y165" i="13"/>
  <c r="Y161" i="13"/>
  <c r="W153" i="13"/>
  <c r="W154" i="13"/>
  <c r="W155" i="13"/>
  <c r="W156" i="13"/>
  <c r="W158" i="13"/>
  <c r="W159" i="13"/>
  <c r="W160" i="13"/>
  <c r="W161" i="13"/>
  <c r="W162" i="13"/>
  <c r="W163" i="13"/>
  <c r="W164" i="13"/>
  <c r="W165" i="13"/>
  <c r="AC155" i="13"/>
  <c r="AC154" i="13"/>
  <c r="AC153" i="13"/>
  <c r="DL3" i="10"/>
  <c r="DL4" i="10"/>
  <c r="DL5" i="10"/>
  <c r="DL6" i="10"/>
  <c r="DL7" i="10"/>
  <c r="DL8" i="10"/>
  <c r="DL9" i="10"/>
  <c r="DL10" i="10"/>
  <c r="DL11" i="10"/>
  <c r="DL12" i="10"/>
  <c r="DL13" i="10"/>
  <c r="DL14" i="10"/>
  <c r="DL15" i="10"/>
  <c r="AL142" i="13"/>
  <c r="AL143" i="13"/>
  <c r="AL144" i="13"/>
  <c r="AL145" i="13"/>
  <c r="AL141" i="13"/>
  <c r="AJ140" i="13"/>
  <c r="AJ133" i="13"/>
  <c r="AJ134" i="13"/>
  <c r="AJ135" i="13"/>
  <c r="AJ136" i="13"/>
  <c r="AJ137" i="13"/>
  <c r="AJ138" i="13"/>
  <c r="AJ139" i="13"/>
  <c r="AJ141" i="13"/>
  <c r="AJ142" i="13"/>
  <c r="AJ143" i="13"/>
  <c r="AJ144" i="13"/>
  <c r="AJ145" i="13"/>
  <c r="DK3" i="10"/>
  <c r="DK4" i="10"/>
  <c r="DK5" i="10"/>
  <c r="DK6" i="10"/>
  <c r="DK7" i="10"/>
  <c r="DK8" i="10"/>
  <c r="DK9" i="10"/>
  <c r="DK10" i="10"/>
  <c r="DK11" i="10"/>
  <c r="DK12" i="10"/>
  <c r="DK13" i="10"/>
  <c r="DK14" i="10"/>
  <c r="DK15" i="10"/>
  <c r="L96" i="13"/>
  <c r="L97" i="13" s="1"/>
  <c r="L98" i="13" s="1"/>
  <c r="L99" i="13" s="1"/>
  <c r="L100" i="13" s="1"/>
  <c r="W145" i="13"/>
  <c r="Z142" i="13"/>
  <c r="Z143" i="13"/>
  <c r="Z144" i="13"/>
  <c r="Z145" i="13"/>
  <c r="Z141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33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CK3" i="10"/>
  <c r="CK4" i="10"/>
  <c r="CK5" i="10"/>
  <c r="CK6" i="10"/>
  <c r="CK7" i="10"/>
  <c r="CK8" i="10"/>
  <c r="CK9" i="10"/>
  <c r="CK10" i="10"/>
  <c r="CK11" i="10"/>
  <c r="CK12" i="10"/>
  <c r="CK13" i="10"/>
  <c r="CK14" i="10"/>
  <c r="CK15" i="10"/>
  <c r="K96" i="13"/>
  <c r="K97" i="13" s="1"/>
  <c r="AM115" i="13"/>
  <c r="AM116" i="13"/>
  <c r="AM117" i="13"/>
  <c r="AM118" i="13"/>
  <c r="AM114" i="13"/>
  <c r="AK107" i="13"/>
  <c r="AK108" i="13"/>
  <c r="AK109" i="13"/>
  <c r="AK110" i="13"/>
  <c r="AK111" i="13"/>
  <c r="AK112" i="13"/>
  <c r="AK113" i="13"/>
  <c r="AK114" i="13"/>
  <c r="AK115" i="13"/>
  <c r="AK116" i="13"/>
  <c r="AK117" i="13"/>
  <c r="AK118" i="13"/>
  <c r="AK106" i="13"/>
  <c r="AJ106" i="13"/>
  <c r="AJ107" i="13"/>
  <c r="AJ108" i="13"/>
  <c r="AJ109" i="13"/>
  <c r="AJ110" i="13"/>
  <c r="AJ111" i="13"/>
  <c r="AJ112" i="13"/>
  <c r="AJ113" i="13"/>
  <c r="AJ114" i="13"/>
  <c r="AJ115" i="13"/>
  <c r="AJ116" i="13"/>
  <c r="AJ117" i="13"/>
  <c r="AJ118" i="13"/>
  <c r="DJ3" i="10"/>
  <c r="DJ4" i="10"/>
  <c r="DJ5" i="10"/>
  <c r="DJ6" i="10"/>
  <c r="DJ7" i="10"/>
  <c r="DJ8" i="10"/>
  <c r="DJ9" i="10"/>
  <c r="DJ10" i="10"/>
  <c r="DJ11" i="10"/>
  <c r="DJ12" i="10"/>
  <c r="DJ13" i="10"/>
  <c r="DJ14" i="10"/>
  <c r="DJ15" i="10"/>
  <c r="H97" i="13"/>
  <c r="H98" i="13" s="1"/>
  <c r="H99" i="13" s="1"/>
  <c r="H100" i="13" s="1"/>
  <c r="O144" i="13"/>
  <c r="J96" i="13"/>
  <c r="O145" i="13"/>
  <c r="O146" i="13"/>
  <c r="O147" i="13" s="1"/>
  <c r="AA65" i="15" l="1"/>
  <c r="AD65" i="15"/>
  <c r="AB65" i="15"/>
  <c r="AA63" i="15"/>
  <c r="AA61" i="15"/>
  <c r="K203" i="13"/>
  <c r="L192" i="13"/>
  <c r="H199" i="13"/>
  <c r="K192" i="13"/>
  <c r="L193" i="13"/>
  <c r="H203" i="13"/>
  <c r="K207" i="13"/>
  <c r="K191" i="13"/>
  <c r="L195" i="13"/>
  <c r="N205" i="13"/>
  <c r="L207" i="13"/>
  <c r="L191" i="13"/>
  <c r="N203" i="13"/>
  <c r="G191" i="13"/>
  <c r="M191" i="13"/>
  <c r="I191" i="13"/>
  <c r="J191" i="13"/>
  <c r="H195" i="13"/>
  <c r="K199" i="13"/>
  <c r="L203" i="13"/>
  <c r="N209" i="13"/>
  <c r="N201" i="13"/>
  <c r="H207" i="13"/>
  <c r="H191" i="13"/>
  <c r="K195" i="13"/>
  <c r="L199" i="13"/>
  <c r="N207" i="13"/>
  <c r="N197" i="13"/>
  <c r="G190" i="13"/>
  <c r="G206" i="13"/>
  <c r="G202" i="13"/>
  <c r="G198" i="13"/>
  <c r="G194" i="13"/>
  <c r="H190" i="13"/>
  <c r="H206" i="13"/>
  <c r="H202" i="13"/>
  <c r="H198" i="13"/>
  <c r="H194" i="13"/>
  <c r="I190" i="13"/>
  <c r="I206" i="13"/>
  <c r="I202" i="13"/>
  <c r="I198" i="13"/>
  <c r="I194" i="13"/>
  <c r="J190" i="13"/>
  <c r="J206" i="13"/>
  <c r="J202" i="13"/>
  <c r="J198" i="13"/>
  <c r="J194" i="13"/>
  <c r="K190" i="13"/>
  <c r="K206" i="13"/>
  <c r="K202" i="13"/>
  <c r="K198" i="13"/>
  <c r="K194" i="13"/>
  <c r="L190" i="13"/>
  <c r="L206" i="13"/>
  <c r="L202" i="13"/>
  <c r="L198" i="13"/>
  <c r="L194" i="13"/>
  <c r="M190" i="13"/>
  <c r="M206" i="13"/>
  <c r="M202" i="13"/>
  <c r="M198" i="13"/>
  <c r="M194" i="13"/>
  <c r="N190" i="13"/>
  <c r="N206" i="13"/>
  <c r="N202" i="13"/>
  <c r="N198" i="13"/>
  <c r="N194" i="13"/>
  <c r="G209" i="13"/>
  <c r="G205" i="13"/>
  <c r="G201" i="13"/>
  <c r="G197" i="13"/>
  <c r="G193" i="13"/>
  <c r="H209" i="13"/>
  <c r="H205" i="13"/>
  <c r="H201" i="13"/>
  <c r="H197" i="13"/>
  <c r="H193" i="13"/>
  <c r="I209" i="13"/>
  <c r="I205" i="13"/>
  <c r="I201" i="13"/>
  <c r="I197" i="13"/>
  <c r="I193" i="13"/>
  <c r="J209" i="13"/>
  <c r="J205" i="13"/>
  <c r="J201" i="13"/>
  <c r="J197" i="13"/>
  <c r="J193" i="13"/>
  <c r="K209" i="13"/>
  <c r="K205" i="13"/>
  <c r="K201" i="13"/>
  <c r="K197" i="13"/>
  <c r="K193" i="13"/>
  <c r="L209" i="13"/>
  <c r="L205" i="13"/>
  <c r="L201" i="13"/>
  <c r="L197" i="13"/>
  <c r="M209" i="13"/>
  <c r="M205" i="13"/>
  <c r="M201" i="13"/>
  <c r="M197" i="13"/>
  <c r="M193" i="13"/>
  <c r="N193" i="13"/>
  <c r="G208" i="13"/>
  <c r="G204" i="13"/>
  <c r="G200" i="13"/>
  <c r="G196" i="13"/>
  <c r="G192" i="13"/>
  <c r="H208" i="13"/>
  <c r="H204" i="13"/>
  <c r="H200" i="13"/>
  <c r="H196" i="13"/>
  <c r="I208" i="13"/>
  <c r="I204" i="13"/>
  <c r="I200" i="13"/>
  <c r="I196" i="13"/>
  <c r="I192" i="13"/>
  <c r="J208" i="13"/>
  <c r="J204" i="13"/>
  <c r="J200" i="13"/>
  <c r="J196" i="13"/>
  <c r="K208" i="13"/>
  <c r="K204" i="13"/>
  <c r="K200" i="13"/>
  <c r="K196" i="13"/>
  <c r="L208" i="13"/>
  <c r="L204" i="13"/>
  <c r="L200" i="13"/>
  <c r="L196" i="13"/>
  <c r="M208" i="13"/>
  <c r="M204" i="13"/>
  <c r="M200" i="13"/>
  <c r="M196" i="13"/>
  <c r="M192" i="13"/>
  <c r="N208" i="13"/>
  <c r="N204" i="13"/>
  <c r="N200" i="13"/>
  <c r="N196" i="13"/>
  <c r="N192" i="13"/>
  <c r="G207" i="13"/>
  <c r="G203" i="13"/>
  <c r="G199" i="13"/>
  <c r="G195" i="13"/>
  <c r="I207" i="13"/>
  <c r="I203" i="13"/>
  <c r="I199" i="13"/>
  <c r="I195" i="13"/>
  <c r="J207" i="13"/>
  <c r="J203" i="13"/>
  <c r="J199" i="13"/>
  <c r="J195" i="13"/>
  <c r="M207" i="13"/>
  <c r="M203" i="13"/>
  <c r="M199" i="13"/>
  <c r="M195" i="13"/>
  <c r="N199" i="13"/>
  <c r="N195" i="13"/>
  <c r="AE74" i="15"/>
  <c r="AA62" i="15"/>
  <c r="AC74" i="15"/>
  <c r="AB72" i="15"/>
  <c r="AC70" i="15"/>
  <c r="AD64" i="15"/>
  <c r="AA70" i="15"/>
  <c r="AB68" i="15"/>
  <c r="AC66" i="15"/>
  <c r="AC63" i="15"/>
  <c r="AA66" i="15"/>
  <c r="AB64" i="15"/>
  <c r="AC62" i="15"/>
  <c r="AD72" i="15"/>
  <c r="AA73" i="15"/>
  <c r="AC73" i="15"/>
  <c r="AE64" i="15"/>
  <c r="AD68" i="15"/>
  <c r="AE73" i="15"/>
  <c r="AE69" i="15"/>
  <c r="AE65" i="15"/>
  <c r="AA69" i="15"/>
  <c r="AB61" i="15"/>
  <c r="AB71" i="15"/>
  <c r="AB67" i="15"/>
  <c r="AB63" i="15"/>
  <c r="AC69" i="15"/>
  <c r="AC65" i="15"/>
  <c r="AD61" i="15"/>
  <c r="AD71" i="15"/>
  <c r="AD67" i="15"/>
  <c r="AD63" i="15"/>
  <c r="AE72" i="15"/>
  <c r="AE68" i="15"/>
  <c r="AA72" i="15"/>
  <c r="AA68" i="15"/>
  <c r="AA64" i="15"/>
  <c r="AB74" i="15"/>
  <c r="AB70" i="15"/>
  <c r="AB66" i="15"/>
  <c r="AB62" i="15"/>
  <c r="AC72" i="15"/>
  <c r="AC68" i="15"/>
  <c r="AD74" i="15"/>
  <c r="AD70" i="15"/>
  <c r="AD66" i="15"/>
  <c r="AD62" i="15"/>
  <c r="AE71" i="15"/>
  <c r="AE67" i="15"/>
  <c r="AE63" i="15"/>
  <c r="AA71" i="15"/>
  <c r="AA67" i="15"/>
  <c r="AB73" i="15"/>
  <c r="AB69" i="15"/>
  <c r="AC61" i="15"/>
  <c r="AC71" i="15"/>
  <c r="AC67" i="15"/>
  <c r="AD73" i="15"/>
  <c r="AD69" i="15"/>
  <c r="AE61" i="15"/>
  <c r="AE70" i="15"/>
  <c r="AE66" i="15"/>
  <c r="AE62" i="15"/>
  <c r="K21" i="10"/>
  <c r="K19" i="10"/>
  <c r="K20" i="10"/>
  <c r="N98" i="13"/>
  <c r="N99" i="13" s="1"/>
  <c r="O148" i="13"/>
  <c r="Y144" i="13"/>
  <c r="AL116" i="13"/>
  <c r="X161" i="13"/>
  <c r="AL117" i="13"/>
  <c r="X164" i="13"/>
  <c r="AL118" i="13"/>
  <c r="AL115" i="13"/>
  <c r="AK144" i="13"/>
  <c r="AK141" i="13"/>
  <c r="M96" i="13"/>
  <c r="AK142" i="13"/>
  <c r="X165" i="13"/>
  <c r="AL114" i="13"/>
  <c r="Y143" i="13"/>
  <c r="Y145" i="13"/>
  <c r="M97" i="13"/>
  <c r="M98" i="13" s="1"/>
  <c r="AK143" i="13"/>
  <c r="X162" i="13"/>
  <c r="AK145" i="13"/>
  <c r="Y141" i="13"/>
  <c r="Y142" i="13"/>
  <c r="X163" i="13"/>
  <c r="M99" i="13"/>
  <c r="N100" i="13" l="1"/>
  <c r="K98" i="13"/>
  <c r="M100" i="13"/>
  <c r="K99" i="13" l="1"/>
  <c r="K100" i="13" s="1"/>
  <c r="W121" i="13"/>
  <c r="Z122" i="13"/>
  <c r="Z123" i="13"/>
  <c r="Z124" i="13"/>
  <c r="Z121" i="13"/>
  <c r="W84" i="13"/>
  <c r="W85" i="13"/>
  <c r="W86" i="13"/>
  <c r="W87" i="13"/>
  <c r="W83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12" i="13"/>
  <c r="W113" i="13"/>
  <c r="W114" i="13"/>
  <c r="W115" i="13"/>
  <c r="W116" i="13"/>
  <c r="W117" i="13"/>
  <c r="W118" i="13"/>
  <c r="W119" i="13"/>
  <c r="W120" i="13"/>
  <c r="W122" i="13"/>
  <c r="W123" i="13"/>
  <c r="W124" i="13"/>
  <c r="W112" i="13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T6" i="10"/>
  <c r="AG96" i="13"/>
  <c r="AG94" i="13"/>
  <c r="T13" i="10"/>
  <c r="T14" i="10"/>
  <c r="T15" i="10"/>
  <c r="AI85" i="13"/>
  <c r="AI86" i="13"/>
  <c r="AI87" i="13"/>
  <c r="AI88" i="13"/>
  <c r="AI89" i="13"/>
  <c r="AI90" i="13"/>
  <c r="AI91" i="13"/>
  <c r="AI92" i="13"/>
  <c r="AI93" i="13"/>
  <c r="AI94" i="13"/>
  <c r="AI95" i="13"/>
  <c r="AI96" i="13"/>
  <c r="AI84" i="13"/>
  <c r="AG84" i="13"/>
  <c r="AG85" i="13"/>
  <c r="AG86" i="13"/>
  <c r="AG87" i="13"/>
  <c r="AG88" i="13"/>
  <c r="AG89" i="13"/>
  <c r="AG90" i="13"/>
  <c r="AG91" i="13"/>
  <c r="AG92" i="13"/>
  <c r="AG93" i="13"/>
  <c r="AG95" i="13"/>
  <c r="AG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83" i="13"/>
  <c r="T3" i="10"/>
  <c r="T4" i="10"/>
  <c r="T5" i="10"/>
  <c r="T7" i="10"/>
  <c r="T8" i="10"/>
  <c r="T9" i="10"/>
  <c r="T10" i="10"/>
  <c r="T11" i="10"/>
  <c r="T12" i="10"/>
  <c r="T16" i="10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92" i="13"/>
  <c r="W96" i="13"/>
  <c r="W97" i="13"/>
  <c r="W100" i="13"/>
  <c r="W101" i="13"/>
  <c r="W102" i="13"/>
  <c r="W103" i="13"/>
  <c r="W104" i="13"/>
  <c r="W105" i="13"/>
  <c r="W92" i="13"/>
  <c r="W95" i="13"/>
  <c r="W94" i="13"/>
  <c r="W93" i="13"/>
  <c r="E3" i="10"/>
  <c r="AJ92" i="13"/>
  <c r="AJ96" i="13"/>
  <c r="Y122" i="13"/>
  <c r="Y123" i="13"/>
  <c r="Y121" i="13"/>
  <c r="AJ95" i="13"/>
  <c r="AJ94" i="13"/>
  <c r="Z83" i="13"/>
  <c r="Y124" i="13"/>
  <c r="AJ93" i="13"/>
  <c r="J97" i="13"/>
  <c r="J98" i="13"/>
  <c r="J99" i="13" s="1"/>
  <c r="AD112" i="13" l="1"/>
  <c r="AD113" i="13"/>
  <c r="AD111" i="13"/>
  <c r="AM85" i="13"/>
  <c r="AM84" i="13"/>
  <c r="AM86" i="13"/>
  <c r="J100" i="13"/>
  <c r="G96" i="13" l="1"/>
  <c r="Y87" i="13"/>
  <c r="Y83" i="13"/>
  <c r="X83" i="13"/>
  <c r="Y84" i="13"/>
  <c r="Y85" i="13"/>
  <c r="Y86" i="13"/>
  <c r="X84" i="13"/>
  <c r="X85" i="13"/>
  <c r="X86" i="13"/>
  <c r="X87" i="13"/>
  <c r="Z84" i="13"/>
  <c r="Z86" i="13"/>
  <c r="Z87" i="13"/>
  <c r="Z85" i="13"/>
  <c r="I96" i="13" l="1"/>
  <c r="G97" i="13"/>
  <c r="DO4" i="10"/>
  <c r="DO5" i="10"/>
  <c r="DO6" i="10"/>
  <c r="DO7" i="10"/>
  <c r="DO8" i="10"/>
  <c r="DO9" i="10"/>
  <c r="DO11" i="10"/>
  <c r="DO12" i="10"/>
  <c r="DO13" i="10"/>
  <c r="DO14" i="10"/>
  <c r="DO15" i="10"/>
  <c r="DO16" i="10"/>
  <c r="DM4" i="10"/>
  <c r="DM5" i="10"/>
  <c r="DM6" i="10"/>
  <c r="DM7" i="10"/>
  <c r="DM8" i="10"/>
  <c r="DM9" i="10"/>
  <c r="DM10" i="10"/>
  <c r="DM11" i="10"/>
  <c r="DM12" i="10"/>
  <c r="DM13" i="10"/>
  <c r="DM14" i="10"/>
  <c r="DM15" i="10"/>
  <c r="DM16" i="10"/>
  <c r="DM3" i="10"/>
  <c r="B2" i="11"/>
  <c r="B3" i="11"/>
  <c r="B4" i="11"/>
  <c r="B5" i="11"/>
  <c r="CP4" i="10"/>
  <c r="CP5" i="10"/>
  <c r="CP6" i="10"/>
  <c r="CP7" i="10"/>
  <c r="CP8" i="10"/>
  <c r="CP9" i="10"/>
  <c r="CP10" i="10"/>
  <c r="CP11" i="10"/>
  <c r="CP12" i="10"/>
  <c r="CP13" i="10"/>
  <c r="CP14" i="10"/>
  <c r="CP15" i="10"/>
  <c r="CP16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3" i="10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E57" i="11"/>
  <c r="E5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2" i="11"/>
  <c r="E4" i="10"/>
  <c r="E5" i="10"/>
  <c r="E6" i="10"/>
  <c r="E7" i="10"/>
  <c r="E8" i="10"/>
  <c r="E9" i="10"/>
  <c r="E10" i="10"/>
  <c r="E11" i="10"/>
  <c r="E12" i="10"/>
  <c r="E13" i="10"/>
  <c r="E14" i="10"/>
  <c r="E15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3" i="10"/>
  <c r="G98" i="13" l="1"/>
  <c r="I97" i="13"/>
  <c r="G99" i="13" l="1"/>
  <c r="I98" i="13"/>
  <c r="I99" i="13" l="1"/>
  <c r="G100" i="13"/>
  <c r="I100" i="13" s="1"/>
  <c r="G105" i="13" l="1" a="1"/>
  <c r="G105" i="13" s="1"/>
  <c r="G120" i="13" s="1" a="1"/>
  <c r="H120" i="13" l="1" a="1"/>
  <c r="H120" i="13" s="1"/>
  <c r="K120" i="13" a="1"/>
  <c r="K120" i="13" s="1"/>
  <c r="M120" i="13" a="1"/>
  <c r="M120" i="13" s="1"/>
  <c r="N120" i="13" a="1"/>
  <c r="N120" i="13" s="1"/>
  <c r="I120" i="13" a="1"/>
  <c r="I120" i="13" s="1"/>
  <c r="L120" i="13" a="1"/>
  <c r="L120" i="13" s="1"/>
  <c r="J120" i="13" a="1"/>
  <c r="J120" i="13" s="1"/>
  <c r="G120" i="13"/>
  <c r="O122" i="13" l="1"/>
  <c r="G132" i="13" s="1"/>
  <c r="H132" i="13" s="1"/>
  <c r="O124" i="13"/>
  <c r="G134" i="13" s="1"/>
  <c r="H134" i="13" s="1"/>
  <c r="O120" i="13"/>
  <c r="G130" i="13" s="1"/>
  <c r="H130" i="13" s="1"/>
  <c r="O123" i="13"/>
  <c r="G133" i="13" s="1"/>
  <c r="H133" i="13" s="1"/>
  <c r="O121" i="13"/>
  <c r="G131" i="13" s="1"/>
  <c r="H131" i="1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<sst xmlns="http://schemas.openxmlformats.org/spreadsheetml/2006/main" count="587" uniqueCount="275">
  <si>
    <t>Revenue</t>
  </si>
  <si>
    <t>Cost Of Goods Sold</t>
  </si>
  <si>
    <t>Gross Profit</t>
  </si>
  <si>
    <t>Operating Income</t>
  </si>
  <si>
    <t>Total Non-Operating Income/Expense</t>
  </si>
  <si>
    <t>Pre-Tax Income</t>
  </si>
  <si>
    <t>Income Taxes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</si>
  <si>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</si>
  <si>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</si>
  <si>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</si>
  <si>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</si>
  <si>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</si>
  <si>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</si>
  <si>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</si>
  <si>
    <t>Income After Taxes</t>
  </si>
  <si>
    <t>Other Income</t>
  </si>
  <si>
    <t>Income From Continuous Operations</t>
  </si>
  <si>
    <t>Income From Discontinued Operations</t>
  </si>
  <si>
    <t>Operating Expenses</t>
  </si>
  <si>
    <t xml:space="preserve">          Research And Development Expenses</t>
  </si>
  <si>
    <t xml:space="preserve">          SG&amp;A Expenses</t>
  </si>
  <si>
    <t xml:space="preserve">          Other Operating Income Or Expenses</t>
  </si>
  <si>
    <t>Total Assets</t>
  </si>
  <si>
    <t>Total Liabilities</t>
  </si>
  <si>
    <t>Share Holder Equity</t>
  </si>
  <si>
    <t>Total Liabilities And Share Holders Equity</t>
  </si>
  <si>
    <t xml:space="preserve">          Cash On Hand</t>
  </si>
  <si>
    <t xml:space="preserve">          Receivables</t>
  </si>
  <si>
    <t xml:space="preserve">          Other Current Assets</t>
  </si>
  <si>
    <t xml:space="preserve">          Pre-paid Expenses</t>
  </si>
  <si>
    <t xml:space="preserve">          Inventory</t>
  </si>
  <si>
    <t xml:space="preserve">   Total Current Assets</t>
  </si>
  <si>
    <t xml:space="preserve">   Total Long-Term Assets</t>
  </si>
  <si>
    <t xml:space="preserve">          Property, Plant, And Equipment</t>
  </si>
  <si>
    <t xml:space="preserve">          Long-Term Investments</t>
  </si>
  <si>
    <t xml:space="preserve">          Goodwill And Intangible Assets</t>
  </si>
  <si>
    <t xml:space="preserve">          Other Long-Term Assets</t>
  </si>
  <si>
    <t xml:space="preserve">   Total Current Liabilities</t>
  </si>
  <si>
    <t xml:space="preserve">          Long Term Debt</t>
  </si>
  <si>
    <t xml:space="preserve">          Other Non-current Liabilities</t>
  </si>
  <si>
    <t xml:space="preserve">   Total Long Term Liabilities</t>
  </si>
  <si>
    <t xml:space="preserve">          Other Share Holders Equity</t>
  </si>
  <si>
    <t xml:space="preserve">          Comprehensive Income</t>
  </si>
  <si>
    <t xml:space="preserve">          Retained Eamings (Accumulated Deficit)</t>
  </si>
  <si>
    <t xml:space="preserve">          Common Stock Net</t>
  </si>
  <si>
    <t>Cash Flow From Operating Activities</t>
  </si>
  <si>
    <t>Cash Flow From Investing Activities</t>
  </si>
  <si>
    <t>Cash Flow From Financial Activities</t>
  </si>
  <si>
    <t>Net Cash Flow</t>
  </si>
  <si>
    <t>Stock-Based ComHnsation</t>
  </si>
  <si>
    <t>Common Stock Dividends Paid</t>
  </si>
  <si>
    <t xml:space="preserve">          Total Depreciation And Amortization - Cash Flow</t>
  </si>
  <si>
    <t xml:space="preserve">          Other Non-Cash Items</t>
  </si>
  <si>
    <t xml:space="preserve">          Total Non-Cash Items</t>
  </si>
  <si>
    <t xml:space="preserve">          Change In Accounts Receivable</t>
  </si>
  <si>
    <t xml:space="preserve">          Change In Inventories</t>
  </si>
  <si>
    <t xml:space="preserve">          Change In Accounts Payable</t>
  </si>
  <si>
    <t xml:space="preserve">          Change In Assets/Liabilities</t>
  </si>
  <si>
    <t xml:space="preserve">          Total Change In Assets/Liabilities</t>
  </si>
  <si>
    <t xml:space="preserve">          Net Change In Propety, Plant, And Equipment</t>
  </si>
  <si>
    <t xml:space="preserve">          Net Change In Intangible Assets</t>
  </si>
  <si>
    <t xml:space="preserve">          Net Acquisitions/Divestitures</t>
  </si>
  <si>
    <t xml:space="preserve">          Net Change In Short-term Investments</t>
  </si>
  <si>
    <t xml:space="preserve">          Net Change In Long-Term Investments</t>
  </si>
  <si>
    <t xml:space="preserve">          Net Change In Investments - Total</t>
  </si>
  <si>
    <t xml:space="preserve">          Investing Activities - Other</t>
  </si>
  <si>
    <t xml:space="preserve">          Net Long-Term Debt</t>
  </si>
  <si>
    <t xml:space="preserve">          Net Current Debt</t>
  </si>
  <si>
    <t xml:space="preserve">          Debt Issuance/Retirement Net - Total</t>
  </si>
  <si>
    <t xml:space="preserve">          Net Common Equity Issued/Repurchased</t>
  </si>
  <si>
    <t xml:space="preserve">          Net Total Equity Issued/Repurchased</t>
  </si>
  <si>
    <t xml:space="preserve">          Total Common And Preferred Stock Dividends Paid</t>
  </si>
  <si>
    <t xml:space="preserve">          Financial Activities - Other</t>
  </si>
  <si>
    <t>CASH FLOW STATEMENT</t>
  </si>
  <si>
    <t>BALANCE SHEET</t>
  </si>
  <si>
    <t>INCOME STATEMENT</t>
  </si>
  <si>
    <t>KEY FINANCIAL RATIOS</t>
  </si>
  <si>
    <t>Current Ratio</t>
  </si>
  <si>
    <t>Long-term Debt/ Capital</t>
  </si>
  <si>
    <t>Gross Margin</t>
  </si>
  <si>
    <t>Operating Margin</t>
  </si>
  <si>
    <t>EBIT Margin</t>
  </si>
  <si>
    <t>EBITDA Margin</t>
  </si>
  <si>
    <t>Net Profit Margin</t>
  </si>
  <si>
    <t>Asset Turnover</t>
  </si>
  <si>
    <t>Receiveable Turnover</t>
  </si>
  <si>
    <t>Days Sales In Receivables</t>
  </si>
  <si>
    <t>ROE - Return on Equity</t>
  </si>
  <si>
    <t>Retum On Tangible Equity</t>
  </si>
  <si>
    <t>ROA- Return On Assets</t>
  </si>
  <si>
    <t>ROI - Retum On Investment</t>
  </si>
  <si>
    <t>Book Value Per Share</t>
  </si>
  <si>
    <t>Operating Cash Flow Per Share</t>
  </si>
  <si>
    <t>Free Cash Flow Per Share</t>
  </si>
  <si>
    <t>Debt/Equity Ratio</t>
  </si>
  <si>
    <t>Pre-Tax Profit Margin</t>
  </si>
  <si>
    <t>Dates</t>
  </si>
  <si>
    <t>Year</t>
  </si>
  <si>
    <t>Annual Data | Millions of US $ except per share data</t>
  </si>
  <si>
    <t xml:space="preserve">          Net Income/Loss</t>
  </si>
  <si>
    <t>Quarterly Data | Millions of US $ except per share data</t>
  </si>
  <si>
    <t>Y-o-Y Growth</t>
  </si>
  <si>
    <t>Q-o-Q Growth</t>
  </si>
  <si>
    <t>Financial Quarters</t>
  </si>
  <si>
    <t>Y-o-Y Growth %</t>
  </si>
  <si>
    <t>Revenue $</t>
  </si>
  <si>
    <t>Gross Margin %</t>
  </si>
  <si>
    <t>Operating Margin %</t>
  </si>
  <si>
    <t>EBITDA Margin %</t>
  </si>
  <si>
    <t>Net Profit Margin %</t>
  </si>
  <si>
    <t>Quick Ratio</t>
  </si>
  <si>
    <t>New column created</t>
  </si>
  <si>
    <t>Income Statement</t>
  </si>
  <si>
    <t>Balance Sheet</t>
  </si>
  <si>
    <t>Cash Flow Statement</t>
  </si>
  <si>
    <t>Key Financial Ratios</t>
  </si>
  <si>
    <t>Working Capital</t>
  </si>
  <si>
    <t>column B</t>
  </si>
  <si>
    <t>column BN</t>
  </si>
  <si>
    <t>column BV</t>
  </si>
  <si>
    <t>compound annual growth rate (CAGR) for revenue</t>
  </si>
  <si>
    <t>2. Profitability</t>
  </si>
  <si>
    <t>3. Liquidity and Solvency</t>
  </si>
  <si>
    <t>How effectively is Tesla converting revenue into profit?</t>
  </si>
  <si>
    <t>Does Tesla have enough cash and resources to meet its obligations?</t>
  </si>
  <si>
    <t>4. Efficiency</t>
  </si>
  <si>
    <t>How efficiently is Tesla managing its assets and generating returns?</t>
  </si>
  <si>
    <t>Inventory Turnover Ratio</t>
  </si>
  <si>
    <t>Turnover Correlation</t>
  </si>
  <si>
    <t>Asset &amp; Inventory</t>
  </si>
  <si>
    <t>Asset &amp; Receivable</t>
  </si>
  <si>
    <t>Inventory &amp; Receivable</t>
  </si>
  <si>
    <r>
      <rPr>
        <b/>
        <sz val="14"/>
        <color theme="1"/>
        <rFont val="Calibri"/>
        <family val="2"/>
      </rPr>
      <t>1. Revenue and Growth</t>
    </r>
    <r>
      <rPr>
        <b/>
        <sz val="11"/>
        <color theme="1"/>
        <rFont val="Calibri"/>
        <family val="2"/>
      </rPr>
      <t xml:space="preserve">
</t>
    </r>
    <r>
      <rPr>
        <sz val="10"/>
        <color theme="1"/>
        <rFont val="Calibri"/>
        <family val="2"/>
      </rPr>
      <t>Is Tesla experiencing sustainable and healthy revenue growth?</t>
    </r>
  </si>
  <si>
    <t>Total Non-Operating Income / Expense</t>
  </si>
  <si>
    <t>Historical Stock Price (Dec/year)</t>
  </si>
  <si>
    <t>Price-to-Free Cash Flow (P/FCF) ratio</t>
  </si>
  <si>
    <t>1. Free Cash Flow and Valuation</t>
  </si>
  <si>
    <t>Is Tesla generating sufficient cash flow to justify its current market valuation?</t>
  </si>
  <si>
    <t>Price-to-free cash flow ratio</t>
  </si>
  <si>
    <t xml:space="preserve">          Total Change In Assets/ Liabilities</t>
  </si>
  <si>
    <t xml:space="preserve">          Change In Assets/ Liabilities</t>
  </si>
  <si>
    <t>Median</t>
  </si>
  <si>
    <t>Original</t>
  </si>
  <si>
    <t>Forecast ETS</t>
  </si>
  <si>
    <t>Forecast Sheet 95%</t>
  </si>
  <si>
    <t>Years</t>
  </si>
  <si>
    <t>FORECAST function</t>
  </si>
  <si>
    <t>Median Growth Rate</t>
  </si>
  <si>
    <t>Regression</t>
  </si>
  <si>
    <t>Average Growth Rate</t>
  </si>
  <si>
    <r>
      <t xml:space="preserve">Revenue Forecast </t>
    </r>
    <r>
      <rPr>
        <b/>
        <sz val="9"/>
        <color theme="1"/>
        <rFont val="Aptos Narrow"/>
        <family val="2"/>
        <scheme val="minor"/>
      </rPr>
      <t>Test</t>
    </r>
  </si>
  <si>
    <t>COGS %</t>
  </si>
  <si>
    <t>Average</t>
  </si>
  <si>
    <r>
      <t xml:space="preserve">COGS Forecast </t>
    </r>
    <r>
      <rPr>
        <b/>
        <sz val="11"/>
        <color theme="1"/>
        <rFont val="Aptos Narrow"/>
        <family val="2"/>
        <scheme val="minor"/>
      </rPr>
      <t>TEST</t>
    </r>
  </si>
  <si>
    <t>Operating Expenses % of Revenue</t>
  </si>
  <si>
    <t>75% Quartile</t>
  </si>
  <si>
    <t>Median Forecast</t>
  </si>
  <si>
    <t>Average Forecast</t>
  </si>
  <si>
    <t>Original OE</t>
  </si>
  <si>
    <t>75% Quart</t>
  </si>
  <si>
    <t>Net income Growth Rate</t>
  </si>
  <si>
    <t>Forecast</t>
  </si>
  <si>
    <r>
      <t xml:space="preserve">Net Income Forecast </t>
    </r>
    <r>
      <rPr>
        <b/>
        <sz val="11"/>
        <color theme="1"/>
        <rFont val="Aptos Narrow"/>
        <family val="2"/>
        <scheme val="minor"/>
      </rPr>
      <t>Test</t>
    </r>
  </si>
  <si>
    <r>
      <t xml:space="preserve">Operating Expense Forecast </t>
    </r>
    <r>
      <rPr>
        <b/>
        <sz val="11"/>
        <color theme="1"/>
        <rFont val="Aptos Narrow"/>
        <family val="2"/>
        <scheme val="minor"/>
      </rPr>
      <t>Test</t>
    </r>
  </si>
  <si>
    <t>FCF/Share Growth Rate %</t>
  </si>
  <si>
    <t>Avg Forecast</t>
  </si>
  <si>
    <t>Forecast Sheet</t>
  </si>
  <si>
    <r>
      <t xml:space="preserve">Free Cash Flow Per Share Forecast </t>
    </r>
    <r>
      <rPr>
        <b/>
        <sz val="9"/>
        <color theme="1"/>
        <rFont val="Aptos Narrow"/>
        <family val="2"/>
        <scheme val="minor"/>
      </rPr>
      <t>Test</t>
    </r>
  </si>
  <si>
    <t>Growth Rate</t>
  </si>
  <si>
    <t>Net Cash Flow Growth Rate</t>
  </si>
  <si>
    <t>Avg</t>
  </si>
  <si>
    <r>
      <t xml:space="preserve">Net Cash Flow forecast </t>
    </r>
    <r>
      <rPr>
        <b/>
        <sz val="11"/>
        <color theme="1"/>
        <rFont val="Aptos Narrow"/>
        <family val="2"/>
        <scheme val="minor"/>
      </rPr>
      <t>TEST</t>
    </r>
  </si>
  <si>
    <r>
      <t xml:space="preserve">Return on Equity forecast </t>
    </r>
    <r>
      <rPr>
        <b/>
        <sz val="11"/>
        <color theme="1"/>
        <rFont val="Aptos Narrow"/>
        <family val="2"/>
        <scheme val="minor"/>
      </rPr>
      <t>Test</t>
    </r>
  </si>
  <si>
    <t>ROE Growth Rate %</t>
  </si>
  <si>
    <t>Debt / Equity Ratio Growth Rate %</t>
  </si>
  <si>
    <t>Forecast Linear</t>
  </si>
  <si>
    <t>COGS</t>
  </si>
  <si>
    <t>PVF</t>
  </si>
  <si>
    <t>FCF/ Share</t>
  </si>
  <si>
    <t xml:space="preserve">ROE </t>
  </si>
  <si>
    <t>Total Weighted Value</t>
  </si>
  <si>
    <t xml:space="preserve">          R&amp;D Expenses</t>
  </si>
  <si>
    <t>COGS% of Revenue</t>
  </si>
  <si>
    <t>R&amp;D Expenses % of Revenue</t>
  </si>
  <si>
    <t>SG&amp;A Expense % of Revenue</t>
  </si>
  <si>
    <t>Gross Profit Margin %</t>
  </si>
  <si>
    <t>Cost Components</t>
  </si>
  <si>
    <t>Profitability Metrics</t>
  </si>
  <si>
    <t>COGS and Gross Margin</t>
  </si>
  <si>
    <t>COGS and Net Profit Margin</t>
  </si>
  <si>
    <t>R&amp;D Expenses and Gross Margin</t>
  </si>
  <si>
    <t>R&amp;D Expenses and Net Profit Margin</t>
  </si>
  <si>
    <t>SG&amp;A Expenses and Gross Margin</t>
  </si>
  <si>
    <t>SG&amp;A Expenses and Net Profit Margin</t>
  </si>
  <si>
    <t>Correlation Analysis between Cost components and Profitability metrics</t>
  </si>
  <si>
    <t>Correlations</t>
  </si>
  <si>
    <t>Normalize Data Min Max Scaling</t>
  </si>
  <si>
    <t>Min</t>
  </si>
  <si>
    <t>Max</t>
  </si>
  <si>
    <t>Normalized Data</t>
  </si>
  <si>
    <r>
      <t xml:space="preserve">2. </t>
    </r>
    <r>
      <rPr>
        <b/>
        <sz val="11"/>
        <color theme="1"/>
        <rFont val="Aptos Narrow"/>
        <family val="2"/>
        <scheme val="minor"/>
      </rPr>
      <t>Discounted Cash Flow Analysis</t>
    </r>
  </si>
  <si>
    <t>Present Value = Forecasted Cash Flows * PVF</t>
  </si>
  <si>
    <t>Forecasting Cash Flows</t>
  </si>
  <si>
    <t>FCF/share</t>
  </si>
  <si>
    <t>ROE</t>
  </si>
  <si>
    <t>Weighted Value of Present Value = Present Value * Weighting Factor</t>
  </si>
  <si>
    <r>
      <rPr>
        <b/>
        <sz val="9"/>
        <color theme="1"/>
        <rFont val="Aptos Narrow"/>
        <family val="2"/>
        <scheme val="minor"/>
      </rPr>
      <t>Weighting factors</t>
    </r>
    <r>
      <rPr>
        <sz val="9"/>
        <color theme="1"/>
        <rFont val="Aptos Narrow"/>
        <family val="2"/>
        <scheme val="minor"/>
      </rPr>
      <t xml:space="preserve"> to each element</t>
    </r>
  </si>
  <si>
    <t>Intrinsic value per share</t>
  </si>
  <si>
    <t>Intrinsic Value/Share</t>
  </si>
  <si>
    <t>Total Weighted Value / Shares Outstanding</t>
  </si>
  <si>
    <t>IV v/s MP</t>
  </si>
  <si>
    <t>$161.1 B</t>
  </si>
  <si>
    <t>$269.8 B</t>
  </si>
  <si>
    <t>$450.7 B</t>
  </si>
  <si>
    <t>$752.6 B</t>
  </si>
  <si>
    <t>$1.2 T</t>
  </si>
  <si>
    <t>$24 B</t>
  </si>
  <si>
    <t>$40.8 B</t>
  </si>
  <si>
    <t>$67 B</t>
  </si>
  <si>
    <t>$111 B</t>
  </si>
  <si>
    <t>$183 B</t>
  </si>
  <si>
    <t>$124 B</t>
  </si>
  <si>
    <t>$207 B</t>
  </si>
  <si>
    <t>$347 B</t>
  </si>
  <si>
    <t>$579 B</t>
  </si>
  <si>
    <t>$967 B</t>
  </si>
  <si>
    <t>$9.7 B</t>
  </si>
  <si>
    <t>$10 B</t>
  </si>
  <si>
    <t>$10.8 B</t>
  </si>
  <si>
    <t>$11.7 B</t>
  </si>
  <si>
    <t>$12.6 B</t>
  </si>
  <si>
    <t>140.8 B</t>
  </si>
  <si>
    <t>204.7 B</t>
  </si>
  <si>
    <t>297.5 B</t>
  </si>
  <si>
    <t>431.9 B</t>
  </si>
  <si>
    <t>627 B</t>
  </si>
  <si>
    <t>21.5 B</t>
  </si>
  <si>
    <t>30.9 B</t>
  </si>
  <si>
    <t>44 B</t>
  </si>
  <si>
    <t>63.8 B</t>
  </si>
  <si>
    <t>91.5 B</t>
  </si>
  <si>
    <t>108 B</t>
  </si>
  <si>
    <t>157 B</t>
  </si>
  <si>
    <t>229 B</t>
  </si>
  <si>
    <t>332 B</t>
  </si>
  <si>
    <t>483 B</t>
  </si>
  <si>
    <t>8 B</t>
  </si>
  <si>
    <t>7 B</t>
  </si>
  <si>
    <t>7.6 B</t>
  </si>
  <si>
    <t>6.7 B</t>
  </si>
  <si>
    <t>6.3 B</t>
  </si>
  <si>
    <t>Compare Intrinsic Value to Market Price</t>
  </si>
  <si>
    <t>R&amp;D Expenses</t>
  </si>
  <si>
    <t>2B</t>
  </si>
  <si>
    <t>3B</t>
  </si>
  <si>
    <t>4B</t>
  </si>
  <si>
    <t>7B</t>
  </si>
  <si>
    <t>11.7B</t>
  </si>
  <si>
    <t>21B</t>
  </si>
  <si>
    <t>24B</t>
  </si>
  <si>
    <t>31.5B</t>
  </si>
  <si>
    <t>53.8B</t>
  </si>
  <si>
    <t>0.1B</t>
  </si>
  <si>
    <t>0.2B</t>
  </si>
  <si>
    <t>0.4B</t>
  </si>
  <si>
    <t>81 B</t>
  </si>
  <si>
    <t>96.7 B</t>
  </si>
  <si>
    <t>SG&amp;A Expenses</t>
  </si>
  <si>
    <t>Trends in working capital and cash flow</t>
  </si>
  <si>
    <t>5Y 2019-23</t>
  </si>
  <si>
    <t>3Y 2021-23</t>
  </si>
  <si>
    <t>10Y 2014-23</t>
  </si>
  <si>
    <t>Time Period</t>
  </si>
  <si>
    <t>CAGR</t>
  </si>
  <si>
    <t>Can Tesla identify and control key cost elements to improve profitability?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</si>
</sst>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0.0%"/>
    <numFmt numFmtId="165" formatCode="0.0"/>
    <numFmt numFmtId="166" formatCode="0.000"/>
    <numFmt numFmtId="167" formatCode="0.0000"/>
  </numFmts>
  <fonts count="2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7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9"/>
      <color rgb="FF000000"/>
      <name val="Aptos Narrow"/>
      <family val="2"/>
    </font>
    <font>
      <sz val="9"/>
      <color rgb="FF000000"/>
      <name val="Aptos Narrow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i/>
      <sz val="9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4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14" fontId="3" fillId="3" borderId="4" xfId="0" applyNumberFormat="1" applyFont="1" applyFill="1" applyBorder="1"/>
    <xf numFmtId="14" fontId="3" fillId="3" borderId="3" xfId="0" applyNumberFormat="1" applyFont="1" applyFill="1" applyBorder="1"/>
    <xf numFmtId="0" fontId="6" fillId="3" borderId="2" xfId="0" applyFont="1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3" fillId="2" borderId="4" xfId="0" applyFont="1" applyFill="1" applyBorder="1"/>
    <xf numFmtId="0" fontId="3" fillId="4" borderId="4" xfId="0" applyFont="1" applyFill="1" applyBorder="1"/>
    <xf numFmtId="0" fontId="3" fillId="5" borderId="4" xfId="0" applyFont="1" applyFill="1" applyBorder="1"/>
    <xf numFmtId="9" fontId="3" fillId="0" borderId="1" xfId="1" applyFont="1" applyBorder="1"/>
    <xf numFmtId="0" fontId="3" fillId="0" borderId="1" xfId="1" applyNumberFormat="1" applyFont="1" applyBorder="1"/>
    <xf numFmtId="0" fontId="4" fillId="0" borderId="2" xfId="0" applyFont="1" applyBorder="1" applyAlignment="1">
      <alignment wrapText="1"/>
    </xf>
    <xf numFmtId="14" fontId="4" fillId="0" borderId="4" xfId="0" applyNumberFormat="1" applyFont="1" applyBorder="1"/>
    <xf numFmtId="14" fontId="4" fillId="0" borderId="0" xfId="0" applyNumberFormat="1" applyFont="1"/>
    <xf numFmtId="0" fontId="3" fillId="0" borderId="0" xfId="0" applyFont="1"/>
    <xf numFmtId="9" fontId="3" fillId="0" borderId="0" xfId="1" applyFont="1" applyBorder="1"/>
    <xf numFmtId="164" fontId="3" fillId="0" borderId="1" xfId="1" applyNumberFormat="1" applyFont="1" applyBorder="1"/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3" fillId="0" borderId="0" xfId="1" applyNumberFormat="1" applyFont="1" applyBorder="1"/>
    <xf numFmtId="0" fontId="3" fillId="0" borderId="1" xfId="0" applyFont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/>
    <xf numFmtId="0" fontId="0" fillId="2" borderId="1" xfId="0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11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9" fillId="0" borderId="0" xfId="0" applyFont="1" applyAlignment="1">
      <alignment vertical="top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vertical="center" wrapText="1"/>
    </xf>
    <xf numFmtId="0" fontId="0" fillId="8" borderId="0" xfId="0" applyFill="1"/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top"/>
    </xf>
    <xf numFmtId="165" fontId="3" fillId="0" borderId="1" xfId="0" applyNumberFormat="1" applyFont="1" applyBorder="1"/>
    <xf numFmtId="0" fontId="10" fillId="0" borderId="0" xfId="0" applyFont="1"/>
    <xf numFmtId="0" fontId="15" fillId="0" borderId="0" xfId="0" applyFont="1"/>
    <xf numFmtId="0" fontId="14" fillId="0" borderId="0" xfId="0" applyFont="1"/>
    <xf numFmtId="0" fontId="9" fillId="0" borderId="0" xfId="0" applyFont="1"/>
    <xf numFmtId="0" fontId="4" fillId="3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9" xfId="1" applyNumberFormat="1" applyFont="1" applyBorder="1"/>
    <xf numFmtId="164" fontId="3" fillId="0" borderId="9" xfId="1" applyNumberFormat="1" applyFont="1" applyBorder="1"/>
    <xf numFmtId="0" fontId="3" fillId="2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0" fillId="0" borderId="0" xfId="0" applyAlignment="1">
      <alignment vertical="center"/>
    </xf>
    <xf numFmtId="0" fontId="0" fillId="9" borderId="0" xfId="0" applyFill="1"/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13" fillId="0" borderId="1" xfId="0" applyFont="1" applyBorder="1"/>
    <xf numFmtId="0" fontId="3" fillId="0" borderId="7" xfId="0" applyFont="1" applyBorder="1"/>
    <xf numFmtId="0" fontId="1" fillId="0" borderId="0" xfId="0" applyFont="1"/>
    <xf numFmtId="0" fontId="13" fillId="2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wrapText="1"/>
    </xf>
    <xf numFmtId="9" fontId="3" fillId="0" borderId="9" xfId="1" applyFont="1" applyBorder="1"/>
    <xf numFmtId="9" fontId="3" fillId="0" borderId="1" xfId="0" applyNumberFormat="1" applyFont="1" applyBorder="1"/>
    <xf numFmtId="165" fontId="4" fillId="0" borderId="1" xfId="0" applyNumberFormat="1" applyFont="1" applyBorder="1"/>
    <xf numFmtId="0" fontId="4" fillId="6" borderId="7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165" fontId="16" fillId="0" borderId="1" xfId="0" applyNumberFormat="1" applyFont="1" applyBorder="1"/>
    <xf numFmtId="165" fontId="0" fillId="0" borderId="0" xfId="0" applyNumberFormat="1"/>
    <xf numFmtId="0" fontId="18" fillId="0" borderId="1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3" fillId="0" borderId="2" xfId="0" applyFont="1" applyBorder="1"/>
    <xf numFmtId="0" fontId="3" fillId="0" borderId="10" xfId="0" applyFont="1" applyBorder="1"/>
    <xf numFmtId="9" fontId="3" fillId="0" borderId="1" xfId="0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2" fontId="3" fillId="0" borderId="1" xfId="0" applyNumberFormat="1" applyFont="1" applyBorder="1"/>
    <xf numFmtId="9" fontId="3" fillId="0" borderId="0" xfId="1" applyFont="1"/>
    <xf numFmtId="166" fontId="3" fillId="0" borderId="1" xfId="0" applyNumberFormat="1" applyFont="1" applyBorder="1" applyAlignment="1">
      <alignment wrapText="1"/>
    </xf>
    <xf numFmtId="14" fontId="3" fillId="3" borderId="1" xfId="0" applyNumberFormat="1" applyFont="1" applyFill="1" applyBorder="1"/>
    <xf numFmtId="0" fontId="3" fillId="0" borderId="1" xfId="0" applyFont="1" applyBorder="1" applyAlignment="1">
      <alignment horizontal="center" wrapText="1"/>
    </xf>
    <xf numFmtId="166" fontId="4" fillId="0" borderId="1" xfId="0" applyNumberFormat="1" applyFont="1" applyBorder="1" applyAlignment="1">
      <alignment wrapText="1"/>
    </xf>
    <xf numFmtId="2" fontId="3" fillId="0" borderId="0" xfId="0" applyNumberFormat="1" applyFont="1"/>
    <xf numFmtId="9" fontId="0" fillId="0" borderId="0" xfId="1" applyFont="1" applyFill="1" applyBorder="1"/>
    <xf numFmtId="9" fontId="3" fillId="0" borderId="0" xfId="1" applyFont="1" applyFill="1" applyBorder="1"/>
    <xf numFmtId="9" fontId="3" fillId="0" borderId="0" xfId="0" applyNumberFormat="1" applyFont="1" applyAlignment="1">
      <alignment horizontal="center"/>
    </xf>
    <xf numFmtId="9" fontId="3" fillId="0" borderId="0" xfId="1" applyFont="1" applyFill="1" applyBorder="1" applyAlignment="1">
      <alignment horizontal="center"/>
    </xf>
    <xf numFmtId="2" fontId="4" fillId="0" borderId="1" xfId="0" applyNumberFormat="1" applyFont="1" applyBorder="1"/>
    <xf numFmtId="2" fontId="0" fillId="0" borderId="0" xfId="0" applyNumberFormat="1"/>
    <xf numFmtId="0" fontId="0" fillId="0" borderId="0" xfId="0" applyAlignment="1">
      <alignment wrapText="1"/>
    </xf>
    <xf numFmtId="0" fontId="16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17" fillId="2" borderId="9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3" fillId="0" borderId="5" xfId="0" applyFont="1" applyBorder="1"/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vertical="center" wrapText="1"/>
    </xf>
    <xf numFmtId="8" fontId="21" fillId="0" borderId="0" xfId="0" applyNumberFormat="1" applyFont="1" applyAlignment="1">
      <alignment vertical="center" wrapText="1"/>
    </xf>
    <xf numFmtId="167" fontId="4" fillId="0" borderId="1" xfId="0" applyNumberFormat="1" applyFont="1" applyBorder="1"/>
    <xf numFmtId="0" fontId="17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wrapText="1"/>
    </xf>
    <xf numFmtId="167" fontId="16" fillId="0" borderId="1" xfId="0" applyNumberFormat="1" applyFont="1" applyBorder="1"/>
    <xf numFmtId="0" fontId="4" fillId="0" borderId="0" xfId="0" applyFont="1" applyAlignment="1">
      <alignment horizontal="center" vertical="center" wrapText="1"/>
    </xf>
    <xf numFmtId="0" fontId="17" fillId="2" borderId="1" xfId="0" applyFont="1" applyFill="1" applyBorder="1"/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/>
    <xf numFmtId="2" fontId="12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0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0" borderId="0" xfId="1" applyNumberFormat="1" applyFont="1" applyFill="1" applyBorder="1"/>
    <xf numFmtId="10" fontId="16" fillId="0" borderId="0" xfId="0" applyNumberFormat="1" applyFont="1"/>
    <xf numFmtId="3" fontId="3" fillId="0" borderId="1" xfId="0" applyNumberFormat="1" applyFont="1" applyBorder="1"/>
    <xf numFmtId="0" fontId="0" fillId="0" borderId="1" xfId="0" applyBorder="1" applyAlignment="1">
      <alignment horizontal="left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4" formatCode="0.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C93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Year-over-Year</a:t>
            </a: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 Growth</a:t>
            </a:r>
            <a:r>
              <a:rPr lang="en-US" sz="16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in Revenue</a:t>
            </a:r>
            <a:endParaRPr lang="en-US" sz="16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6722627277784"/>
          <c:y val="0.22006962671332755"/>
          <c:w val="0.81934160088986108"/>
          <c:h val="0.61940470982793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Health and Trends'!$B$132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91A16E-B5F3-47C9-9843-B4941F44F0E0}" type="CELLRANGE">
                      <a:rPr lang="en-US"/>
                      <a:pPr>
                        <a:defRPr sz="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32F-4A2A-9D70-3296A3ABFB91}"/>
                </c:ext>
              </c:extLst>
            </c:dLbl>
            <c:dLbl>
              <c:idx val="1"/>
              <c:layout>
                <c:manualLayout>
                  <c:x val="3.0864205031642818E-3"/>
                  <c:y val="-1.388888888888897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BFBA179-27AC-4867-8456-542236862987}" type="CELLRANGE">
                      <a:rPr lang="en-US"/>
                      <a:pPr>
                        <a:defRPr sz="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32F-4A2A-9D70-3296A3ABFB91}"/>
                </c:ext>
              </c:extLst>
            </c:dLbl>
            <c:dLbl>
              <c:idx val="2"/>
              <c:layout>
                <c:manualLayout>
                  <c:x val="-2.8291861115678993E-17"/>
                  <c:y val="1.3888888888888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85A76C6-19F0-461E-9349-B70F7BA68827}" type="CELLRANGE">
                      <a:rPr lang="en-US"/>
                      <a:pPr>
                        <a:defRPr sz="800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32F-4A2A-9D70-3296A3ABF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617571B-5150-42D2-9567-1DBB79E1A5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2F-4A2A-9D70-3296A3ABF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7CF3001-8AB1-4D2E-B3A9-E44F4B732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2F-4A2A-9D70-3296A3ABF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018AD48-D079-4E65-9ADE-C9316281C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2F-4A2A-9D70-3296A3ABF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0D42121-61FA-4589-A52E-EE9D55B18F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2F-4A2A-9D70-3296A3ABF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1778A89-1765-45F3-A89C-D0BC660241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32F-4A2A-9D70-3296A3ABF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AE19909-7D65-4E09-A9FA-D2ED8CEB3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32F-4A2A-9D70-3296A3ABF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E1025E9-93D0-41F8-B59B-469B23460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32F-4A2A-9D70-3296A3ABF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1AB4A0-6F80-40AA-AC1F-7D8F40450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32F-4A2A-9D70-3296A3ABF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1AD5888-D2C0-40CF-A038-069A928AD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32F-4A2A-9D70-3296A3ABF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89D140-B53E-4A97-B436-AE0AF103D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32F-4A2A-9D70-3296A3ABF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454F69-293E-4BF2-AEB9-6A310078B5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32F-4A2A-9D70-3296A3ABF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EDE04A-72D7-4C3A-8E57-828F39816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32F-4A2A-9D70-3296A3ABF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'Financial Health and Trends'!$A$133:$A$147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Trends'!$B$133:$B$147</c:f>
              <c:numCache>
                <c:formatCode>General</c:formatCode>
                <c:ptCount val="15"/>
                <c:pt idx="0">
                  <c:v>111.943</c:v>
                </c:pt>
                <c:pt idx="1">
                  <c:v>116.744</c:v>
                </c:pt>
                <c:pt idx="2">
                  <c:v>204.24199999999999</c:v>
                </c:pt>
                <c:pt idx="3">
                  <c:v>413.25599999999997</c:v>
                </c:pt>
                <c:pt idx="4">
                  <c:v>2013.4960000000001</c:v>
                </c:pt>
                <c:pt idx="5">
                  <c:v>3198.3560000000002</c:v>
                </c:pt>
                <c:pt idx="6">
                  <c:v>4046.0250000000001</c:v>
                </c:pt>
                <c:pt idx="7">
                  <c:v>7000.1319999999996</c:v>
                </c:pt>
                <c:pt idx="8">
                  <c:v>11759</c:v>
                </c:pt>
                <c:pt idx="9">
                  <c:v>21461</c:v>
                </c:pt>
                <c:pt idx="10">
                  <c:v>24578</c:v>
                </c:pt>
                <c:pt idx="11">
                  <c:v>31536</c:v>
                </c:pt>
                <c:pt idx="12">
                  <c:v>53823</c:v>
                </c:pt>
                <c:pt idx="13">
                  <c:v>81462</c:v>
                </c:pt>
                <c:pt idx="14">
                  <c:v>96773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'Financial Health and Trends'!$B$251:$B$265</c15:f>
                <c15:dlblRangeCache>
                  <c:ptCount val="15"/>
                  <c:pt idx="0">
                    <c:v>0.1B</c:v>
                  </c:pt>
                  <c:pt idx="1">
                    <c:v>0.1B</c:v>
                  </c:pt>
                  <c:pt idx="2">
                    <c:v>0.2B</c:v>
                  </c:pt>
                  <c:pt idx="3">
                    <c:v>0.4B</c:v>
                  </c:pt>
                  <c:pt idx="4">
                    <c:v>2B</c:v>
                  </c:pt>
                  <c:pt idx="5">
                    <c:v>3B</c:v>
                  </c:pt>
                  <c:pt idx="6">
                    <c:v>4B</c:v>
                  </c:pt>
                  <c:pt idx="7">
                    <c:v>7B</c:v>
                  </c:pt>
                  <c:pt idx="8">
                    <c:v>11.7B</c:v>
                  </c:pt>
                  <c:pt idx="9">
                    <c:v>21B</c:v>
                  </c:pt>
                  <c:pt idx="10">
                    <c:v>24B</c:v>
                  </c:pt>
                  <c:pt idx="11">
                    <c:v>31.5B</c:v>
                  </c:pt>
                  <c:pt idx="12">
                    <c:v>53.8B</c:v>
                  </c:pt>
                  <c:pt idx="13">
                    <c:v>81 B</c:v>
                  </c:pt>
                  <c:pt idx="14">
                    <c:v>96.7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9B6-45C1-A1BC-5F28C2B309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2188528"/>
        <c:axId val="719271120"/>
      </c:barChart>
      <c:lineChart>
        <c:grouping val="standard"/>
        <c:varyColors val="0"/>
        <c:ser>
          <c:idx val="1"/>
          <c:order val="1"/>
          <c:tx>
            <c:strRef>
              <c:f>'Financial Health and Trends'!$C$132</c:f>
              <c:strCache>
                <c:ptCount val="1"/>
                <c:pt idx="0">
                  <c:v>Y-o-Y Growth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'Financial Health and Trends'!$A$133:$A$147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Trends'!$C$133:$C$147</c:f>
              <c:numCache>
                <c:formatCode>0%</c:formatCode>
                <c:ptCount val="15"/>
                <c:pt idx="1">
                  <c:v>4.2887898305387501E-2</c:v>
                </c:pt>
                <c:pt idx="2">
                  <c:v>0.74948605495785603</c:v>
                </c:pt>
                <c:pt idx="3">
                  <c:v>1.0233644402228728</c:v>
                </c:pt>
                <c:pt idx="4">
                  <c:v>3.8722728768608325</c:v>
                </c:pt>
                <c:pt idx="5">
                  <c:v>0.58845907814070697</c:v>
                </c:pt>
                <c:pt idx="6">
                  <c:v>0.26503272306147285</c:v>
                </c:pt>
                <c:pt idx="7">
                  <c:v>0.73012574069611524</c:v>
                </c:pt>
                <c:pt idx="8">
                  <c:v>0.67982546614835271</c:v>
                </c:pt>
                <c:pt idx="9">
                  <c:v>0.8250701590271281</c:v>
                </c:pt>
                <c:pt idx="10">
                  <c:v>0.14524020315921904</c:v>
                </c:pt>
                <c:pt idx="11">
                  <c:v>0.28309870615998101</c:v>
                </c:pt>
                <c:pt idx="12">
                  <c:v>0.70671613394216126</c:v>
                </c:pt>
                <c:pt idx="13">
                  <c:v>0.51351652639206291</c:v>
                </c:pt>
                <c:pt idx="1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6-45C1-A1BC-5F28C2B309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1865312"/>
        <c:axId val="719272112"/>
      </c:lineChart>
      <c:catAx>
        <c:axId val="19321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1120"/>
        <c:crosses val="autoZero"/>
        <c:auto val="1"/>
        <c:lblAlgn val="ctr"/>
        <c:lblOffset val="100"/>
        <c:noMultiLvlLbl val="0"/>
      </c:catAx>
      <c:valAx>
        <c:axId val="719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88528"/>
        <c:crosses val="autoZero"/>
        <c:crossBetween val="between"/>
      </c:valAx>
      <c:valAx>
        <c:axId val="719272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5312"/>
        <c:crosses val="max"/>
        <c:crossBetween val="between"/>
      </c:valAx>
      <c:catAx>
        <c:axId val="1931865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927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61643132507808"/>
          <c:y val="0.1209485272674249"/>
          <c:w val="0.4661498654004727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fla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</a:rPr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07109652720808E-2"/>
          <c:y val="0.16027087523150516"/>
          <c:w val="0.95598578069455842"/>
          <c:h val="0.6825514992444125"/>
        </c:manualLayout>
      </c:layout>
      <c:areaChart>
        <c:grouping val="stacked"/>
        <c:varyColors val="0"/>
        <c:ser>
          <c:idx val="0"/>
          <c:order val="0"/>
          <c:tx>
            <c:strRef>
              <c:f>'Financial Health and Trends'!$T$132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1.0937927262783699E-2"/>
                  <c:y val="-9.47448141992185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4E-4F9E-8EE6-876676608698}"/>
                </c:ext>
              </c:extLst>
            </c:dLbl>
            <c:dLbl>
              <c:idx val="14"/>
              <c:layout>
                <c:manualLayout>
                  <c:x val="-9.8441345365053324E-3"/>
                  <c:y val="-9.47448141992185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4E-4F9E-8EE6-8766766086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Trends'!$S$133:$S$147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Trends'!$T$133:$T$147</c:f>
              <c:numCache>
                <c:formatCode>0.00</c:formatCode>
                <c:ptCount val="15"/>
                <c:pt idx="0">
                  <c:v>1.75</c:v>
                </c:pt>
                <c:pt idx="1">
                  <c:v>2.76</c:v>
                </c:pt>
                <c:pt idx="2">
                  <c:v>1.95</c:v>
                </c:pt>
                <c:pt idx="3">
                  <c:v>0.97</c:v>
                </c:pt>
                <c:pt idx="4">
                  <c:v>1.88</c:v>
                </c:pt>
                <c:pt idx="5">
                  <c:v>1.51</c:v>
                </c:pt>
                <c:pt idx="6">
                  <c:v>0.99</c:v>
                </c:pt>
                <c:pt idx="7">
                  <c:v>1.07</c:v>
                </c:pt>
                <c:pt idx="8">
                  <c:v>0.86</c:v>
                </c:pt>
                <c:pt idx="9">
                  <c:v>0.83</c:v>
                </c:pt>
                <c:pt idx="10">
                  <c:v>1.1299999999999999</c:v>
                </c:pt>
                <c:pt idx="11">
                  <c:v>1.88</c:v>
                </c:pt>
                <c:pt idx="12">
                  <c:v>1.38</c:v>
                </c:pt>
                <c:pt idx="13">
                  <c:v>1.53</c:v>
                </c:pt>
                <c:pt idx="14">
                  <c:v>1.7259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E-4F9E-8EE6-876676608698}"/>
            </c:ext>
          </c:extLst>
        </c:ser>
        <c:ser>
          <c:idx val="1"/>
          <c:order val="1"/>
          <c:tx>
            <c:strRef>
              <c:f>'Financial Health and Trends'!$U$132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14"/>
              <c:layout>
                <c:manualLayout>
                  <c:x val="-9.844134536505332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4E-4F9E-8EE6-8766766086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Trends'!$S$133:$S$147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Trends'!$U$133:$U$147</c:f>
              <c:numCache>
                <c:formatCode>General</c:formatCode>
                <c:ptCount val="15"/>
                <c:pt idx="0">
                  <c:v>1.35</c:v>
                </c:pt>
                <c:pt idx="1">
                  <c:v>2.23</c:v>
                </c:pt>
                <c:pt idx="2">
                  <c:v>1.69</c:v>
                </c:pt>
                <c:pt idx="3">
                  <c:v>0.48</c:v>
                </c:pt>
                <c:pt idx="4">
                  <c:v>1.37</c:v>
                </c:pt>
                <c:pt idx="5">
                  <c:v>1.06</c:v>
                </c:pt>
                <c:pt idx="6">
                  <c:v>0.54</c:v>
                </c:pt>
                <c:pt idx="7">
                  <c:v>0.72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0.8</c:v>
                </c:pt>
                <c:pt idx="11">
                  <c:v>1.59</c:v>
                </c:pt>
                <c:pt idx="12">
                  <c:v>1.08</c:v>
                </c:pt>
                <c:pt idx="13">
                  <c:v>1.05</c:v>
                </c:pt>
                <c:pt idx="14" formatCode="0.00">
                  <c:v>1.2519131765688047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E-4F9E-8EE6-876676608698}"/>
            </c:ext>
          </c:extLst>
        </c:ser>
        <c:ser>
          <c:idx val="2"/>
          <c:order val="2"/>
          <c:tx>
            <c:strRef>
              <c:f>'Financial Health and Trends'!$V$132</c:f>
              <c:strCache>
                <c:ptCount val="1"/>
                <c:pt idx="0">
                  <c:v>Debt/Equity Ratio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A4E-4F9E-8EE6-876676608698}"/>
                </c:ext>
              </c:extLst>
            </c:dLbl>
            <c:dLbl>
              <c:idx val="1"/>
              <c:layout>
                <c:manualLayout>
                  <c:x val="-1.0026317499343062E-17"/>
                  <c:y val="-4.13436692506459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4E-4F9E-8EE6-876676608698}"/>
                </c:ext>
              </c:extLst>
            </c:dLbl>
            <c:dLbl>
              <c:idx val="11"/>
              <c:layout>
                <c:manualLayout>
                  <c:x val="0"/>
                  <c:y val="1.0335917312661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4E-4F9E-8EE6-876676608698}"/>
                </c:ext>
              </c:extLst>
            </c:dLbl>
            <c:dLbl>
              <c:idx val="12"/>
              <c:layout>
                <c:manualLayout>
                  <c:x val="0"/>
                  <c:y val="1.033591731266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4E-4F9E-8EE6-876676608698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A4E-4F9E-8EE6-876676608698}"/>
                </c:ext>
              </c:extLst>
            </c:dLbl>
            <c:dLbl>
              <c:idx val="14"/>
              <c:layout>
                <c:manualLayout>
                  <c:x val="-2.1875854525567405E-3"/>
                  <c:y val="-3.10077519379845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4E-4F9E-8EE6-8766766086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Trends'!$S$133:$S$147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Trends'!$V$133:$V$147</c:f>
              <c:numCache>
                <c:formatCode>General</c:formatCode>
                <c:ptCount val="15"/>
                <c:pt idx="0">
                  <c:v>0</c:v>
                </c:pt>
                <c:pt idx="1">
                  <c:v>0.35</c:v>
                </c:pt>
                <c:pt idx="2">
                  <c:v>1.25</c:v>
                </c:pt>
                <c:pt idx="3">
                  <c:v>3.74</c:v>
                </c:pt>
                <c:pt idx="4">
                  <c:v>0.91</c:v>
                </c:pt>
                <c:pt idx="5">
                  <c:v>2.73</c:v>
                </c:pt>
                <c:pt idx="6">
                  <c:v>2.4900000000000002</c:v>
                </c:pt>
                <c:pt idx="7">
                  <c:v>1.27</c:v>
                </c:pt>
                <c:pt idx="8">
                  <c:v>1.97</c:v>
                </c:pt>
                <c:pt idx="9">
                  <c:v>2.08</c:v>
                </c:pt>
                <c:pt idx="10">
                  <c:v>1.8</c:v>
                </c:pt>
                <c:pt idx="11">
                  <c:v>0.51</c:v>
                </c:pt>
                <c:pt idx="12">
                  <c:v>0.22</c:v>
                </c:pt>
                <c:pt idx="13">
                  <c:v>7.0000000000000007E-2</c:v>
                </c:pt>
                <c:pt idx="14" formatCode="0.00">
                  <c:v>8.2500000000000004E-2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E-4F9E-8EE6-8766766086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6709023"/>
        <c:axId val="571442287"/>
      </c:areaChart>
      <c:catAx>
        <c:axId val="706709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42287"/>
        <c:crosses val="autoZero"/>
        <c:auto val="1"/>
        <c:lblAlgn val="ctr"/>
        <c:lblOffset val="100"/>
        <c:noMultiLvlLbl val="0"/>
      </c:catAx>
      <c:valAx>
        <c:axId val="5714422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0670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49766277164489"/>
          <c:y val="6.524486764735804E-2"/>
          <c:w val="0.26633964847913294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>
                    <a:lumMod val="95000"/>
                    <a:lumOff val="5000"/>
                  </a:schemeClr>
                </a:solidFill>
              </a:rPr>
              <a:t>CAGR for Revenue</a:t>
            </a:r>
          </a:p>
        </c:rich>
      </c:tx>
      <c:layout>
        <c:manualLayout>
          <c:xMode val="edge"/>
          <c:yMode val="edge"/>
          <c:x val="0.61681469137844036"/>
          <c:y val="8.5626911314984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2778887291756"/>
          <c:y val="0.22685015290519878"/>
          <c:w val="0.82642514596822425"/>
          <c:h val="0.70587155963302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'Financial Health and Trends'!$K$132</c:f>
              <c:strCache>
                <c:ptCount val="1"/>
                <c:pt idx="0">
                  <c:v>CAGR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A4-4FC1-BEFC-031F8A726A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A4-4FC1-BEFC-031F8A726A2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2A4-4FC1-BEFC-031F8A726A28}"/>
              </c:ext>
            </c:extLst>
          </c:dPt>
          <c:dLbls>
            <c:dLbl>
              <c:idx val="0"/>
              <c:layout>
                <c:manualLayout>
                  <c:x val="-0.33234579522470836"/>
                  <c:y val="-6.11572635989308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A4-4FC1-BEFC-031F8A726A28}"/>
                </c:ext>
              </c:extLst>
            </c:dLbl>
            <c:dLbl>
              <c:idx val="1"/>
              <c:layout>
                <c:manualLayout>
                  <c:x val="-0.4577167474421109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A4-4FC1-BEFC-031F8A726A28}"/>
                </c:ext>
              </c:extLst>
            </c:dLbl>
            <c:dLbl>
              <c:idx val="2"/>
              <c:layout>
                <c:manualLayout>
                  <c:x val="-0.55204762571076027"/>
                  <c:y val="0"/>
                </c:manualLayout>
              </c:layout>
              <c:tx>
                <c:rich>
                  <a:bodyPr/>
                  <a:lstStyle/>
                  <a:p>
                    <a:fld id="{46903D9E-CDE7-4BB1-9BD0-CBA7FB5B4E70}" type="VALUE">
                      <a:rPr lang="en-US" sz="16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2A4-4FC1-BEFC-031F8A726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Health and Trends'!$J$133:$J$135</c:f>
              <c:strCache>
                <c:ptCount val="3"/>
                <c:pt idx="0">
                  <c:v>3Y 2021-23</c:v>
                </c:pt>
                <c:pt idx="1">
                  <c:v>5Y 2019-23</c:v>
                </c:pt>
                <c:pt idx="2">
                  <c:v>10Y 2014-23</c:v>
                </c:pt>
              </c:strCache>
            </c:strRef>
          </c:cat>
          <c:val>
            <c:numRef>
              <c:f>'Financial Health and Trends'!$K$133:$K$135</c:f>
              <c:numCache>
                <c:formatCode>0.00%</c:formatCode>
                <c:ptCount val="3"/>
                <c:pt idx="0">
                  <c:v>0.216</c:v>
                </c:pt>
                <c:pt idx="1">
                  <c:v>0.315</c:v>
                </c:pt>
                <c:pt idx="2">
                  <c:v>0.40600000000000003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4-4FC1-BEFC-031F8A726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13"/>
        <c:axId val="1749299056"/>
        <c:axId val="1370046960"/>
      </c:barChart>
      <c:catAx>
        <c:axId val="1749299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6960"/>
        <c:crosses val="autoZero"/>
        <c:auto val="1"/>
        <c:lblAlgn val="ctr"/>
        <c:lblOffset val="100"/>
        <c:noMultiLvlLbl val="0"/>
      </c:catAx>
      <c:valAx>
        <c:axId val="1370046960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7492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'Investment and Valuation'!$B$80</c:f>
              <c:strCache>
                <c:ptCount val="1"/>
                <c:pt idx="0">
                  <c:v>Free Cash Flow Per Share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'Investment and Valuation'!$A$81:$A$95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'Investment and Valuation'!$B$81:$B$95</c:f>
              <c:numCache>
                <c:formatCode>General</c:formatCode>
                <c:ptCount val="15"/>
                <c:pt idx="0">
                  <c:v>-0.88019999999999998</c:v>
                </c:pt>
                <c:pt idx="1">
                  <c:v>0.6593</c:v>
                </c:pt>
                <c:pt idx="2">
                  <c:v>1.35E-2</c:v>
                </c:pt>
                <c:pt idx="3">
                  <c:v>-0.105</c:v>
                </c:pt>
                <c:pt idx="4">
                  <c:v>0.31269999999999998</c:v>
                </c:pt>
                <c:pt idx="5">
                  <c:v>-0.55020000000000002</c:v>
                </c:pt>
                <c:pt idx="6">
                  <c:v>-0.57299999999999995</c:v>
                </c:pt>
                <c:pt idx="7">
                  <c:v>0.47360000000000002</c:v>
                </c:pt>
                <c:pt idx="8">
                  <c:v>-0.74670000000000003</c:v>
                </c:pt>
                <c:pt idx="9">
                  <c:v>1.3948</c:v>
                </c:pt>
                <c:pt idx="10">
                  <c:v>0.40629999999999999</c:v>
                </c:pt>
                <c:pt idx="11">
                  <c:v>0.45240000000000002</c:v>
                </c:pt>
                <c:pt idx="12">
                  <c:v>0.26090000000000002</c:v>
                </c:pt>
                <c:pt idx="13">
                  <c:v>1.3282</c:v>
                </c:pt>
                <c:pt idx="14">
                  <c:v>1.1960999999999999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FD5-AFEC-0FD69C43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7871"/>
        <c:axId val="1165591231"/>
      </c:scatterChart>
      <c:valAx>
        <c:axId val="9975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91231"/>
        <c:crosses val="autoZero"/>
        <c:crossBetween val="midCat"/>
      </c:valAx>
      <c:valAx>
        <c:axId val="11655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'Investment and Valuation'!$C$80</c:f>
              <c:strCache>
                <c:ptCount val="1"/>
                <c:pt idx="0">
                  <c:v>Price-to-free cash flow ratio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'Investment and Valuation'!$A$81:$A$95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'Investment and Valuation'!$C$81:$C$95</c:f>
              <c:numCache>
                <c:formatCode>General</c:formatCode>
                <c:ptCount val="15"/>
                <c:pt idx="0">
                  <c:v>0</c:v>
                </c:pt>
                <c:pt idx="1">
                  <c:v>2.6998331563779767</c:v>
                </c:pt>
                <c:pt idx="2">
                  <c:v>140.74074074074073</c:v>
                </c:pt>
                <c:pt idx="3">
                  <c:v>-21.523809523809522</c:v>
                </c:pt>
                <c:pt idx="4">
                  <c:v>32.075471698113205</c:v>
                </c:pt>
                <c:pt idx="5">
                  <c:v>-26.953834969102143</c:v>
                </c:pt>
                <c:pt idx="6">
                  <c:v>-27.923211169284471</c:v>
                </c:pt>
                <c:pt idx="7">
                  <c:v>30.088682432432432</c:v>
                </c:pt>
                <c:pt idx="8">
                  <c:v>-27.802330253113702</c:v>
                </c:pt>
                <c:pt idx="9">
                  <c:v>15.90909090909091</c:v>
                </c:pt>
                <c:pt idx="10">
                  <c:v>68.643859217327105</c:v>
                </c:pt>
                <c:pt idx="11">
                  <c:v>519.9381078691423</c:v>
                </c:pt>
                <c:pt idx="12">
                  <c:v>1350.1724798773475</c:v>
                </c:pt>
                <c:pt idx="13">
                  <c:v>92.74205691913869</c:v>
                </c:pt>
                <c:pt idx="14">
                  <c:v>-207.74182760638743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2-46D3-9AAE-468DDCDD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4511"/>
        <c:axId val="970531615"/>
      </c:scatterChart>
      <c:valAx>
        <c:axId val="99755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531615"/>
        <c:crosses val="autoZero"/>
        <c:crossBetween val="midCat"/>
      </c:valAx>
      <c:valAx>
        <c:axId val="9705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5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 </a:t>
            </a:r>
            <a:r>
              <a:rPr lang="en-US" sz="1600" b="1" i="0" u="none" strike="noStrike" baseline="0">
                <a:effectLst/>
              </a:rPr>
              <a:t>Financial Metrics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'Investment and Valuation'!$AY$80</c:f>
              <c:strCache>
                <c:ptCount val="1"/>
                <c:pt idx="0">
                  <c:v>Revenue $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B8737AF-5EFB-4124-ABBB-60180D32E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E0-4B34-ABD7-E83199A6C7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35C383-963B-49FB-A685-B953B4052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E0-4B34-ABD7-E83199A6C7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E99A7D-3E4A-4CD4-BB9E-93267822E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4E0-4B34-ABD7-E83199A6C7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FA9268F-C5B0-4544-8104-B702DE9A7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4E0-4B34-ABD7-E83199A6C7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B65305-F733-4D78-8793-EE7E3BB4A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4E0-4B34-ABD7-E83199A6C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Valuation'!$AY$81:$AY$85</c:f>
              <c:numCache>
                <c:formatCode>General</c:formatCode>
                <c:ptCount val="5"/>
                <c:pt idx="0">
                  <c:v>161610.91</c:v>
                </c:pt>
                <c:pt idx="1">
                  <c:v>269890.21970000002</c:v>
                </c:pt>
                <c:pt idx="2">
                  <c:v>450716.666899</c:v>
                </c:pt>
                <c:pt idx="3">
                  <c:v>752696.83372132992</c:v>
                </c:pt>
                <c:pt idx="4">
                  <c:v>1257003.7123146208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Valuation'!$AY$92:$AY$96</c15:f>
                <c15:dlblRangeCache>
                  <c:ptCount val="5"/>
                  <c:pt idx="0">
                    <c:v>$161.1 B</c:v>
                  </c:pt>
                  <c:pt idx="1">
                    <c:v>$269.8 B</c:v>
                  </c:pt>
                  <c:pt idx="2">
                    <c:v>$450.7 B</c:v>
                  </c:pt>
                  <c:pt idx="3">
                    <c:v>$752.6 B</c:v>
                  </c:pt>
                  <c:pt idx="4">
                    <c:v>$1.2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44E0-4B34-ABD7-E83199A6C7C7}"/>
            </c:ext>
          </c:extLst>
        </c:ser>
        <c:ser>
          <c:idx val="1"/>
          <c:order val="1"/>
          <c:tx>
            <c:strRef>
              <c:f>'Investment and Valuation'!$AZ$80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806F2B-0AC6-44DF-9125-335E5F372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4E0-4B34-ABD7-E83199A6C7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2D715-DFCA-4A58-9ED7-5EC1B4CCD7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E0-4B34-ABD7-E83199A6C7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577955-36F8-4744-B3AF-C19175C7E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E0-4B34-ABD7-E83199A6C7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2995A2-2A9D-4C51-8A3C-10232E55F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E0-4B34-ABD7-E83199A6C7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35B0F3-31C0-4D51-AC89-D1BB9DB20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4E0-4B34-ABD7-E83199A6C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Valuation'!$AZ$81:$AZ$85</c:f>
              <c:numCache>
                <c:formatCode>General</c:formatCode>
                <c:ptCount val="5"/>
                <c:pt idx="0">
                  <c:v>24748.35</c:v>
                </c:pt>
                <c:pt idx="1">
                  <c:v>40834.777499999997</c:v>
                </c:pt>
                <c:pt idx="2">
                  <c:v>67377.382874999996</c:v>
                </c:pt>
                <c:pt idx="3">
                  <c:v>111172.68174374998</c:v>
                </c:pt>
                <c:pt idx="4">
                  <c:v>183434.92487718747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Valuation'!$AZ$92:$AZ$96</c15:f>
                <c15:dlblRangeCache>
                  <c:ptCount val="5"/>
                  <c:pt idx="0">
                    <c:v>$24 B</c:v>
                  </c:pt>
                  <c:pt idx="1">
                    <c:v>$40.8 B</c:v>
                  </c:pt>
                  <c:pt idx="2">
                    <c:v>$67 B</c:v>
                  </c:pt>
                  <c:pt idx="3">
                    <c:v>$111 B</c:v>
                  </c:pt>
                  <c:pt idx="4">
                    <c:v>$183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4E0-4B34-ABD7-E83199A6C7C7}"/>
            </c:ext>
          </c:extLst>
        </c:ser>
        <c:ser>
          <c:idx val="2"/>
          <c:order val="2"/>
          <c:tx>
            <c:strRef>
              <c:f>'Investment and Valuation'!$BA$80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49D0152-10CA-410D-BDE0-7314C27BEC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4E0-4B34-ABD7-E83199A6C7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5CEB76-9BF1-42E6-9E24-E0C633D31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4E0-4B34-ABD7-E83199A6C7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B9ECF7-E776-4C42-A135-A0A1D53A3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4E0-4B34-ABD7-E83199A6C7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38CAF5-5DB8-4886-92B9-25D6B5C44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4E0-4B34-ABD7-E83199A6C7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18BA4B-F6B8-4398-BE18-94DEAFB12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4E0-4B34-ABD7-E83199A6C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Valuation'!$BA$81:$BA$85</c:f>
              <c:numCache>
                <c:formatCode>General</c:formatCode>
                <c:ptCount val="5"/>
                <c:pt idx="0">
                  <c:v>124440.4007</c:v>
                </c:pt>
                <c:pt idx="1">
                  <c:v>207815.46916900002</c:v>
                </c:pt>
                <c:pt idx="2">
                  <c:v>347051.83351223002</c:v>
                </c:pt>
                <c:pt idx="3">
                  <c:v>579576.5619654241</c:v>
                </c:pt>
                <c:pt idx="4">
                  <c:v>967892.85848225805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Valuation'!$BA$92:$BA$96</c15:f>
                <c15:dlblRangeCache>
                  <c:ptCount val="5"/>
                  <c:pt idx="0">
                    <c:v>$124 B</c:v>
                  </c:pt>
                  <c:pt idx="1">
                    <c:v>$207 B</c:v>
                  </c:pt>
                  <c:pt idx="2">
                    <c:v>$347 B</c:v>
                  </c:pt>
                  <c:pt idx="3">
                    <c:v>$579 B</c:v>
                  </c:pt>
                  <c:pt idx="4">
                    <c:v>$967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4E0-4B34-ABD7-E83199A6C7C7}"/>
            </c:ext>
          </c:extLst>
        </c:ser>
        <c:ser>
          <c:idx val="3"/>
          <c:order val="3"/>
          <c:tx>
            <c:strRef>
              <c:f>'Investment and Valuation'!$BB$80</c:f>
              <c:strCache>
                <c:ptCount val="1"/>
                <c:pt idx="0">
                  <c:v>Operating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584B0F1-30DA-45B9-8186-96354BA02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4E0-4B34-ABD7-E83199A6C7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BA1540-CC07-4584-84F7-2052188FA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4E0-4B34-ABD7-E83199A6C7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E70773-7934-4F4E-80A9-58380804F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4E0-4B34-ABD7-E83199A6C7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E680FB-EFEB-44F5-B3C3-D136C13CB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4E0-4B34-ABD7-E83199A6C7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0FE0F4-7CF3-44CA-A4E1-9108855E2E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4E0-4B34-ABD7-E83199A6C7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Valuation'!$BB$81:$BB$85</c:f>
              <c:numCache>
                <c:formatCode>0.0</c:formatCode>
                <c:ptCount val="5"/>
                <c:pt idx="0">
                  <c:v>9723.9936605831826</c:v>
                </c:pt>
                <c:pt idx="1">
                  <c:v>10142.7492014496</c:v>
                </c:pt>
                <c:pt idx="2">
                  <c:v>10817.871433414588</c:v>
                </c:pt>
                <c:pt idx="3">
                  <c:v>11736.65716672208</c:v>
                </c:pt>
                <c:pt idx="4">
                  <c:v>12659.301652130824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Valuation'!$BB$92:$BB$96</c15:f>
                <c15:dlblRangeCache>
                  <c:ptCount val="5"/>
                  <c:pt idx="0">
                    <c:v>$9.7 B</c:v>
                  </c:pt>
                  <c:pt idx="1">
                    <c:v>$10 B</c:v>
                  </c:pt>
                  <c:pt idx="2">
                    <c:v>$10.8 B</c:v>
                  </c:pt>
                  <c:pt idx="3">
                    <c:v>$11.7 B</c:v>
                  </c:pt>
                  <c:pt idx="4">
                    <c:v>$12.6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44E0-4B34-ABD7-E83199A6C7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34239503"/>
        <c:axId val="1866386911"/>
      </c:barChart>
      <c:catAx>
        <c:axId val="18342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86911"/>
        <c:crosses val="autoZero"/>
        <c:auto val="1"/>
        <c:lblAlgn val="ctr"/>
        <c:lblOffset val="100"/>
        <c:noMultiLvlLbl val="0"/>
      </c:catAx>
      <c:valAx>
        <c:axId val="18663869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42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Forecast </a:t>
            </a:r>
            <a:r>
              <a:rPr lang="en-US" b="1" i="0">
                <a:effectLst/>
              </a:rPr>
              <a:t>Cash Flow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'Investment and Valuation'!$BC$80</c:f>
              <c:strCache>
                <c:ptCount val="1"/>
                <c:pt idx="0">
                  <c:v>Free Cash Flow Per Share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Valuation'!$BC$81:$BC$85</c:f>
              <c:numCache>
                <c:formatCode>0.0</c:formatCode>
                <c:ptCount val="5"/>
                <c:pt idx="0">
                  <c:v>0.90289999999998827</c:v>
                </c:pt>
                <c:pt idx="1">
                  <c:v>1.1276857142857182</c:v>
                </c:pt>
                <c:pt idx="2">
                  <c:v>1.2951178963893142</c:v>
                </c:pt>
                <c:pt idx="3">
                  <c:v>1.4528212827988227</c:v>
                </c:pt>
                <c:pt idx="4">
                  <c:v>1.6828668050047781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6-48DD-8D39-FC3F40276CDA}"/>
            </c:ext>
          </c:extLst>
        </c:ser>
        <c:ser>
          <c:idx val="1"/>
          <c:order val="1"/>
          <c:tx>
            <c:strRef>
              <c:f>'Investment and Valuation'!$BD$80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Valuation'!$BD$81:$BD$85</c:f>
              <c:numCache>
                <c:formatCode>0.0</c:formatCode>
                <c:ptCount val="5"/>
                <c:pt idx="0" formatCode="General">
                  <c:v>132.5</c:v>
                </c:pt>
                <c:pt idx="1">
                  <c:v>66.25</c:v>
                </c:pt>
                <c:pt idx="2">
                  <c:v>33.125</c:v>
                </c:pt>
                <c:pt idx="3">
                  <c:v>16.5625</c:v>
                </c:pt>
                <c:pt idx="4">
                  <c:v>8.28125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8DD-8D39-FC3F40276CDA}"/>
            </c:ext>
          </c:extLst>
        </c:ser>
        <c:ser>
          <c:idx val="2"/>
          <c:order val="2"/>
          <c:tx>
            <c:strRef>
              <c:f>'Investment and Valuation'!$BE$80</c:f>
              <c:strCache>
                <c:ptCount val="1"/>
                <c:pt idx="0">
                  <c:v>ROE - Return on Equity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Valuation'!$BE$81:$BE$85</c:f>
              <c:numCache>
                <c:formatCode>0.0</c:formatCode>
                <c:ptCount val="5"/>
                <c:pt idx="0">
                  <c:v>62.788602679673069</c:v>
                </c:pt>
                <c:pt idx="1">
                  <c:v>104.76755684009829</c:v>
                </c:pt>
                <c:pt idx="2">
                  <c:v>115.18551687468803</c:v>
                </c:pt>
                <c:pt idx="3">
                  <c:v>138.14290936794339</c:v>
                </c:pt>
                <c:pt idx="4">
                  <c:v>165.10238584083052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8DD-8D39-FC3F40276CDA}"/>
            </c:ext>
          </c:extLst>
        </c:ser>
        <c:ser>
          <c:idx val="3"/>
          <c:order val="3"/>
          <c:tx>
            <c:strRef>
              <c:f>'Investment and Valuation'!$BF$80</c:f>
              <c:strCache>
                <c:ptCount val="1"/>
                <c:pt idx="0">
                  <c:v>Debt/Equity Ratio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Valuation'!$AX$81:$AX$85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Valuation'!$BF$81:$BF$85</c:f>
              <c:numCache>
                <c:formatCode>0.00</c:formatCode>
                <c:ptCount val="5"/>
                <c:pt idx="0">
                  <c:v>0.46439230769229312</c:v>
                </c:pt>
                <c:pt idx="1">
                  <c:v>1.6994505494494661E-2</c:v>
                </c:pt>
                <c:pt idx="2">
                  <c:v>-0.40379032725519437</c:v>
                </c:pt>
                <c:pt idx="3">
                  <c:v>-0.46600141459799715</c:v>
                </c:pt>
                <c:pt idx="4">
                  <c:v>-0.90734236226114717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8DD-8D39-FC3F40276C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305615"/>
        <c:axId val="1823182415"/>
      </c:barChart>
      <c:catAx>
        <c:axId val="18233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82415"/>
        <c:crosses val="autoZero"/>
        <c:auto val="1"/>
        <c:lblAlgn val="ctr"/>
        <c:lblOffset val="100"/>
        <c:noMultiLvlLbl val="0"/>
      </c:catAx>
      <c:valAx>
        <c:axId val="182318241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82330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Present Value of Forecasted </a:t>
            </a:r>
            <a:r>
              <a:rPr lang="en-US" sz="1600" b="1" i="0" u="none" strike="noStrike" baseline="0">
                <a:effectLst/>
              </a:rPr>
              <a:t>Financial Metrics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'Investment and Valuation'!$G$104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4E2801A-7A7D-4F10-B6AC-FBCC03F12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30-4027-9CA3-5C308E3548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8CA6FC-4B5C-47EE-AA4A-FD6C555F9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30-4027-9CA3-5C308E3548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F7BABF-B953-425A-881C-16448C9EC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30-4027-9CA3-5C308E3548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9219ED-12DB-4374-8A22-1656C0CAB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30-4027-9CA3-5C308E3548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681DBD-2CBB-48F9-974F-F9E75371E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30-4027-9CA3-5C308E354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Valuation'!$G$105:$G$109</c:f>
              <c:numCache>
                <c:formatCode>General</c:formatCode>
                <c:ptCount val="5"/>
                <c:pt idx="0">
                  <c:v>140865.28692584025</c:v>
                </c:pt>
                <c:pt idx="1">
                  <c:v>204788.74643598273</c:v>
                </c:pt>
                <c:pt idx="2">
                  <c:v>297513.90990232775</c:v>
                </c:pt>
                <c:pt idx="3">
                  <c:v>431980.12543108972</c:v>
                </c:pt>
                <c:pt idx="4">
                  <c:v>627104.59345676831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Valuation'!$AY$103:$AY$107</c15:f>
                <c15:dlblRangeCache>
                  <c:ptCount val="5"/>
                  <c:pt idx="0">
                    <c:v>140.8 B</c:v>
                  </c:pt>
                  <c:pt idx="1">
                    <c:v>204.7 B</c:v>
                  </c:pt>
                  <c:pt idx="2">
                    <c:v>297.5 B</c:v>
                  </c:pt>
                  <c:pt idx="3">
                    <c:v>431.9 B</c:v>
                  </c:pt>
                  <c:pt idx="4">
                    <c:v>627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C30-4027-9CA3-5C308E354841}"/>
            </c:ext>
          </c:extLst>
        </c:ser>
        <c:ser>
          <c:idx val="1"/>
          <c:order val="1"/>
          <c:tx>
            <c:strRef>
              <c:f>'Investment and Valuation'!$H$104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A112066-2842-48CC-91B8-5C163E8FC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C30-4027-9CA3-5C308E3548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D87753-12DA-4C71-BD03-551044A89D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C30-4027-9CA3-5C308E3548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A7AD09-1492-460D-89E1-68B46A806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30-4027-9CA3-5C308E3548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2902CB1-85E1-49A5-9698-1BFB96CEE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30-4027-9CA3-5C308E3548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1A13F7-68C1-4B7C-9F2B-99A6AA8E3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C30-4027-9CA3-5C308E354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Valuation'!$H$105:$H$109</c:f>
              <c:numCache>
                <c:formatCode>General</c:formatCode>
                <c:ptCount val="5"/>
                <c:pt idx="0">
                  <c:v>21571.460885228098</c:v>
                </c:pt>
                <c:pt idx="1">
                  <c:v>30984.831182518286</c:v>
                </c:pt>
                <c:pt idx="2">
                  <c:v>44475.188273034029</c:v>
                </c:pt>
                <c:pt idx="3">
                  <c:v>63803.096881307931</c:v>
                </c:pt>
                <c:pt idx="4">
                  <c:v>91513.559477928895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Valuation'!$AZ$103:$AZ$107</c15:f>
                <c15:dlblRangeCache>
                  <c:ptCount val="5"/>
                  <c:pt idx="0">
                    <c:v>21.5 B</c:v>
                  </c:pt>
                  <c:pt idx="1">
                    <c:v>30.9 B</c:v>
                  </c:pt>
                  <c:pt idx="2">
                    <c:v>44 B</c:v>
                  </c:pt>
                  <c:pt idx="3">
                    <c:v>63.8 B</c:v>
                  </c:pt>
                  <c:pt idx="4">
                    <c:v>91.5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8C30-4027-9CA3-5C308E354841}"/>
            </c:ext>
          </c:extLst>
        </c:ser>
        <c:ser>
          <c:idx val="2"/>
          <c:order val="2"/>
          <c:tx>
            <c:strRef>
              <c:f>'Investment and Valuation'!$I$104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41DDA6-7525-410A-8798-1939F70D6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C30-4027-9CA3-5C308E3548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3249E8-A66B-4331-A8DC-219A97BBFD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C30-4027-9CA3-5C308E3548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831293-D4B9-4ABB-B2A4-5F35B14D3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C30-4027-9CA3-5C308E3548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B3A1D8-B493-4A8D-89AD-5FE28153C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C30-4027-9CA3-5C308E3548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71718A-37FA-4E6B-8E62-35E8E1ACDD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C30-4027-9CA3-5C308E354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Valuation'!$I$105:$I$109</c:f>
              <c:numCache>
                <c:formatCode>General</c:formatCode>
                <c:ptCount val="5"/>
                <c:pt idx="0">
                  <c:v>108466.27093289699</c:v>
                </c:pt>
                <c:pt idx="1">
                  <c:v>157687.33475570669</c:v>
                </c:pt>
                <c:pt idx="2">
                  <c:v>229085.71062479241</c:v>
                </c:pt>
                <c:pt idx="3">
                  <c:v>332624.69658193912</c:v>
                </c:pt>
                <c:pt idx="4">
                  <c:v>482870.53696171159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Valuation'!$BA$103:$BA$107</c15:f>
                <c15:dlblRangeCache>
                  <c:ptCount val="5"/>
                  <c:pt idx="0">
                    <c:v>108 B</c:v>
                  </c:pt>
                  <c:pt idx="1">
                    <c:v>157 B</c:v>
                  </c:pt>
                  <c:pt idx="2">
                    <c:v>229 B</c:v>
                  </c:pt>
                  <c:pt idx="3">
                    <c:v>332 B</c:v>
                  </c:pt>
                  <c:pt idx="4">
                    <c:v>483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C30-4027-9CA3-5C308E354841}"/>
            </c:ext>
          </c:extLst>
        </c:ser>
        <c:ser>
          <c:idx val="3"/>
          <c:order val="3"/>
          <c:tx>
            <c:strRef>
              <c:f>'Investment and Valuation'!$J$104</c:f>
              <c:strCache>
                <c:ptCount val="1"/>
                <c:pt idx="0">
                  <c:v>Operating Expenses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167775-85B7-4041-A77F-5EA5B7414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C30-4027-9CA3-5C308E3548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C81DCF-B6DB-4CA0-98EA-6073A168DB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C30-4027-9CA3-5C308E3548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F66A39-246C-40AF-A67B-A3726EF724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C30-4027-9CA3-5C308E3548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FA3F2F6-1571-4961-A8F2-1BCF249F6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C30-4027-9CA3-5C308E3548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2F34F3-957D-4CFB-9D42-A4EECDEAC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C30-4027-9CA3-5C308E354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Valuation'!$J$105:$J$109</c:f>
              <c:numCache>
                <c:formatCode>0.00</c:formatCode>
                <c:ptCount val="5"/>
                <c:pt idx="0">
                  <c:v>8475.7468234236276</c:v>
                </c:pt>
                <c:pt idx="1">
                  <c:v>7696.1695636406157</c:v>
                </c:pt>
                <c:pt idx="2">
                  <c:v>7140.7770409721543</c:v>
                </c:pt>
                <c:pt idx="3">
                  <c:v>6735.7831305815798</c:v>
                </c:pt>
                <c:pt idx="4">
                  <c:v>6315.5789742163333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'Investment and Valuation'!$BB$103:$BB$107</c15:f>
                <c15:dlblRangeCache>
                  <c:ptCount val="5"/>
                  <c:pt idx="0">
                    <c:v>8 B</c:v>
                  </c:pt>
                  <c:pt idx="1">
                    <c:v>7.6 B</c:v>
                  </c:pt>
                  <c:pt idx="2">
                    <c:v>7 B</c:v>
                  </c:pt>
                  <c:pt idx="3">
                    <c:v>6.7 B</c:v>
                  </c:pt>
                  <c:pt idx="4">
                    <c:v>6.3 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8C30-4027-9CA3-5C308E3548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306575"/>
        <c:axId val="1866392863"/>
      </c:barChart>
      <c:catAx>
        <c:axId val="18233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92863"/>
        <c:crosses val="autoZero"/>
        <c:auto val="1"/>
        <c:lblAlgn val="ctr"/>
        <c:lblOffset val="100"/>
        <c:noMultiLvlLbl val="0"/>
      </c:catAx>
      <c:valAx>
        <c:axId val="1866392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33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Present Value of Forecasted  Cash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'Investment and Valuation'!$K$104</c:f>
              <c:strCache>
                <c:ptCount val="1"/>
                <c:pt idx="0">
                  <c:v>FCF/ Share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Valuation'!$K$105:$K$109</c:f>
              <c:numCache>
                <c:formatCode>0.00</c:formatCode>
                <c:ptCount val="5"/>
                <c:pt idx="0">
                  <c:v>0.7869967910293898</c:v>
                </c:pt>
                <c:pt idx="1">
                  <c:v>0.85567140617040294</c:v>
                </c:pt>
                <c:pt idx="2">
                  <c:v>0.85489536428793111</c:v>
                </c:pt>
                <c:pt idx="3">
                  <c:v>0.83378844158223742</c:v>
                </c:pt>
                <c:pt idx="4">
                  <c:v>0.8395627580535483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3-43EF-9293-F3963E5C0B2B}"/>
            </c:ext>
          </c:extLst>
        </c:ser>
        <c:ser>
          <c:idx val="1"/>
          <c:order val="1"/>
          <c:tx>
            <c:strRef>
              <c:f>'Investment and Valuation'!$L$104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Valuation'!$L$105:$L$109</c:f>
              <c:numCache>
                <c:formatCode>0.00</c:formatCode>
                <c:ptCount val="5"/>
                <c:pt idx="0">
                  <c:v>115.491277895</c:v>
                </c:pt>
                <c:pt idx="1">
                  <c:v>50.269529835</c:v>
                </c:pt>
                <c:pt idx="2">
                  <c:v>21.865506623750001</c:v>
                </c:pt>
                <c:pt idx="3">
                  <c:v>9.5053818574999998</c:v>
                </c:pt>
                <c:pt idx="4">
                  <c:v>4.1314197115624998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3-43EF-9293-F3963E5C0B2B}"/>
            </c:ext>
          </c:extLst>
        </c:ser>
        <c:ser>
          <c:idx val="2"/>
          <c:order val="2"/>
          <c:tx>
            <c:strRef>
              <c:f>'Investment and Valuation'!$M$104</c:f>
              <c:strCache>
                <c:ptCount val="1"/>
                <c:pt idx="0">
                  <c:v>ROE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Valuation'!$M$105:$M$109</c:f>
              <c:numCache>
                <c:formatCode>0.00</c:formatCode>
                <c:ptCount val="5"/>
                <c:pt idx="0">
                  <c:v>54.72857328842916</c:v>
                </c:pt>
                <c:pt idx="1">
                  <c:v>79.496087914164221</c:v>
                </c:pt>
                <c:pt idx="2">
                  <c:v>76.032896065918763</c:v>
                </c:pt>
                <c:pt idx="3">
                  <c:v>79.28157611763416</c:v>
                </c:pt>
                <c:pt idx="4">
                  <c:v>82.367668080157543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3-43EF-9293-F3963E5C0B2B}"/>
            </c:ext>
          </c:extLst>
        </c:ser>
        <c:ser>
          <c:idx val="3"/>
          <c:order val="3"/>
          <c:tx>
            <c:strRef>
              <c:f>'Investment and Valuation'!$N$104</c:f>
              <c:strCache>
                <c:ptCount val="1"/>
                <c:pt idx="0">
                  <c:v>Debt/Equity Ratio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'Investment and Valuation'!$F$105:$F$109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'Investment and Valuation'!$N$105:$N$109</c:f>
              <c:numCache>
                <c:formatCode>0.00</c:formatCode>
                <c:ptCount val="5"/>
                <c:pt idx="0">
                  <c:v>0.40477932875464884</c:v>
                </c:pt>
                <c:pt idx="1">
                  <c:v>1.2895181901684087E-2</c:v>
                </c:pt>
                <c:pt idx="2">
                  <c:v>-0.26653826642127193</c:v>
                </c:pt>
                <c:pt idx="3">
                  <c:v>-0.26744280101972151</c:v>
                </c:pt>
                <c:pt idx="4">
                  <c:v>-0.45266259569284661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3-43EF-9293-F3963E5C0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4333647"/>
        <c:axId val="1904035727"/>
      </c:barChart>
      <c:catAx>
        <c:axId val="18243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35727"/>
        <c:crosses val="autoZero"/>
        <c:auto val="1"/>
        <c:lblAlgn val="ctr"/>
        <c:lblOffset val="100"/>
        <c:noMultiLvlLbl val="0"/>
      </c:catAx>
      <c:valAx>
        <c:axId val="190403572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43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Cost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190100052659294E-2"/>
          <c:y val="4.0427123836815883E-2"/>
          <c:w val="0.95761979989468138"/>
          <c:h val="0.85867668264749053"/>
        </c:manualLayout>
      </c:layout>
      <c:areaChart>
        <c:grouping val="stacked"/>
        <c:varyColors val="0"/>
        <c:ser>
          <c:idx val="0"/>
          <c:order val="0"/>
          <c:tx>
            <c:strRef>
              <c:f>'Cost Analysis'!$G$60</c:f>
              <c:strCache>
                <c:ptCount val="1"/>
                <c:pt idx="0">
                  <c:v>COGS% of Revenue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912960306073648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F3-4BA7-B9E0-E50813134B1F}"/>
                </c:ext>
              </c:extLst>
            </c:dLbl>
            <c:dLbl>
              <c:idx val="13"/>
              <c:layout>
                <c:manualLayout>
                  <c:x val="-7.6518412242947359E-3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7F3-4BA7-B9E0-E50813134B1F}"/>
                </c:ext>
              </c:extLst>
            </c:dLbl>
            <c:dLbl>
              <c:idx val="14"/>
              <c:layout>
                <c:manualLayout>
                  <c:x val="-1.72166427546629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7F3-4BA7-B9E0-E50813134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Analysis'!$F$61:$F$75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'Cost Analysis'!$G$61:$G$75</c:f>
              <c:numCache>
                <c:formatCode>0%</c:formatCode>
                <c:ptCount val="15"/>
                <c:pt idx="0">
                  <c:v>0.91482272227830241</c:v>
                </c:pt>
                <c:pt idx="1">
                  <c:v>0.73676591516480505</c:v>
                </c:pt>
                <c:pt idx="2">
                  <c:v>0.69842148040070107</c:v>
                </c:pt>
                <c:pt idx="3">
                  <c:v>0.92724364558530314</c:v>
                </c:pt>
                <c:pt idx="4">
                  <c:v>0.77339810955671129</c:v>
                </c:pt>
                <c:pt idx="5">
                  <c:v>0.72433619021772433</c:v>
                </c:pt>
                <c:pt idx="6">
                  <c:v>0.77175054528827669</c:v>
                </c:pt>
                <c:pt idx="7">
                  <c:v>0.77153902240700611</c:v>
                </c:pt>
                <c:pt idx="8">
                  <c:v>0.81095331235649293</c:v>
                </c:pt>
                <c:pt idx="9">
                  <c:v>0.81165835701971012</c:v>
                </c:pt>
                <c:pt idx="10">
                  <c:v>0.83444543901049717</c:v>
                </c:pt>
                <c:pt idx="11">
                  <c:v>0.7897640791476408</c:v>
                </c:pt>
                <c:pt idx="12">
                  <c:v>0.74720844248741203</c:v>
                </c:pt>
                <c:pt idx="13">
                  <c:v>0.74401561464240995</c:v>
                </c:pt>
                <c:pt idx="14">
                  <c:v>0.81751108263668582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3-4BA7-B9E0-E50813134B1F}"/>
            </c:ext>
          </c:extLst>
        </c:ser>
        <c:ser>
          <c:idx val="1"/>
          <c:order val="1"/>
          <c:tx>
            <c:strRef>
              <c:f>'Cost Analysis'!$H$60</c:f>
              <c:strCache>
                <c:ptCount val="1"/>
                <c:pt idx="0">
                  <c:v>R&amp;D Expenses % of 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21664275466284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F3-4BA7-B9E0-E50813134B1F}"/>
                </c:ext>
              </c:extLst>
            </c:dLbl>
            <c:dLbl>
              <c:idx val="14"/>
              <c:layout>
                <c:manualLayout>
                  <c:x val="-1.3390722142515544E-2"/>
                  <c:y val="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F3-4BA7-B9E0-E50813134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Analysis'!$F$61:$F$75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'Cost Analysis'!$H$61:$H$75</c:f>
              <c:numCache>
                <c:formatCode>0%</c:formatCode>
                <c:ptCount val="15"/>
                <c:pt idx="0">
                  <c:v>0.17224837640584942</c:v>
                </c:pt>
                <c:pt idx="1">
                  <c:v>0.79658055231960523</c:v>
                </c:pt>
                <c:pt idx="2">
                  <c:v>1.0232028671869644</c:v>
                </c:pt>
                <c:pt idx="3">
                  <c:v>0.66297404030431506</c:v>
                </c:pt>
                <c:pt idx="4">
                  <c:v>0.11521055914687688</c:v>
                </c:pt>
                <c:pt idx="5">
                  <c:v>0.14529339448141482</c:v>
                </c:pt>
                <c:pt idx="6">
                  <c:v>0.17743340686229075</c:v>
                </c:pt>
                <c:pt idx="7">
                  <c:v>0.11919889510654944</c:v>
                </c:pt>
                <c:pt idx="8">
                  <c:v>0.1171868356152734</c:v>
                </c:pt>
                <c:pt idx="9">
                  <c:v>6.8030380690554962E-2</c:v>
                </c:pt>
                <c:pt idx="10">
                  <c:v>5.4642363088941333E-2</c:v>
                </c:pt>
                <c:pt idx="11">
                  <c:v>4.7279299847792999E-2</c:v>
                </c:pt>
                <c:pt idx="12">
                  <c:v>4.817643015067908E-2</c:v>
                </c:pt>
                <c:pt idx="13">
                  <c:v>3.7747661486337188E-2</c:v>
                </c:pt>
                <c:pt idx="14">
                  <c:v>4.1013505833238609E-2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3-4BA7-B9E0-E50813134B1F}"/>
            </c:ext>
          </c:extLst>
        </c:ser>
        <c:ser>
          <c:idx val="2"/>
          <c:order val="2"/>
          <c:tx>
            <c:strRef>
              <c:f>'Cost Analysis'!$I$60</c:f>
              <c:strCache>
                <c:ptCount val="1"/>
                <c:pt idx="0">
                  <c:v>SG&amp;A Expense % of 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216642754662833E-2"/>
                  <c:y val="-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F3-4BA7-B9E0-E50813134B1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7F3-4BA7-B9E0-E50813134B1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7F3-4BA7-B9E0-E50813134B1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7F3-4BA7-B9E0-E50813134B1F}"/>
                </c:ext>
              </c:extLst>
            </c:dLbl>
            <c:dLbl>
              <c:idx val="4"/>
              <c:layout>
                <c:manualLayout>
                  <c:x val="7.6518412242945963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F3-4BA7-B9E0-E50813134B1F}"/>
                </c:ext>
              </c:extLst>
            </c:dLbl>
            <c:dLbl>
              <c:idx val="5"/>
              <c:layout>
                <c:manualLayout>
                  <c:x val="-7.0141067613768679E-17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F3-4BA7-B9E0-E50813134B1F}"/>
                </c:ext>
              </c:extLst>
            </c:dLbl>
            <c:dLbl>
              <c:idx val="6"/>
              <c:layout>
                <c:manualLayout>
                  <c:x val="0"/>
                  <c:y val="-6.33188440258962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F3-4BA7-B9E0-E50813134B1F}"/>
                </c:ext>
              </c:extLst>
            </c:dLbl>
            <c:dLbl>
              <c:idx val="7"/>
              <c:layout>
                <c:manualLayout>
                  <c:x val="-7.7232739536803753E-17"/>
                  <c:y val="-5.7941132782246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F3-4BA7-B9E0-E50813134B1F}"/>
                </c:ext>
              </c:extLst>
            </c:dLbl>
            <c:dLbl>
              <c:idx val="8"/>
              <c:layout>
                <c:manualLayout>
                  <c:x val="-7.7232739536803753E-17"/>
                  <c:y val="-5.4059522506921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F3-4BA7-B9E0-E50813134B1F}"/>
                </c:ext>
              </c:extLst>
            </c:dLbl>
            <c:dLbl>
              <c:idx val="9"/>
              <c:layout>
                <c:manualLayout>
                  <c:x val="-1.4028213522753736E-16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F3-4BA7-B9E0-E50813134B1F}"/>
                </c:ext>
              </c:extLst>
            </c:dLbl>
            <c:dLbl>
              <c:idx val="10"/>
              <c:layout>
                <c:manualLayout>
                  <c:x val="0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F3-4BA7-B9E0-E50813134B1F}"/>
                </c:ext>
              </c:extLst>
            </c:dLbl>
            <c:dLbl>
              <c:idx val="11"/>
              <c:layout>
                <c:manualLayout>
                  <c:x val="-1.4028213522753736E-16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F3-4BA7-B9E0-E50813134B1F}"/>
                </c:ext>
              </c:extLst>
            </c:dLbl>
            <c:dLbl>
              <c:idx val="12"/>
              <c:layout>
                <c:manualLayout>
                  <c:x val="-1.4028213522753736E-16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F3-4BA7-B9E0-E50813134B1F}"/>
                </c:ext>
              </c:extLst>
            </c:dLbl>
            <c:dLbl>
              <c:idx val="13"/>
              <c:layout>
                <c:manualLayout>
                  <c:x val="0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F3-4BA7-B9E0-E50813134B1F}"/>
                </c:ext>
              </c:extLst>
            </c:dLbl>
            <c:dLbl>
              <c:idx val="14"/>
              <c:layout>
                <c:manualLayout>
                  <c:x val="-5.7388809182209472E-3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7F3-4BA7-B9E0-E50813134B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'Cost Analysis'!$F$61:$F$75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'Cost Analysis'!$I$61:$I$75</c:f>
              <c:numCache>
                <c:formatCode>0%</c:formatCode>
                <c:ptCount val="15"/>
                <c:pt idx="0">
                  <c:v>0.37653091305396497</c:v>
                </c:pt>
                <c:pt idx="1">
                  <c:v>0.72443123415336119</c:v>
                </c:pt>
                <c:pt idx="2">
                  <c:v>0.50969927830710637</c:v>
                </c:pt>
                <c:pt idx="3">
                  <c:v>0.36387130495383013</c:v>
                </c:pt>
                <c:pt idx="4">
                  <c:v>0.14182744837834294</c:v>
                </c:pt>
                <c:pt idx="5">
                  <c:v>0.18874071554260999</c:v>
                </c:pt>
                <c:pt idx="6">
                  <c:v>0.22793531923307442</c:v>
                </c:pt>
                <c:pt idx="7">
                  <c:v>0.20459457050238483</c:v>
                </c:pt>
                <c:pt idx="8">
                  <c:v>0.21064716387447913</c:v>
                </c:pt>
                <c:pt idx="9">
                  <c:v>0.1321000885326872</c:v>
                </c:pt>
                <c:pt idx="10">
                  <c:v>0.10765725445520384</c:v>
                </c:pt>
                <c:pt idx="11">
                  <c:v>9.9727295788939629E-2</c:v>
                </c:pt>
                <c:pt idx="12">
                  <c:v>8.3923229845976624E-2</c:v>
                </c:pt>
                <c:pt idx="13">
                  <c:v>4.8439763325231394E-2</c:v>
                </c:pt>
                <c:pt idx="14">
                  <c:v>4.9600611740878139E-2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3-4BA7-B9E0-E50813134B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24334607"/>
        <c:axId val="1904031263"/>
      </c:areaChart>
      <c:catAx>
        <c:axId val="182433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31263"/>
        <c:crosses val="autoZero"/>
        <c:auto val="1"/>
        <c:lblAlgn val="ctr"/>
        <c:lblOffset val="100"/>
        <c:noMultiLvlLbl val="0"/>
      </c:catAx>
      <c:valAx>
        <c:axId val="19040312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2433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24360935925664"/>
          <c:y val="0.15817531308090438"/>
          <c:w val="0.47685313032553395"/>
          <c:h val="7.255402009512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and 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Analysis'!$AA$60</c:f>
              <c:strCache>
                <c:ptCount val="1"/>
                <c:pt idx="0">
                  <c:v>COGS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Analysis'!$AA$61:$AA$75</c:f>
              <c:numCache>
                <c:formatCode>General</c:formatCode>
                <c:ptCount val="15"/>
                <c:pt idx="0">
                  <c:v>2.0746077539309448E-4</c:v>
                </c:pt>
                <c:pt idx="1">
                  <c:v>0</c:v>
                </c:pt>
                <c:pt idx="2">
                  <c:v>7.1664126585010751E-4</c:v>
                </c:pt>
                <c:pt idx="3">
                  <c:v>3.7604369251734229E-3</c:v>
                </c:pt>
                <c:pt idx="4">
                  <c:v>1.8616691029863002E-2</c:v>
                </c:pt>
                <c:pt idx="5">
                  <c:v>2.82267119711903E-2</c:v>
                </c:pt>
                <c:pt idx="6">
                  <c:v>3.8423696958103694E-2</c:v>
                </c:pt>
                <c:pt idx="7">
                  <c:v>6.7253759782085587E-2</c:v>
                </c:pt>
                <c:pt idx="8">
                  <c:v>0.11957923943120848</c:v>
                </c:pt>
                <c:pt idx="9">
                  <c:v>0.21932997394927889</c:v>
                </c:pt>
                <c:pt idx="10">
                  <c:v>0.25843054094925827</c:v>
                </c:pt>
                <c:pt idx="11">
                  <c:v>0.31406976201686648</c:v>
                </c:pt>
                <c:pt idx="12">
                  <c:v>0.50781370419702332</c:v>
                </c:pt>
                <c:pt idx="13">
                  <c:v>0.76585213858653123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F-4BAF-B356-5E42241C3F32}"/>
            </c:ext>
          </c:extLst>
        </c:ser>
        <c:ser>
          <c:idx val="1"/>
          <c:order val="1"/>
          <c:tx>
            <c:strRef>
              <c:f>'Cost Analysis'!$AD$60</c:f>
              <c:strCache>
                <c:ptCount val="1"/>
                <c:pt idx="0">
                  <c:v>Gross Margin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Analysis'!$AD$61:$AD$75</c:f>
              <c:numCache>
                <c:formatCode>General</c:formatCode>
                <c:ptCount val="15"/>
                <c:pt idx="0">
                  <c:v>5.428213072986543E-2</c:v>
                </c:pt>
                <c:pt idx="1">
                  <c:v>0.83242506216595347</c:v>
                </c:pt>
                <c:pt idx="2">
                  <c:v>1</c:v>
                </c:pt>
                <c:pt idx="3">
                  <c:v>0</c:v>
                </c:pt>
                <c:pt idx="4">
                  <c:v>0.67233625990394319</c:v>
                </c:pt>
                <c:pt idx="5">
                  <c:v>0.88674652460635517</c:v>
                </c:pt>
                <c:pt idx="6">
                  <c:v>0.67953833312210743</c:v>
                </c:pt>
                <c:pt idx="7">
                  <c:v>0.6804604432246758</c:v>
                </c:pt>
                <c:pt idx="8">
                  <c:v>0.50821377221695363</c:v>
                </c:pt>
                <c:pt idx="9">
                  <c:v>0.50513278822495977</c:v>
                </c:pt>
                <c:pt idx="10">
                  <c:v>0.40554926733763641</c:v>
                </c:pt>
                <c:pt idx="11">
                  <c:v>0.60081372938909106</c:v>
                </c:pt>
                <c:pt idx="12">
                  <c:v>0.78679153756396858</c:v>
                </c:pt>
                <c:pt idx="13">
                  <c:v>0.80074118423410234</c:v>
                </c:pt>
                <c:pt idx="14">
                  <c:v>0.47955406580632182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F-4BAF-B356-5E42241C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39983"/>
        <c:axId val="1869981423"/>
      </c:scatterChart>
      <c:valAx>
        <c:axId val="18342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81423"/>
        <c:crosses val="autoZero"/>
        <c:crossBetween val="midCat"/>
      </c:valAx>
      <c:valAx>
        <c:axId val="18699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3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Quarter-over-Quarter</a:t>
            </a:r>
            <a:r>
              <a:rPr lang="en-US" sz="2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Growth in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408838808786594E-2"/>
          <c:y val="0.17231126596980256"/>
          <c:w val="0.8842841013575905"/>
          <c:h val="0.614083971210915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Health and Trends'!$G$132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'Financial Health and Trends'!$F$133:$F$191</c:f>
              <c:strCache>
                <c:ptCount val="59"/>
                <c:pt idx="0">
                  <c:v>Q2 2009</c:v>
                </c:pt>
                <c:pt idx="1">
                  <c:v>Q3 2009</c:v>
                </c:pt>
                <c:pt idx="2">
                  <c:v>Q4 2009</c:v>
                </c:pt>
                <c:pt idx="3">
                  <c:v>Q1 2010</c:v>
                </c:pt>
                <c:pt idx="4">
                  <c:v>Q2 2010</c:v>
                </c:pt>
                <c:pt idx="5">
                  <c:v>Q3 2010</c:v>
                </c:pt>
                <c:pt idx="6">
                  <c:v>Q4 2010</c:v>
                </c:pt>
                <c:pt idx="7">
                  <c:v>Q1 2011</c:v>
                </c:pt>
                <c:pt idx="8">
                  <c:v>Q2 2011</c:v>
                </c:pt>
                <c:pt idx="9">
                  <c:v>Q3 2011</c:v>
                </c:pt>
                <c:pt idx="10">
                  <c:v>Q4 2011</c:v>
                </c:pt>
                <c:pt idx="11">
                  <c:v>Q1 2012</c:v>
                </c:pt>
                <c:pt idx="12">
                  <c:v>Q2 2012</c:v>
                </c:pt>
                <c:pt idx="13">
                  <c:v>Q3 2012</c:v>
                </c:pt>
                <c:pt idx="14">
                  <c:v>Q4 2012</c:v>
                </c:pt>
                <c:pt idx="15">
                  <c:v>Q1 2013</c:v>
                </c:pt>
                <c:pt idx="16">
                  <c:v>Q2 2013</c:v>
                </c:pt>
                <c:pt idx="17">
                  <c:v>Q3 2013</c:v>
                </c:pt>
                <c:pt idx="18">
                  <c:v>Q4 2013</c:v>
                </c:pt>
                <c:pt idx="19">
                  <c:v>Q1 2014</c:v>
                </c:pt>
                <c:pt idx="20">
                  <c:v>Q2 2014</c:v>
                </c:pt>
                <c:pt idx="21">
                  <c:v>Q3 2014</c:v>
                </c:pt>
                <c:pt idx="22">
                  <c:v>Q4 2014</c:v>
                </c:pt>
                <c:pt idx="23">
                  <c:v>Q1 2015</c:v>
                </c:pt>
                <c:pt idx="24">
                  <c:v>Q2 2015</c:v>
                </c:pt>
                <c:pt idx="25">
                  <c:v>Q3 2015</c:v>
                </c:pt>
                <c:pt idx="26">
                  <c:v>Q4 2015</c:v>
                </c:pt>
                <c:pt idx="27">
                  <c:v>Q1 2016</c:v>
                </c:pt>
                <c:pt idx="28">
                  <c:v>Q2 2016</c:v>
                </c:pt>
                <c:pt idx="29">
                  <c:v>Q3 2016</c:v>
                </c:pt>
                <c:pt idx="30">
                  <c:v>Q4 2016</c:v>
                </c:pt>
                <c:pt idx="31">
                  <c:v>Q1 2017</c:v>
                </c:pt>
                <c:pt idx="32">
                  <c:v>Q2 2017</c:v>
                </c:pt>
                <c:pt idx="33">
                  <c:v>Q3 2017</c:v>
                </c:pt>
                <c:pt idx="34">
                  <c:v>Q4 2017</c:v>
                </c:pt>
                <c:pt idx="35">
                  <c:v>Q1 2018</c:v>
                </c:pt>
                <c:pt idx="36">
                  <c:v>Q2 2018</c:v>
                </c:pt>
                <c:pt idx="37">
                  <c:v>Q3 2018</c:v>
                </c:pt>
                <c:pt idx="38">
                  <c:v>Q4 2018</c:v>
                </c:pt>
                <c:pt idx="39">
                  <c:v>Q1 2019</c:v>
                </c:pt>
                <c:pt idx="40">
                  <c:v>Q2 2019</c:v>
                </c:pt>
                <c:pt idx="41">
                  <c:v>Q3 2019</c:v>
                </c:pt>
                <c:pt idx="42">
                  <c:v>Q4 2019</c:v>
                </c:pt>
                <c:pt idx="43">
                  <c:v>Q1 2020</c:v>
                </c:pt>
                <c:pt idx="44">
                  <c:v>Q2 2020</c:v>
                </c:pt>
                <c:pt idx="45">
                  <c:v>Q3 2020</c:v>
                </c:pt>
                <c:pt idx="46">
                  <c:v>Q4 2020</c:v>
                </c:pt>
                <c:pt idx="47">
                  <c:v>Q1 2021</c:v>
                </c:pt>
                <c:pt idx="48">
                  <c:v>Q2 2021</c:v>
                </c:pt>
                <c:pt idx="49">
                  <c:v>Q3 2021</c:v>
                </c:pt>
                <c:pt idx="50">
                  <c:v>Q4 2021</c:v>
                </c:pt>
                <c:pt idx="51">
                  <c:v>Q1 2022</c:v>
                </c:pt>
                <c:pt idx="52">
                  <c:v>Q2 2022</c:v>
                </c:pt>
                <c:pt idx="53">
                  <c:v>Q3 2022</c:v>
                </c:pt>
                <c:pt idx="54">
                  <c:v>Q4 2022</c:v>
                </c:pt>
                <c:pt idx="55">
                  <c:v>Q1 2023</c:v>
                </c:pt>
                <c:pt idx="56">
                  <c:v>Q2 2023</c:v>
                </c:pt>
                <c:pt idx="57">
                  <c:v>Q3 2023</c:v>
                </c:pt>
                <c:pt idx="58">
                  <c:v>Q4 2023</c:v>
                </c:pt>
              </c:strCache>
            </c:strRef>
          </c:cat>
          <c:val>
            <c:numRef>
              <c:f>'Financial Health and Trends'!$G$133:$G$191</c:f>
              <c:numCache>
                <c:formatCode>General</c:formatCode>
                <c:ptCount val="59"/>
                <c:pt idx="0">
                  <c:v>26.945</c:v>
                </c:pt>
                <c:pt idx="1">
                  <c:v>45.527000000000001</c:v>
                </c:pt>
                <c:pt idx="3">
                  <c:v>20.812000000000001</c:v>
                </c:pt>
                <c:pt idx="4">
                  <c:v>28.405000000000001</c:v>
                </c:pt>
                <c:pt idx="5">
                  <c:v>31.241</c:v>
                </c:pt>
                <c:pt idx="6">
                  <c:v>36.286000000000001</c:v>
                </c:pt>
                <c:pt idx="7">
                  <c:v>49.03</c:v>
                </c:pt>
                <c:pt idx="8">
                  <c:v>58.170999999999999</c:v>
                </c:pt>
                <c:pt idx="9">
                  <c:v>57.665999999999997</c:v>
                </c:pt>
                <c:pt idx="10">
                  <c:v>39.375</c:v>
                </c:pt>
                <c:pt idx="11">
                  <c:v>30.167000000000002</c:v>
                </c:pt>
                <c:pt idx="12">
                  <c:v>26.652999999999999</c:v>
                </c:pt>
                <c:pt idx="13">
                  <c:v>50.103999999999999</c:v>
                </c:pt>
                <c:pt idx="14">
                  <c:v>306.33199999999999</c:v>
                </c:pt>
                <c:pt idx="15">
                  <c:v>561.79200000000003</c:v>
                </c:pt>
                <c:pt idx="16">
                  <c:v>405.13900000000001</c:v>
                </c:pt>
                <c:pt idx="17">
                  <c:v>431.346</c:v>
                </c:pt>
                <c:pt idx="18">
                  <c:v>615.21889999999996</c:v>
                </c:pt>
                <c:pt idx="19">
                  <c:v>620.54200000000003</c:v>
                </c:pt>
                <c:pt idx="20">
                  <c:v>769.34900000000005</c:v>
                </c:pt>
                <c:pt idx="21">
                  <c:v>851.80399999999997</c:v>
                </c:pt>
                <c:pt idx="22">
                  <c:v>956.66099999999994</c:v>
                </c:pt>
                <c:pt idx="23">
                  <c:v>939.88</c:v>
                </c:pt>
                <c:pt idx="24">
                  <c:v>954.976</c:v>
                </c:pt>
                <c:pt idx="25">
                  <c:v>936.78899999999999</c:v>
                </c:pt>
                <c:pt idx="26">
                  <c:v>1214.3800000000001</c:v>
                </c:pt>
                <c:pt idx="27">
                  <c:v>1147.048</c:v>
                </c:pt>
                <c:pt idx="28">
                  <c:v>1270.0170000000001</c:v>
                </c:pt>
                <c:pt idx="29">
                  <c:v>2298.4360000000001</c:v>
                </c:pt>
                <c:pt idx="30">
                  <c:v>2284.6309999999999</c:v>
                </c:pt>
                <c:pt idx="31">
                  <c:v>2696.27</c:v>
                </c:pt>
                <c:pt idx="32">
                  <c:v>2789.5569999999998</c:v>
                </c:pt>
                <c:pt idx="33">
                  <c:v>2984.6750000000002</c:v>
                </c:pt>
                <c:pt idx="34">
                  <c:v>3288.4989999999998</c:v>
                </c:pt>
                <c:pt idx="35">
                  <c:v>3408.7510000000002</c:v>
                </c:pt>
                <c:pt idx="36">
                  <c:v>4002.2310000000002</c:v>
                </c:pt>
                <c:pt idx="37">
                  <c:v>6824</c:v>
                </c:pt>
                <c:pt idx="38">
                  <c:v>7226.0190000000002</c:v>
                </c:pt>
                <c:pt idx="39">
                  <c:v>4541</c:v>
                </c:pt>
                <c:pt idx="40">
                  <c:v>6350</c:v>
                </c:pt>
                <c:pt idx="41">
                  <c:v>6303</c:v>
                </c:pt>
                <c:pt idx="42">
                  <c:v>7384</c:v>
                </c:pt>
                <c:pt idx="43">
                  <c:v>5985</c:v>
                </c:pt>
                <c:pt idx="44">
                  <c:v>6036</c:v>
                </c:pt>
                <c:pt idx="45">
                  <c:v>8771</c:v>
                </c:pt>
                <c:pt idx="46">
                  <c:v>10744</c:v>
                </c:pt>
                <c:pt idx="47">
                  <c:v>10389</c:v>
                </c:pt>
                <c:pt idx="48">
                  <c:v>11958</c:v>
                </c:pt>
                <c:pt idx="49">
                  <c:v>13757</c:v>
                </c:pt>
                <c:pt idx="50">
                  <c:v>17719</c:v>
                </c:pt>
                <c:pt idx="51">
                  <c:v>18756</c:v>
                </c:pt>
                <c:pt idx="52">
                  <c:v>16934</c:v>
                </c:pt>
                <c:pt idx="53">
                  <c:v>21454</c:v>
                </c:pt>
                <c:pt idx="54">
                  <c:v>24318</c:v>
                </c:pt>
                <c:pt idx="55">
                  <c:v>23329</c:v>
                </c:pt>
                <c:pt idx="56">
                  <c:v>24927</c:v>
                </c:pt>
                <c:pt idx="57">
                  <c:v>23350</c:v>
                </c:pt>
                <c:pt idx="58" formatCode="#,##0">
                  <c:v>25167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E-4648-9CD9-34E5CED7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862912"/>
        <c:axId val="887521183"/>
      </c:barChart>
      <c:lineChart>
        <c:grouping val="standard"/>
        <c:varyColors val="0"/>
        <c:ser>
          <c:idx val="1"/>
          <c:order val="1"/>
          <c:tx>
            <c:strRef>
              <c:f>'Financial Health and Trends'!$H$132</c:f>
              <c:strCache>
                <c:ptCount val="1"/>
                <c:pt idx="0">
                  <c:v>Q-o-Q Growth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'Financial Health and Trends'!$F$133:$F$191</c:f>
              <c:strCache>
                <c:ptCount val="59"/>
                <c:pt idx="0">
                  <c:v>Q2 2009</c:v>
                </c:pt>
                <c:pt idx="1">
                  <c:v>Q3 2009</c:v>
                </c:pt>
                <c:pt idx="2">
                  <c:v>Q4 2009</c:v>
                </c:pt>
                <c:pt idx="3">
                  <c:v>Q1 2010</c:v>
                </c:pt>
                <c:pt idx="4">
                  <c:v>Q2 2010</c:v>
                </c:pt>
                <c:pt idx="5">
                  <c:v>Q3 2010</c:v>
                </c:pt>
                <c:pt idx="6">
                  <c:v>Q4 2010</c:v>
                </c:pt>
                <c:pt idx="7">
                  <c:v>Q1 2011</c:v>
                </c:pt>
                <c:pt idx="8">
                  <c:v>Q2 2011</c:v>
                </c:pt>
                <c:pt idx="9">
                  <c:v>Q3 2011</c:v>
                </c:pt>
                <c:pt idx="10">
                  <c:v>Q4 2011</c:v>
                </c:pt>
                <c:pt idx="11">
                  <c:v>Q1 2012</c:v>
                </c:pt>
                <c:pt idx="12">
                  <c:v>Q2 2012</c:v>
                </c:pt>
                <c:pt idx="13">
                  <c:v>Q3 2012</c:v>
                </c:pt>
                <c:pt idx="14">
                  <c:v>Q4 2012</c:v>
                </c:pt>
                <c:pt idx="15">
                  <c:v>Q1 2013</c:v>
                </c:pt>
                <c:pt idx="16">
                  <c:v>Q2 2013</c:v>
                </c:pt>
                <c:pt idx="17">
                  <c:v>Q3 2013</c:v>
                </c:pt>
                <c:pt idx="18">
                  <c:v>Q4 2013</c:v>
                </c:pt>
                <c:pt idx="19">
                  <c:v>Q1 2014</c:v>
                </c:pt>
                <c:pt idx="20">
                  <c:v>Q2 2014</c:v>
                </c:pt>
                <c:pt idx="21">
                  <c:v>Q3 2014</c:v>
                </c:pt>
                <c:pt idx="22">
                  <c:v>Q4 2014</c:v>
                </c:pt>
                <c:pt idx="23">
                  <c:v>Q1 2015</c:v>
                </c:pt>
                <c:pt idx="24">
                  <c:v>Q2 2015</c:v>
                </c:pt>
                <c:pt idx="25">
                  <c:v>Q3 2015</c:v>
                </c:pt>
                <c:pt idx="26">
                  <c:v>Q4 2015</c:v>
                </c:pt>
                <c:pt idx="27">
                  <c:v>Q1 2016</c:v>
                </c:pt>
                <c:pt idx="28">
                  <c:v>Q2 2016</c:v>
                </c:pt>
                <c:pt idx="29">
                  <c:v>Q3 2016</c:v>
                </c:pt>
                <c:pt idx="30">
                  <c:v>Q4 2016</c:v>
                </c:pt>
                <c:pt idx="31">
                  <c:v>Q1 2017</c:v>
                </c:pt>
                <c:pt idx="32">
                  <c:v>Q2 2017</c:v>
                </c:pt>
                <c:pt idx="33">
                  <c:v>Q3 2017</c:v>
                </c:pt>
                <c:pt idx="34">
                  <c:v>Q4 2017</c:v>
                </c:pt>
                <c:pt idx="35">
                  <c:v>Q1 2018</c:v>
                </c:pt>
                <c:pt idx="36">
                  <c:v>Q2 2018</c:v>
                </c:pt>
                <c:pt idx="37">
                  <c:v>Q3 2018</c:v>
                </c:pt>
                <c:pt idx="38">
                  <c:v>Q4 2018</c:v>
                </c:pt>
                <c:pt idx="39">
                  <c:v>Q1 2019</c:v>
                </c:pt>
                <c:pt idx="40">
                  <c:v>Q2 2019</c:v>
                </c:pt>
                <c:pt idx="41">
                  <c:v>Q3 2019</c:v>
                </c:pt>
                <c:pt idx="42">
                  <c:v>Q4 2019</c:v>
                </c:pt>
                <c:pt idx="43">
                  <c:v>Q1 2020</c:v>
                </c:pt>
                <c:pt idx="44">
                  <c:v>Q2 2020</c:v>
                </c:pt>
                <c:pt idx="45">
                  <c:v>Q3 2020</c:v>
                </c:pt>
                <c:pt idx="46">
                  <c:v>Q4 2020</c:v>
                </c:pt>
                <c:pt idx="47">
                  <c:v>Q1 2021</c:v>
                </c:pt>
                <c:pt idx="48">
                  <c:v>Q2 2021</c:v>
                </c:pt>
                <c:pt idx="49">
                  <c:v>Q3 2021</c:v>
                </c:pt>
                <c:pt idx="50">
                  <c:v>Q4 2021</c:v>
                </c:pt>
                <c:pt idx="51">
                  <c:v>Q1 2022</c:v>
                </c:pt>
                <c:pt idx="52">
                  <c:v>Q2 2022</c:v>
                </c:pt>
                <c:pt idx="53">
                  <c:v>Q3 2022</c:v>
                </c:pt>
                <c:pt idx="54">
                  <c:v>Q4 2022</c:v>
                </c:pt>
                <c:pt idx="55">
                  <c:v>Q1 2023</c:v>
                </c:pt>
                <c:pt idx="56">
                  <c:v>Q2 2023</c:v>
                </c:pt>
                <c:pt idx="57">
                  <c:v>Q3 2023</c:v>
                </c:pt>
                <c:pt idx="58">
                  <c:v>Q4 2023</c:v>
                </c:pt>
              </c:strCache>
            </c:strRef>
          </c:cat>
          <c:val>
            <c:numRef>
              <c:f>'Financial Health and Trends'!$H$133:$H$191</c:f>
              <c:numCache>
                <c:formatCode>0%</c:formatCode>
                <c:ptCount val="59"/>
                <c:pt idx="1">
                  <c:v>0.68962701799962889</c:v>
                </c:pt>
                <c:pt idx="2">
                  <c:v>-1</c:v>
                </c:pt>
                <c:pt idx="4">
                  <c:v>0.36483759369594471</c:v>
                </c:pt>
                <c:pt idx="5">
                  <c:v>9.9841577187114838E-2</c:v>
                </c:pt>
                <c:pt idx="6">
                  <c:v>0.16148650811433707</c:v>
                </c:pt>
                <c:pt idx="7">
                  <c:v>0.351209832993441</c:v>
                </c:pt>
                <c:pt idx="8">
                  <c:v>0.18643687538241882</c:v>
                </c:pt>
                <c:pt idx="9">
                  <c:v>-8.6813016795310727E-3</c:v>
                </c:pt>
                <c:pt idx="10">
                  <c:v>-0.3171886380189366</c:v>
                </c:pt>
                <c:pt idx="11">
                  <c:v>-0.2338539682539682</c:v>
                </c:pt>
                <c:pt idx="12">
                  <c:v>-0.11648490071932915</c:v>
                </c:pt>
                <c:pt idx="13">
                  <c:v>0.87986343000787914</c:v>
                </c:pt>
                <c:pt idx="14">
                  <c:v>5.1139230400766404</c:v>
                </c:pt>
                <c:pt idx="15">
                  <c:v>0.83393181254325377</c:v>
                </c:pt>
                <c:pt idx="16">
                  <c:v>-0.27884519537480068</c:v>
                </c:pt>
                <c:pt idx="17">
                  <c:v>6.4686440949896173E-2</c:v>
                </c:pt>
                <c:pt idx="18">
                  <c:v>0.42627704905110964</c:v>
                </c:pt>
                <c:pt idx="19">
                  <c:v>8.6523674744063417E-3</c:v>
                </c:pt>
                <c:pt idx="20">
                  <c:v>0.23980165726091074</c:v>
                </c:pt>
                <c:pt idx="21">
                  <c:v>0.10717502719831962</c:v>
                </c:pt>
                <c:pt idx="22">
                  <c:v>0.12309991500392115</c:v>
                </c:pt>
                <c:pt idx="23">
                  <c:v>-1.7541218885268606E-2</c:v>
                </c:pt>
                <c:pt idx="24">
                  <c:v>1.6061624888283665E-2</c:v>
                </c:pt>
                <c:pt idx="25">
                  <c:v>-1.9044457661763214E-2</c:v>
                </c:pt>
                <c:pt idx="26">
                  <c:v>0.29632179711760087</c:v>
                </c:pt>
                <c:pt idx="27">
                  <c:v>-5.5445577166949422E-2</c:v>
                </c:pt>
                <c:pt idx="28">
                  <c:v>0.10720475516281791</c:v>
                </c:pt>
                <c:pt idx="29">
                  <c:v>0.80976790074463567</c:v>
                </c:pt>
                <c:pt idx="30">
                  <c:v>-6.006258168598233E-3</c:v>
                </c:pt>
                <c:pt idx="31">
                  <c:v>0.18017745535274621</c:v>
                </c:pt>
                <c:pt idx="32">
                  <c:v>3.4598537980246702E-2</c:v>
                </c:pt>
                <c:pt idx="33">
                  <c:v>6.9945873126091573E-2</c:v>
                </c:pt>
                <c:pt idx="34">
                  <c:v>0.10179466776114632</c:v>
                </c:pt>
                <c:pt idx="35">
                  <c:v>3.6567443079654316E-2</c:v>
                </c:pt>
                <c:pt idx="36">
                  <c:v>0.17410482607852562</c:v>
                </c:pt>
                <c:pt idx="37">
                  <c:v>0.70504900891527744</c:v>
                </c:pt>
                <c:pt idx="38">
                  <c:v>5.8912514654161807E-2</c:v>
                </c:pt>
                <c:pt idx="39">
                  <c:v>-0.37157652090314186</c:v>
                </c:pt>
                <c:pt idx="40">
                  <c:v>0.39837040299493509</c:v>
                </c:pt>
                <c:pt idx="41">
                  <c:v>-7.4015748031496242E-3</c:v>
                </c:pt>
                <c:pt idx="42">
                  <c:v>0.17150563223861659</c:v>
                </c:pt>
                <c:pt idx="43">
                  <c:v>-0.18946370530877576</c:v>
                </c:pt>
                <c:pt idx="44">
                  <c:v>8.521303258145263E-3</c:v>
                </c:pt>
                <c:pt idx="45">
                  <c:v>0.4531146454605699</c:v>
                </c:pt>
                <c:pt idx="46">
                  <c:v>0.2249458442594916</c:v>
                </c:pt>
                <c:pt idx="47">
                  <c:v>-3.3041697691734928E-2</c:v>
                </c:pt>
                <c:pt idx="48">
                  <c:v>0.15102512272596025</c:v>
                </c:pt>
                <c:pt idx="49">
                  <c:v>0.15044321792941973</c:v>
                </c:pt>
                <c:pt idx="50">
                  <c:v>0.28799883695573159</c:v>
                </c:pt>
                <c:pt idx="51">
                  <c:v>5.8524747446244252E-2</c:v>
                </c:pt>
                <c:pt idx="52">
                  <c:v>-9.7142247814032801E-2</c:v>
                </c:pt>
                <c:pt idx="53">
                  <c:v>0.26691862525097432</c:v>
                </c:pt>
                <c:pt idx="54">
                  <c:v>0.133494919362357</c:v>
                </c:pt>
                <c:pt idx="55">
                  <c:v>-4.0669462949255664E-2</c:v>
                </c:pt>
                <c:pt idx="56">
                  <c:v>6.8498435423721471E-2</c:v>
                </c:pt>
                <c:pt idx="57">
                  <c:v>-6.3264733020419572E-2</c:v>
                </c:pt>
                <c:pt idx="58">
                  <c:v>7.7815845824411145E-2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E-4648-9CD9-34E5CED7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864352"/>
        <c:axId val="887522175"/>
      </c:lineChart>
      <c:catAx>
        <c:axId val="19318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21183"/>
        <c:crosses val="autoZero"/>
        <c:auto val="1"/>
        <c:lblAlgn val="ctr"/>
        <c:lblOffset val="100"/>
        <c:noMultiLvlLbl val="0"/>
      </c:catAx>
      <c:valAx>
        <c:axId val="88752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2912"/>
        <c:crosses val="autoZero"/>
        <c:crossBetween val="between"/>
      </c:valAx>
      <c:valAx>
        <c:axId val="8875221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4352"/>
        <c:crosses val="max"/>
        <c:crossBetween val="between"/>
      </c:valAx>
      <c:catAx>
        <c:axId val="193186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7522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and Net Profit Magin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Analysis'!$AA$60</c:f>
              <c:strCache>
                <c:ptCount val="1"/>
                <c:pt idx="0">
                  <c:v>COGS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Analysis'!$AA$61:$AA$75</c:f>
              <c:numCache>
                <c:formatCode>General</c:formatCode>
                <c:ptCount val="15"/>
                <c:pt idx="0">
                  <c:v>2.0746077539309448E-4</c:v>
                </c:pt>
                <c:pt idx="1">
                  <c:v>0</c:v>
                </c:pt>
                <c:pt idx="2">
                  <c:v>7.1664126585010751E-4</c:v>
                </c:pt>
                <c:pt idx="3">
                  <c:v>3.7604369251734229E-3</c:v>
                </c:pt>
                <c:pt idx="4">
                  <c:v>1.8616691029863002E-2</c:v>
                </c:pt>
                <c:pt idx="5">
                  <c:v>2.82267119711903E-2</c:v>
                </c:pt>
                <c:pt idx="6">
                  <c:v>3.8423696958103694E-2</c:v>
                </c:pt>
                <c:pt idx="7">
                  <c:v>6.7253759782085587E-2</c:v>
                </c:pt>
                <c:pt idx="8">
                  <c:v>0.11957923943120848</c:v>
                </c:pt>
                <c:pt idx="9">
                  <c:v>0.21932997394927889</c:v>
                </c:pt>
                <c:pt idx="10">
                  <c:v>0.25843054094925827</c:v>
                </c:pt>
                <c:pt idx="11">
                  <c:v>0.31406976201686648</c:v>
                </c:pt>
                <c:pt idx="12">
                  <c:v>0.50781370419702332</c:v>
                </c:pt>
                <c:pt idx="13">
                  <c:v>0.76585213858653123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A-4D6D-9047-E1DBC9004398}"/>
            </c:ext>
          </c:extLst>
        </c:ser>
        <c:ser>
          <c:idx val="1"/>
          <c:order val="1"/>
          <c:tx>
            <c:strRef>
              <c:f>'Cost Analysis'!$AE$60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Analysis'!$AE$61:$AE$75</c:f>
              <c:numCache>
                <c:formatCode>General</c:formatCode>
                <c:ptCount val="15"/>
                <c:pt idx="0">
                  <c:v>0.55791721594906185</c:v>
                </c:pt>
                <c:pt idx="1">
                  <c:v>0</c:v>
                </c:pt>
                <c:pt idx="2">
                  <c:v>5.1661321107949111E-2</c:v>
                </c:pt>
                <c:pt idx="3">
                  <c:v>0.24589976349541987</c:v>
                </c:pt>
                <c:pt idx="4">
                  <c:v>0.87016893861375666</c:v>
                </c:pt>
                <c:pt idx="5">
                  <c:v>0.83281028784767286</c:v>
                </c:pt>
                <c:pt idx="6">
                  <c:v>0.7463442675230394</c:v>
                </c:pt>
                <c:pt idx="7">
                  <c:v>0.82977763965314466</c:v>
                </c:pt>
                <c:pt idx="8">
                  <c:v>0.78208604758393607</c:v>
                </c:pt>
                <c:pt idx="9">
                  <c:v>0.8642654647115261</c:v>
                </c:pt>
                <c:pt idx="10">
                  <c:v>0.87131117516302425</c:v>
                </c:pt>
                <c:pt idx="11">
                  <c:v>0.90987232273497598</c:v>
                </c:pt>
                <c:pt idx="12">
                  <c:v>0.96454868791754766</c:v>
                </c:pt>
                <c:pt idx="13">
                  <c:v>0.99964317803114155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A-4D6D-9047-E1DBC9004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804927"/>
        <c:axId val="1748879391"/>
      </c:scatterChart>
      <c:valAx>
        <c:axId val="16518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79391"/>
        <c:crosses val="autoZero"/>
        <c:crossBetween val="midCat"/>
      </c:valAx>
      <c:valAx>
        <c:axId val="17488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04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Expenses and 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Analysis'!$AB$60</c:f>
              <c:strCache>
                <c:ptCount val="1"/>
                <c:pt idx="0">
                  <c:v>R&amp;D Expenses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Analysis'!$AB$61:$AB$75</c:f>
              <c:numCache>
                <c:formatCode>General</c:formatCode>
                <c:ptCount val="15"/>
                <c:pt idx="0">
                  <c:v>0</c:v>
                </c:pt>
                <c:pt idx="1">
                  <c:v>1.8663104555818922E-2</c:v>
                </c:pt>
                <c:pt idx="2">
                  <c:v>4.8028492160706156E-2</c:v>
                </c:pt>
                <c:pt idx="3">
                  <c:v>6.4484603710948482E-2</c:v>
                </c:pt>
                <c:pt idx="4">
                  <c:v>5.3850426789963234E-2</c:v>
                </c:pt>
                <c:pt idx="5">
                  <c:v>0.11277210170447613</c:v>
                </c:pt>
                <c:pt idx="6">
                  <c:v>0.17687794419753511</c:v>
                </c:pt>
                <c:pt idx="7">
                  <c:v>0.2063757463191043</c:v>
                </c:pt>
                <c:pt idx="8">
                  <c:v>0.34400379976494527</c:v>
                </c:pt>
                <c:pt idx="9">
                  <c:v>0.36476477561182852</c:v>
                </c:pt>
                <c:pt idx="10">
                  <c:v>0.33514240763517805</c:v>
                </c:pt>
                <c:pt idx="11">
                  <c:v>0.37261343721247953</c:v>
                </c:pt>
                <c:pt idx="12">
                  <c:v>0.65162069798400801</c:v>
                </c:pt>
                <c:pt idx="13">
                  <c:v>0.77365472674251679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3-4A2F-9C3F-088E3590D055}"/>
            </c:ext>
          </c:extLst>
        </c:ser>
        <c:ser>
          <c:idx val="1"/>
          <c:order val="1"/>
          <c:tx>
            <c:strRef>
              <c:f>'Cost Analysis'!$AD$60</c:f>
              <c:strCache>
                <c:ptCount val="1"/>
                <c:pt idx="0">
                  <c:v>Gross Margin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Analysis'!$AD$61:$AD$75</c:f>
              <c:numCache>
                <c:formatCode>General</c:formatCode>
                <c:ptCount val="15"/>
                <c:pt idx="0">
                  <c:v>5.428213072986543E-2</c:v>
                </c:pt>
                <c:pt idx="1">
                  <c:v>0.83242506216595347</c:v>
                </c:pt>
                <c:pt idx="2">
                  <c:v>1</c:v>
                </c:pt>
                <c:pt idx="3">
                  <c:v>0</c:v>
                </c:pt>
                <c:pt idx="4">
                  <c:v>0.67233625990394319</c:v>
                </c:pt>
                <c:pt idx="5">
                  <c:v>0.88674652460635517</c:v>
                </c:pt>
                <c:pt idx="6">
                  <c:v>0.67953833312210743</c:v>
                </c:pt>
                <c:pt idx="7">
                  <c:v>0.6804604432246758</c:v>
                </c:pt>
                <c:pt idx="8">
                  <c:v>0.50821377221695363</c:v>
                </c:pt>
                <c:pt idx="9">
                  <c:v>0.50513278822495977</c:v>
                </c:pt>
                <c:pt idx="10">
                  <c:v>0.40554926733763641</c:v>
                </c:pt>
                <c:pt idx="11">
                  <c:v>0.60081372938909106</c:v>
                </c:pt>
                <c:pt idx="12">
                  <c:v>0.78679153756396858</c:v>
                </c:pt>
                <c:pt idx="13">
                  <c:v>0.80074118423410234</c:v>
                </c:pt>
                <c:pt idx="14">
                  <c:v>0.47955406580632182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3-4A2F-9C3F-088E3590D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28079"/>
        <c:axId val="1865504815"/>
      </c:scatterChart>
      <c:valAx>
        <c:axId val="18289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04815"/>
        <c:crosses val="autoZero"/>
        <c:crossBetween val="midCat"/>
      </c:valAx>
      <c:valAx>
        <c:axId val="18655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2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Expenses and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Analysis'!$AB$60</c:f>
              <c:strCache>
                <c:ptCount val="1"/>
                <c:pt idx="0">
                  <c:v>R&amp;D Expenses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Analysis'!$AB$61:$AB$75</c:f>
              <c:numCache>
                <c:formatCode>General</c:formatCode>
                <c:ptCount val="15"/>
                <c:pt idx="0">
                  <c:v>0</c:v>
                </c:pt>
                <c:pt idx="1">
                  <c:v>1.8663104555818922E-2</c:v>
                </c:pt>
                <c:pt idx="2">
                  <c:v>4.8028492160706156E-2</c:v>
                </c:pt>
                <c:pt idx="3">
                  <c:v>6.4484603710948482E-2</c:v>
                </c:pt>
                <c:pt idx="4">
                  <c:v>5.3850426789963234E-2</c:v>
                </c:pt>
                <c:pt idx="5">
                  <c:v>0.11277210170447613</c:v>
                </c:pt>
                <c:pt idx="6">
                  <c:v>0.17687794419753511</c:v>
                </c:pt>
                <c:pt idx="7">
                  <c:v>0.2063757463191043</c:v>
                </c:pt>
                <c:pt idx="8">
                  <c:v>0.34400379976494527</c:v>
                </c:pt>
                <c:pt idx="9">
                  <c:v>0.36476477561182852</c:v>
                </c:pt>
                <c:pt idx="10">
                  <c:v>0.33514240763517805</c:v>
                </c:pt>
                <c:pt idx="11">
                  <c:v>0.37261343721247953</c:v>
                </c:pt>
                <c:pt idx="12">
                  <c:v>0.65162069798400801</c:v>
                </c:pt>
                <c:pt idx="13">
                  <c:v>0.77365472674251679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4-4743-9A2D-D2B014AFEA78}"/>
            </c:ext>
          </c:extLst>
        </c:ser>
        <c:ser>
          <c:idx val="1"/>
          <c:order val="1"/>
          <c:tx>
            <c:strRef>
              <c:f>'Cost Analysis'!$AE$60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Analysis'!$AE$61:$AE$75</c:f>
              <c:numCache>
                <c:formatCode>General</c:formatCode>
                <c:ptCount val="15"/>
                <c:pt idx="0">
                  <c:v>0.55791721594906185</c:v>
                </c:pt>
                <c:pt idx="1">
                  <c:v>0</c:v>
                </c:pt>
                <c:pt idx="2">
                  <c:v>5.1661321107949111E-2</c:v>
                </c:pt>
                <c:pt idx="3">
                  <c:v>0.24589976349541987</c:v>
                </c:pt>
                <c:pt idx="4">
                  <c:v>0.87016893861375666</c:v>
                </c:pt>
                <c:pt idx="5">
                  <c:v>0.83281028784767286</c:v>
                </c:pt>
                <c:pt idx="6">
                  <c:v>0.7463442675230394</c:v>
                </c:pt>
                <c:pt idx="7">
                  <c:v>0.82977763965314466</c:v>
                </c:pt>
                <c:pt idx="8">
                  <c:v>0.78208604758393607</c:v>
                </c:pt>
                <c:pt idx="9">
                  <c:v>0.8642654647115261</c:v>
                </c:pt>
                <c:pt idx="10">
                  <c:v>0.87131117516302425</c:v>
                </c:pt>
                <c:pt idx="11">
                  <c:v>0.90987232273497598</c:v>
                </c:pt>
                <c:pt idx="12">
                  <c:v>0.96454868791754766</c:v>
                </c:pt>
                <c:pt idx="13">
                  <c:v>0.99964317803114155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4-4743-9A2D-D2B014AF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134655"/>
        <c:axId val="671891264"/>
      </c:scatterChart>
      <c:valAx>
        <c:axId val="17601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1264"/>
        <c:crosses val="autoZero"/>
        <c:crossBetween val="midCat"/>
      </c:valAx>
      <c:valAx>
        <c:axId val="671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3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SG&amp;A Expenses and 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Analysis'!$AC$60</c:f>
              <c:strCache>
                <c:ptCount val="1"/>
                <c:pt idx="0">
                  <c:v>SG&amp;A Expenses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Analysis'!$AC$61:$AC$75</c:f>
              <c:numCache>
                <c:formatCode>General</c:formatCode>
                <c:ptCount val="15"/>
                <c:pt idx="0">
                  <c:v>0</c:v>
                </c:pt>
                <c:pt idx="1">
                  <c:v>8.9164223336170734E-3</c:v>
                </c:pt>
                <c:pt idx="2">
                  <c:v>1.3021007387790703E-2</c:v>
                </c:pt>
                <c:pt idx="3">
                  <c:v>2.2745988208959931E-2</c:v>
                </c:pt>
                <c:pt idx="4">
                  <c:v>5.1161554063284882E-2</c:v>
                </c:pt>
                <c:pt idx="5">
                  <c:v>0.1180175919795706</c:v>
                </c:pt>
                <c:pt idx="6">
                  <c:v>0.18497472597917125</c:v>
                </c:pt>
                <c:pt idx="7">
                  <c:v>0.29215696165284738</c:v>
                </c:pt>
                <c:pt idx="8">
                  <c:v>0.51175425875132674</c:v>
                </c:pt>
                <c:pt idx="9">
                  <c:v>0.58699832907720917</c:v>
                </c:pt>
                <c:pt idx="10">
                  <c:v>0.54727450424036062</c:v>
                </c:pt>
                <c:pt idx="11">
                  <c:v>0.65215380896833652</c:v>
                </c:pt>
                <c:pt idx="12">
                  <c:v>0.94051935222842253</c:v>
                </c:pt>
                <c:pt idx="13">
                  <c:v>0.82050716184831374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8-4759-A393-7EFD473F4FD5}"/>
            </c:ext>
          </c:extLst>
        </c:ser>
        <c:ser>
          <c:idx val="1"/>
          <c:order val="1"/>
          <c:tx>
            <c:strRef>
              <c:f>'Cost Analysis'!$AD$60</c:f>
              <c:strCache>
                <c:ptCount val="1"/>
                <c:pt idx="0">
                  <c:v>Gross Margin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Analysis'!$AD$61:$AD$75</c:f>
              <c:numCache>
                <c:formatCode>General</c:formatCode>
                <c:ptCount val="15"/>
                <c:pt idx="0">
                  <c:v>5.428213072986543E-2</c:v>
                </c:pt>
                <c:pt idx="1">
                  <c:v>0.83242506216595347</c:v>
                </c:pt>
                <c:pt idx="2">
                  <c:v>1</c:v>
                </c:pt>
                <c:pt idx="3">
                  <c:v>0</c:v>
                </c:pt>
                <c:pt idx="4">
                  <c:v>0.67233625990394319</c:v>
                </c:pt>
                <c:pt idx="5">
                  <c:v>0.88674652460635517</c:v>
                </c:pt>
                <c:pt idx="6">
                  <c:v>0.67953833312210743</c:v>
                </c:pt>
                <c:pt idx="7">
                  <c:v>0.6804604432246758</c:v>
                </c:pt>
                <c:pt idx="8">
                  <c:v>0.50821377221695363</c:v>
                </c:pt>
                <c:pt idx="9">
                  <c:v>0.50513278822495977</c:v>
                </c:pt>
                <c:pt idx="10">
                  <c:v>0.40554926733763641</c:v>
                </c:pt>
                <c:pt idx="11">
                  <c:v>0.60081372938909106</c:v>
                </c:pt>
                <c:pt idx="12">
                  <c:v>0.78679153756396858</c:v>
                </c:pt>
                <c:pt idx="13">
                  <c:v>0.80074118423410234</c:v>
                </c:pt>
                <c:pt idx="14">
                  <c:v>0.47955406580632182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8-4759-A393-7EFD473F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32287"/>
        <c:axId val="1901895359"/>
      </c:scatterChart>
      <c:valAx>
        <c:axId val="1868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95359"/>
        <c:crosses val="autoZero"/>
        <c:crossBetween val="midCat"/>
      </c:valAx>
      <c:valAx>
        <c:axId val="19018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SG&amp;A Expenses and 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Analysis'!$AC$60</c:f>
              <c:strCache>
                <c:ptCount val="1"/>
                <c:pt idx="0">
                  <c:v>SG&amp;A Expenses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Analysis'!$AC$61:$AC$75</c:f>
              <c:numCache>
                <c:formatCode>General</c:formatCode>
                <c:ptCount val="15"/>
                <c:pt idx="0">
                  <c:v>0</c:v>
                </c:pt>
                <c:pt idx="1">
                  <c:v>8.9164223336170734E-3</c:v>
                </c:pt>
                <c:pt idx="2">
                  <c:v>1.3021007387790703E-2</c:v>
                </c:pt>
                <c:pt idx="3">
                  <c:v>2.2745988208959931E-2</c:v>
                </c:pt>
                <c:pt idx="4">
                  <c:v>5.1161554063284882E-2</c:v>
                </c:pt>
                <c:pt idx="5">
                  <c:v>0.1180175919795706</c:v>
                </c:pt>
                <c:pt idx="6">
                  <c:v>0.18497472597917125</c:v>
                </c:pt>
                <c:pt idx="7">
                  <c:v>0.29215696165284738</c:v>
                </c:pt>
                <c:pt idx="8">
                  <c:v>0.51175425875132674</c:v>
                </c:pt>
                <c:pt idx="9">
                  <c:v>0.58699832907720917</c:v>
                </c:pt>
                <c:pt idx="10">
                  <c:v>0.54727450424036062</c:v>
                </c:pt>
                <c:pt idx="11">
                  <c:v>0.65215380896833652</c:v>
                </c:pt>
                <c:pt idx="12">
                  <c:v>0.94051935222842253</c:v>
                </c:pt>
                <c:pt idx="13">
                  <c:v>0.82050716184831374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A-4969-B06B-36B98403B310}"/>
            </c:ext>
          </c:extLst>
        </c:ser>
        <c:ser>
          <c:idx val="1"/>
          <c:order val="1"/>
          <c:tx>
            <c:strRef>
              <c:f>'Cost Analysis'!$AE$60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>
                  <a:alpha val="80000"/>
                </a:srgbClr>
              </a:solidFill>
              <a:ln w="9525" cap="rnd">
                <a:solidFill>
                  <a:srgbClr val="00B050">
                    <a:alpha val="90000"/>
                  </a:srgb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'Cost Analysis'!$Z$61:$Z$75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'Cost Analysis'!$AE$61:$AE$75</c:f>
              <c:numCache>
                <c:formatCode>General</c:formatCode>
                <c:ptCount val="15"/>
                <c:pt idx="0">
                  <c:v>0.55791721594906185</c:v>
                </c:pt>
                <c:pt idx="1">
                  <c:v>0</c:v>
                </c:pt>
                <c:pt idx="2">
                  <c:v>5.1661321107949111E-2</c:v>
                </c:pt>
                <c:pt idx="3">
                  <c:v>0.24589976349541987</c:v>
                </c:pt>
                <c:pt idx="4">
                  <c:v>0.87016893861375666</c:v>
                </c:pt>
                <c:pt idx="5">
                  <c:v>0.83281028784767286</c:v>
                </c:pt>
                <c:pt idx="6">
                  <c:v>0.7463442675230394</c:v>
                </c:pt>
                <c:pt idx="7">
                  <c:v>0.82977763965314466</c:v>
                </c:pt>
                <c:pt idx="8">
                  <c:v>0.78208604758393607</c:v>
                </c:pt>
                <c:pt idx="9">
                  <c:v>0.8642654647115261</c:v>
                </c:pt>
                <c:pt idx="10">
                  <c:v>0.87131117516302425</c:v>
                </c:pt>
                <c:pt idx="11">
                  <c:v>0.90987232273497598</c:v>
                </c:pt>
                <c:pt idx="12">
                  <c:v>0.96454868791754766</c:v>
                </c:pt>
                <c:pt idx="13">
                  <c:v>0.99964317803114155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A-4969-B06B-36B98403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365967"/>
        <c:axId val="1823178943"/>
      </c:scatterChart>
      <c:valAx>
        <c:axId val="18593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78943"/>
        <c:crosses val="autoZero"/>
        <c:crossBetween val="midCat"/>
      </c:valAx>
      <c:valAx>
        <c:axId val="18231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6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effectLst/>
              </a:rPr>
              <a:t>Tesla's Profitability Margins</a:t>
            </a:r>
            <a:endParaRPr lang="en-US" sz="2000" b="1"/>
          </a:p>
        </c:rich>
      </c:tx>
      <c:layout>
        <c:manualLayout>
          <c:xMode val="edge"/>
          <c:yMode val="edge"/>
          <c:x val="0.37562429696287963"/>
          <c:y val="2.7004212231844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89642961296507E-2"/>
          <c:y val="0.22706699820417184"/>
          <c:w val="0.93017014539849185"/>
          <c:h val="0.73102500345351573"/>
        </c:manualLayout>
      </c:layout>
      <c:lineChart>
        <c:grouping val="standard"/>
        <c:varyColors val="0"/>
        <c:ser>
          <c:idx val="0"/>
          <c:order val="0"/>
          <c:tx>
            <c:strRef>
              <c:f>'Financial Health and Trends'!$N$132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79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2.3494729825438487E-2"/>
                  <c:y val="-1.8660511799409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8E-4B69-A8C3-860C81C014C4}"/>
                </c:ext>
              </c:extLst>
            </c:dLbl>
            <c:dLbl>
              <c:idx val="5"/>
              <c:layout>
                <c:manualLayout>
                  <c:x val="-1.7595430675248859E-2"/>
                  <c:y val="-4.3582622028398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E8E-4B69-A8C3-860C81C014C4}"/>
                </c:ext>
              </c:extLst>
            </c:dLbl>
            <c:dLbl>
              <c:idx val="6"/>
              <c:layout>
                <c:manualLayout>
                  <c:x val="-1.7595430675248939E-2"/>
                  <c:y val="-3.9428936990233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E8E-4B69-A8C3-860C81C014C4}"/>
                </c:ext>
              </c:extLst>
            </c:dLbl>
            <c:dLbl>
              <c:idx val="8"/>
              <c:layout>
                <c:manualLayout>
                  <c:x val="-1.7595430675248939E-2"/>
                  <c:y val="-3.9428936990233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E8E-4B69-A8C3-860C81C01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Trends'!$M$133:$M$147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Trends'!$N$133:$N$147</c:f>
              <c:numCache>
                <c:formatCode>0%</c:formatCode>
                <c:ptCount val="15"/>
                <c:pt idx="0">
                  <c:v>8.5177277721697614E-2</c:v>
                </c:pt>
                <c:pt idx="1">
                  <c:v>0.26323408483519489</c:v>
                </c:pt>
                <c:pt idx="2">
                  <c:v>0.30157851959929888</c:v>
                </c:pt>
                <c:pt idx="3">
                  <c:v>7.2756354414696828E-2</c:v>
                </c:pt>
                <c:pt idx="4">
                  <c:v>0.22660189044328877</c:v>
                </c:pt>
                <c:pt idx="5">
                  <c:v>0.27566380978227573</c:v>
                </c:pt>
                <c:pt idx="6">
                  <c:v>0.22824945471172328</c:v>
                </c:pt>
                <c:pt idx="7">
                  <c:v>0.22846097759299391</c:v>
                </c:pt>
                <c:pt idx="8">
                  <c:v>0.1890466876435071</c:v>
                </c:pt>
                <c:pt idx="9">
                  <c:v>0.18834164298028983</c:v>
                </c:pt>
                <c:pt idx="10">
                  <c:v>0.1655545609895028</c:v>
                </c:pt>
                <c:pt idx="11">
                  <c:v>0.2102359208523592</c:v>
                </c:pt>
                <c:pt idx="12">
                  <c:v>0.25279155751258753</c:v>
                </c:pt>
                <c:pt idx="13">
                  <c:v>0.25598438535759005</c:v>
                </c:pt>
                <c:pt idx="14">
                  <c:v>0.18248891736331416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C-438E-9C17-AC236EE9015E}"/>
            </c:ext>
          </c:extLst>
        </c:ser>
        <c:ser>
          <c:idx val="1"/>
          <c:order val="1"/>
          <c:tx>
            <c:strRef>
              <c:f>'Financial Health and Trends'!$O$132</c:f>
              <c:strCache>
                <c:ptCount val="1"/>
                <c:pt idx="0">
                  <c:v>Operating Margin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1"/>
              <c:layout>
                <c:manualLayout>
                  <c:x val="-3.1597883597883597E-2"/>
                  <c:y val="1.456896850590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8E-4B69-A8C3-860C81C014C4}"/>
                </c:ext>
              </c:extLst>
            </c:dLbl>
            <c:dLbl>
              <c:idx val="2"/>
              <c:layout>
                <c:manualLayout>
                  <c:x val="-1.968253968254007E-3"/>
                  <c:y val="1.0415283467744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8E-4B69-A8C3-860C81C014C4}"/>
                </c:ext>
              </c:extLst>
            </c:dLbl>
            <c:dLbl>
              <c:idx val="3"/>
              <c:layout>
                <c:manualLayout>
                  <c:x val="-3.2359788359788359E-2"/>
                  <c:y val="-6.199456684914535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8E-4B69-A8C3-860C81C01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Trends'!$M$133:$M$147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Trends'!$O$133:$O$147</c:f>
              <c:numCache>
                <c:formatCode>0%</c:formatCode>
                <c:ptCount val="15"/>
                <c:pt idx="0">
                  <c:v>0.45122071054018559</c:v>
                </c:pt>
                <c:pt idx="1">
                  <c:v>-0.52101178647296642</c:v>
                </c:pt>
                <c:pt idx="2">
                  <c:v>-0.532902145494071</c:v>
                </c:pt>
                <c:pt idx="3">
                  <c:v>-2.6845345258145196E-2</c:v>
                </c:pt>
                <c:pt idx="4">
                  <c:v>0.74296199247478012</c:v>
                </c:pt>
                <c:pt idx="5">
                  <c:v>0.66596588997597517</c:v>
                </c:pt>
                <c:pt idx="6">
                  <c:v>0.59463127390463477</c:v>
                </c:pt>
                <c:pt idx="7">
                  <c:v>0.67620653439106582</c:v>
                </c:pt>
                <c:pt idx="8">
                  <c:v>0.67216600051024744</c:v>
                </c:pt>
                <c:pt idx="9">
                  <c:v>0.79357905037043941</c:v>
                </c:pt>
                <c:pt idx="10">
                  <c:v>0.83163805028887627</c:v>
                </c:pt>
                <c:pt idx="11">
                  <c:v>0.85299340436326743</c:v>
                </c:pt>
                <c:pt idx="12">
                  <c:v>0.86840198428181259</c:v>
                </c:pt>
                <c:pt idx="13">
                  <c:v>0.91165205862856302</c:v>
                </c:pt>
                <c:pt idx="14">
                  <c:v>0.90938588242588325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C-438E-9C17-AC236EE9015E}"/>
            </c:ext>
          </c:extLst>
        </c:ser>
        <c:ser>
          <c:idx val="2"/>
          <c:order val="2"/>
          <c:tx>
            <c:strRef>
              <c:f>'Financial Health and Trends'!$P$132</c:f>
              <c:strCache>
                <c:ptCount val="1"/>
                <c:pt idx="0">
                  <c:v>EBITDA Margin %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9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numRef>
              <c:f>'Financial Health and Trends'!$M$133:$M$147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Trends'!$P$133:$P$147</c:f>
              <c:numCache>
                <c:formatCode>0%</c:formatCode>
                <c:ptCount val="15"/>
                <c:pt idx="0">
                  <c:v>-0.46360201173811671</c:v>
                </c:pt>
                <c:pt idx="1">
                  <c:v>-1.25777770163777</c:v>
                </c:pt>
                <c:pt idx="2">
                  <c:v>-1.231323625894772</c:v>
                </c:pt>
                <c:pt idx="3">
                  <c:v>-0.95408899084344823</c:v>
                </c:pt>
                <c:pt idx="4">
                  <c:v>-3.0436166746792642E-2</c:v>
                </c:pt>
                <c:pt idx="5">
                  <c:v>-5.8370206443560377E-2</c:v>
                </c:pt>
                <c:pt idx="6">
                  <c:v>-0.17711937024610575</c:v>
                </c:pt>
                <c:pt idx="7">
                  <c:v>-9.5332530872274973E-2</c:v>
                </c:pt>
                <c:pt idx="8">
                  <c:v>-0.13878731184624543</c:v>
                </c:pt>
                <c:pt idx="9">
                  <c:v>-1.8079306649270769E-2</c:v>
                </c:pt>
                <c:pt idx="10">
                  <c:v>-2.8073887216209618E-3</c:v>
                </c:pt>
                <c:pt idx="11">
                  <c:v>6.3229325215626589E-2</c:v>
                </c:pt>
                <c:pt idx="12">
                  <c:v>0.12119354179440016</c:v>
                </c:pt>
                <c:pt idx="13">
                  <c:v>0.16763644398615304</c:v>
                </c:pt>
                <c:pt idx="14">
                  <c:v>9.1874799789197395E-2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C-438E-9C17-AC236EE9015E}"/>
            </c:ext>
          </c:extLst>
        </c:ser>
        <c:ser>
          <c:idx val="3"/>
          <c:order val="3"/>
          <c:tx>
            <c:strRef>
              <c:f>'Financial Health and Trends'!$Q$132</c:f>
              <c:strCache>
                <c:ptCount val="1"/>
                <c:pt idx="0">
                  <c:v>Net Profit Margin %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layout>
                <c:manualLayout>
                  <c:x val="-3.1597883597883597E-2"/>
                  <c:y val="3.11837086585690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8E-4B69-A8C3-860C81C014C4}"/>
                </c:ext>
              </c:extLst>
            </c:dLbl>
            <c:dLbl>
              <c:idx val="4"/>
              <c:layout>
                <c:manualLayout>
                  <c:x val="-1.6486772486772525E-2"/>
                  <c:y val="-2.6967881875738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8E-4B69-A8C3-860C81C014C4}"/>
                </c:ext>
              </c:extLst>
            </c:dLbl>
            <c:dLbl>
              <c:idx val="7"/>
              <c:layout>
                <c:manualLayout>
                  <c:x val="-1.9065919402188495E-2"/>
                  <c:y val="-3.9428936990233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8E-4B69-A8C3-860C81C014C4}"/>
                </c:ext>
              </c:extLst>
            </c:dLbl>
            <c:dLbl>
              <c:idx val="8"/>
              <c:layout>
                <c:manualLayout>
                  <c:x val="-1.9065919402188495E-2"/>
                  <c:y val="-3.112156691390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E8E-4B69-A8C3-860C81C014C4}"/>
                </c:ext>
              </c:extLst>
            </c:dLbl>
            <c:dLbl>
              <c:idx val="9"/>
              <c:layout>
                <c:manualLayout>
                  <c:x val="-3.2359788359788283E-2"/>
                  <c:y val="-3.112156691390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8E-4B69-A8C3-860C81C014C4}"/>
                </c:ext>
              </c:extLst>
            </c:dLbl>
            <c:dLbl>
              <c:idx val="10"/>
              <c:layout>
                <c:manualLayout>
                  <c:x val="-3.5534391534391536E-2"/>
                  <c:y val="-2.28141968375739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8E-4B69-A8C3-860C81C014C4}"/>
                </c:ext>
              </c:extLst>
            </c:dLbl>
            <c:dLbl>
              <c:idx val="11"/>
              <c:layout>
                <c:manualLayout>
                  <c:x val="2.9602966295878132E-3"/>
                  <c:y val="2.2876338582239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8E-4B69-A8C3-860C81C014C4}"/>
                </c:ext>
              </c:extLst>
            </c:dLbl>
            <c:dLbl>
              <c:idx val="12"/>
              <c:layout>
                <c:manualLayout>
                  <c:x val="-5.8016081323169488E-3"/>
                  <c:y val="3.11837086585689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8E-4B69-A8C3-860C81C014C4}"/>
                </c:ext>
              </c:extLst>
            </c:dLbl>
            <c:dLbl>
              <c:idx val="13"/>
              <c:layout>
                <c:manualLayout>
                  <c:x val="-2.627004957713619E-3"/>
                  <c:y val="4.7798448811228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8E-4B69-A8C3-860C81C014C4}"/>
                </c:ext>
              </c:extLst>
            </c:dLbl>
            <c:dLbl>
              <c:idx val="14"/>
              <c:layout>
                <c:manualLayout>
                  <c:x val="3.7222013914927302E-3"/>
                  <c:y val="1.0415283467744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8E-4B69-A8C3-860C81C01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Trends'!$M$133:$M$147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Trends'!$Q$133:$Q$147</c:f>
              <c:numCache>
                <c:formatCode>0%</c:formatCode>
                <c:ptCount val="15"/>
                <c:pt idx="0">
                  <c:v>-0.49793198324147114</c:v>
                </c:pt>
                <c:pt idx="1">
                  <c:v>-1.3219351743986842</c:v>
                </c:pt>
                <c:pt idx="2">
                  <c:v>-1.245635079954172</c:v>
                </c:pt>
                <c:pt idx="3">
                  <c:v>-0.95875921946686815</c:v>
                </c:pt>
                <c:pt idx="4">
                  <c:v>-3.6758950601342141E-2</c:v>
                </c:pt>
                <c:pt idx="5">
                  <c:v>-9.1934731468291842E-2</c:v>
                </c:pt>
                <c:pt idx="6">
                  <c:v>-0.21963853411681836</c:v>
                </c:pt>
                <c:pt idx="7">
                  <c:v>-9.6414467612896446E-2</c:v>
                </c:pt>
                <c:pt idx="8">
                  <c:v>-0.16685092269750829</c:v>
                </c:pt>
                <c:pt idx="9">
                  <c:v>-4.5477843530124414E-2</c:v>
                </c:pt>
                <c:pt idx="10">
                  <c:v>-3.5072015623728539E-2</c:v>
                </c:pt>
                <c:pt idx="11">
                  <c:v>2.1879756468797563E-2</c:v>
                </c:pt>
                <c:pt idx="12">
                  <c:v>0.10263270349107259</c:v>
                </c:pt>
                <c:pt idx="13">
                  <c:v>0.15446465836831896</c:v>
                </c:pt>
                <c:pt idx="14">
                  <c:v>0.15499157822946483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C-438E-9C17-AC236EE901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1023952"/>
        <c:axId val="1605692384"/>
      </c:lineChart>
      <c:catAx>
        <c:axId val="16610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92384"/>
        <c:crosses val="autoZero"/>
        <c:auto val="1"/>
        <c:lblAlgn val="ctr"/>
        <c:lblOffset val="100"/>
        <c:noMultiLvlLbl val="0"/>
      </c:catAx>
      <c:valAx>
        <c:axId val="1605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Health and Trends'!$Y$132</c:f>
              <c:strCache>
                <c:ptCount val="1"/>
                <c:pt idx="0">
                  <c:v>Working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numRef>
              <c:f>'Financial Health and Trends'!$X$133:$X$147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Trends'!$Y$133:$Y$147</c:f>
              <c:numCache>
                <c:formatCode>General</c:formatCode>
                <c:ptCount val="15"/>
                <c:pt idx="0">
                  <c:v>43.07</c:v>
                </c:pt>
                <c:pt idx="1">
                  <c:v>150.321</c:v>
                </c:pt>
                <c:pt idx="2">
                  <c:v>181.499</c:v>
                </c:pt>
                <c:pt idx="3">
                  <c:v>-14.34</c:v>
                </c:pt>
                <c:pt idx="4">
                  <c:v>590.779</c:v>
                </c:pt>
                <c:pt idx="5">
                  <c:v>1072.9069999999999</c:v>
                </c:pt>
                <c:pt idx="6">
                  <c:v>-29.029</c:v>
                </c:pt>
                <c:pt idx="7">
                  <c:v>432.791</c:v>
                </c:pt>
                <c:pt idx="8">
                  <c:v>-1104.1500000000001</c:v>
                </c:pt>
                <c:pt idx="9">
                  <c:v>-1686</c:v>
                </c:pt>
                <c:pt idx="10">
                  <c:v>1436</c:v>
                </c:pt>
                <c:pt idx="11">
                  <c:v>12469</c:v>
                </c:pt>
                <c:pt idx="12">
                  <c:v>7395</c:v>
                </c:pt>
                <c:pt idx="13">
                  <c:v>14208</c:v>
                </c:pt>
                <c:pt idx="14">
                  <c:v>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A-4E94-AC1F-B4BD095E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750863"/>
        <c:axId val="1150403231"/>
      </c:lineChart>
      <c:catAx>
        <c:axId val="11507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03231"/>
        <c:crosses val="autoZero"/>
        <c:auto val="1"/>
        <c:lblAlgn val="ctr"/>
        <c:lblOffset val="100"/>
        <c:noMultiLvlLbl val="0"/>
      </c:catAx>
      <c:valAx>
        <c:axId val="115040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5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brightRoom" dir="t"/>
    </a:scene3d>
    <a:sp3d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28227153424002E-2"/>
          <c:y val="0.20019174961620365"/>
          <c:w val="0.90745194012910546"/>
          <c:h val="0.59266438864953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Health and Trends'!$AB$132</c:f>
              <c:strCache>
                <c:ptCount val="1"/>
                <c:pt idx="0">
                  <c:v>Cash Flow From Operating Activities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'Financial Health and Trends'!$AA$133:$AA$147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Trends'!$AB$133:$AB$147</c:f>
              <c:numCache>
                <c:formatCode>General</c:formatCode>
                <c:ptCount val="15"/>
                <c:pt idx="0">
                  <c:v>-80.825000000000003</c:v>
                </c:pt>
                <c:pt idx="1">
                  <c:v>-127.81699999999999</c:v>
                </c:pt>
                <c:pt idx="2">
                  <c:v>-128.03399999999999</c:v>
                </c:pt>
                <c:pt idx="3">
                  <c:v>-263.815</c:v>
                </c:pt>
                <c:pt idx="4">
                  <c:v>264.80399999999997</c:v>
                </c:pt>
                <c:pt idx="5">
                  <c:v>-57.337000000000003</c:v>
                </c:pt>
                <c:pt idx="6">
                  <c:v>-524.49900000000002</c:v>
                </c:pt>
                <c:pt idx="7">
                  <c:v>-123.82899999999999</c:v>
                </c:pt>
                <c:pt idx="8">
                  <c:v>-61</c:v>
                </c:pt>
                <c:pt idx="9">
                  <c:v>2098</c:v>
                </c:pt>
                <c:pt idx="10">
                  <c:v>2405</c:v>
                </c:pt>
                <c:pt idx="11">
                  <c:v>5943</c:v>
                </c:pt>
                <c:pt idx="12">
                  <c:v>11497</c:v>
                </c:pt>
                <c:pt idx="13">
                  <c:v>14724</c:v>
                </c:pt>
                <c:pt idx="14">
                  <c:v>13256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C-455F-BB9B-BBB059D6963E}"/>
            </c:ext>
          </c:extLst>
        </c:ser>
        <c:ser>
          <c:idx val="1"/>
          <c:order val="1"/>
          <c:tx>
            <c:strRef>
              <c:f>'Financial Health and Trends'!$AC$132</c:f>
              <c:strCache>
                <c:ptCount val="1"/>
                <c:pt idx="0">
                  <c:v>Cash Flow From Investing Activities</c:v>
                </c:pt>
              </c:strCache>
            </c:strRef>
          </c:tx>
          <c:spPr>
            <a:solidFill>
              <a:srgbClr val="84E291"/>
            </a:solidFill>
            <a:ln w="22225">
              <a:solidFill>
                <a:schemeClr val="accent3">
                  <a:lumMod val="60000"/>
                  <a:lumOff val="40000"/>
                  <a:alpha val="78000"/>
                </a:schemeClr>
              </a:solidFill>
            </a:ln>
            <a:effectLst/>
            <a:scene3d>
              <a:camera prst="orthographicFront"/>
              <a:lightRig rig="threePt" dir="t"/>
            </a:scene3d>
          </c:spPr>
          <c:invertIfNegative val="0"/>
          <c:cat>
            <c:numRef>
              <c:f>'Financial Health and Trends'!$AA$133:$AA$147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Trends'!$AC$133:$AC$147</c:f>
              <c:numCache>
                <c:formatCode>General</c:formatCode>
                <c:ptCount val="15"/>
                <c:pt idx="0">
                  <c:v>-14.244</c:v>
                </c:pt>
                <c:pt idx="1">
                  <c:v>-180.297</c:v>
                </c:pt>
                <c:pt idx="2">
                  <c:v>-162.25800000000001</c:v>
                </c:pt>
                <c:pt idx="3">
                  <c:v>-206.93</c:v>
                </c:pt>
                <c:pt idx="4">
                  <c:v>-249.417</c:v>
                </c:pt>
                <c:pt idx="5">
                  <c:v>-990.44399999999996</c:v>
                </c:pt>
                <c:pt idx="6">
                  <c:v>-1673.5509999999999</c:v>
                </c:pt>
                <c:pt idx="7">
                  <c:v>-1081.085</c:v>
                </c:pt>
                <c:pt idx="8">
                  <c:v>-4196</c:v>
                </c:pt>
                <c:pt idx="9">
                  <c:v>-2337</c:v>
                </c:pt>
                <c:pt idx="10">
                  <c:v>-1436</c:v>
                </c:pt>
                <c:pt idx="11">
                  <c:v>-3132</c:v>
                </c:pt>
                <c:pt idx="12">
                  <c:v>-7868</c:v>
                </c:pt>
                <c:pt idx="13">
                  <c:v>-11973</c:v>
                </c:pt>
                <c:pt idx="14">
                  <c:v>-15584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C-455F-BB9B-BBB059D6963E}"/>
            </c:ext>
          </c:extLst>
        </c:ser>
        <c:ser>
          <c:idx val="2"/>
          <c:order val="2"/>
          <c:tx>
            <c:strRef>
              <c:f>'Financial Health and Trends'!$AD$132</c:f>
              <c:strCache>
                <c:ptCount val="1"/>
                <c:pt idx="0">
                  <c:v>Cash Flow From Financial Activities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'Financial Health and Trends'!$AA$133:$AA$147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Trends'!$AD$133:$AD$147</c:f>
              <c:numCache>
                <c:formatCode>General</c:formatCode>
                <c:ptCount val="15"/>
                <c:pt idx="0">
                  <c:v>155.41900000000001</c:v>
                </c:pt>
                <c:pt idx="1">
                  <c:v>338.04500000000002</c:v>
                </c:pt>
                <c:pt idx="2">
                  <c:v>446</c:v>
                </c:pt>
                <c:pt idx="3">
                  <c:v>419.63499999999999</c:v>
                </c:pt>
                <c:pt idx="4">
                  <c:v>635.42200000000003</c:v>
                </c:pt>
                <c:pt idx="5">
                  <c:v>2143.13</c:v>
                </c:pt>
                <c:pt idx="6">
                  <c:v>1523.5229999999999</c:v>
                </c:pt>
                <c:pt idx="7">
                  <c:v>3743.9760000000001</c:v>
                </c:pt>
                <c:pt idx="8">
                  <c:v>4415</c:v>
                </c:pt>
                <c:pt idx="9">
                  <c:v>574</c:v>
                </c:pt>
                <c:pt idx="10">
                  <c:v>1529</c:v>
                </c:pt>
                <c:pt idx="11">
                  <c:v>9973</c:v>
                </c:pt>
                <c:pt idx="12">
                  <c:v>-5203</c:v>
                </c:pt>
                <c:pt idx="13">
                  <c:v>-3527</c:v>
                </c:pt>
                <c:pt idx="14">
                  <c:v>2589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C-455F-BB9B-BBB059D6963E}"/>
            </c:ext>
          </c:extLst>
        </c:ser>
        <c:ser>
          <c:idx val="3"/>
          <c:order val="3"/>
          <c:tx>
            <c:strRef>
              <c:f>'Financial Health and Trends'!$AE$132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'Financial Health and Trends'!$AA$133:$AA$147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Trends'!$AE$133:$AE$147</c:f>
              <c:numCache>
                <c:formatCode>General</c:formatCode>
                <c:ptCount val="15"/>
                <c:pt idx="0">
                  <c:v>60.35</c:v>
                </c:pt>
                <c:pt idx="1">
                  <c:v>29.931000000000001</c:v>
                </c:pt>
                <c:pt idx="2">
                  <c:v>155.708</c:v>
                </c:pt>
                <c:pt idx="3">
                  <c:v>-53.375999999999998</c:v>
                </c:pt>
                <c:pt idx="4">
                  <c:v>643.99900000000002</c:v>
                </c:pt>
                <c:pt idx="5">
                  <c:v>1059.8240000000001</c:v>
                </c:pt>
                <c:pt idx="6">
                  <c:v>-708.80499999999995</c:v>
                </c:pt>
                <c:pt idx="7">
                  <c:v>2532.509</c:v>
                </c:pt>
                <c:pt idx="8">
                  <c:v>198</c:v>
                </c:pt>
                <c:pt idx="9">
                  <c:v>312</c:v>
                </c:pt>
                <c:pt idx="10">
                  <c:v>2506</c:v>
                </c:pt>
                <c:pt idx="11">
                  <c:v>13118</c:v>
                </c:pt>
                <c:pt idx="12">
                  <c:v>-1757</c:v>
                </c:pt>
                <c:pt idx="13">
                  <c:v>-1220</c:v>
                </c:pt>
                <c:pt idx="1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C-455F-BB9B-BBB059D6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890752"/>
        <c:axId val="420288048"/>
      </c:barChart>
      <c:catAx>
        <c:axId val="4238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8048"/>
        <c:crosses val="autoZero"/>
        <c:auto val="1"/>
        <c:lblAlgn val="ctr"/>
        <c:lblOffset val="100"/>
        <c:noMultiLvlLbl val="0"/>
      </c:catAx>
      <c:valAx>
        <c:axId val="42028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05170944541024"/>
          <c:y val="0.80834625860446685"/>
          <c:w val="0.69204376725636563"/>
          <c:h val="0.18662229485465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glow rad="63500">
        <a:schemeClr val="accent1">
          <a:satMod val="175000"/>
          <a:alpha val="40000"/>
        </a:schemeClr>
      </a:glow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03986495527155E-2"/>
          <c:y val="0.21859375"/>
          <c:w val="0.92999202700894568"/>
          <c:h val="0.65058193897637795"/>
        </c:manualLayout>
      </c:layout>
      <c:lineChart>
        <c:grouping val="standard"/>
        <c:varyColors val="0"/>
        <c:ser>
          <c:idx val="0"/>
          <c:order val="0"/>
          <c:tx>
            <c:strRef>
              <c:f>'Financial Health and Trends'!$AH$132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Trends'!$AG$133:$AG$147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Trends'!$AH$133:$AH$147</c:f>
              <c:numCache>
                <c:formatCode>0.0</c:formatCode>
                <c:ptCount val="15"/>
                <c:pt idx="0">
                  <c:v>0.85829999999999995</c:v>
                </c:pt>
                <c:pt idx="1">
                  <c:v>0.3024</c:v>
                </c:pt>
                <c:pt idx="2">
                  <c:v>0.2863</c:v>
                </c:pt>
                <c:pt idx="3">
                  <c:v>0.37090000000000001</c:v>
                </c:pt>
                <c:pt idx="4">
                  <c:v>0.83309999999999995</c:v>
                </c:pt>
                <c:pt idx="5">
                  <c:v>0.54849999999999999</c:v>
                </c:pt>
                <c:pt idx="6">
                  <c:v>0.50149999999999995</c:v>
                </c:pt>
                <c:pt idx="7">
                  <c:v>0.30890000000000001</c:v>
                </c:pt>
                <c:pt idx="8">
                  <c:v>0.41039999999999999</c:v>
                </c:pt>
                <c:pt idx="9">
                  <c:v>0.72160000000000002</c:v>
                </c:pt>
                <c:pt idx="10">
                  <c:v>0.71640000000000004</c:v>
                </c:pt>
                <c:pt idx="11">
                  <c:v>0.60470000000000002</c:v>
                </c:pt>
                <c:pt idx="12">
                  <c:v>0.86629999999999996</c:v>
                </c:pt>
                <c:pt idx="13">
                  <c:v>0.98939999999999995</c:v>
                </c:pt>
                <c:pt idx="14">
                  <c:v>0.90769999999999995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9-47FC-8ED3-6BEC310B69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9557231"/>
        <c:axId val="685877711"/>
      </c:lineChart>
      <c:catAx>
        <c:axId val="939557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77711"/>
        <c:crosses val="autoZero"/>
        <c:auto val="1"/>
        <c:lblAlgn val="ctr"/>
        <c:lblOffset val="100"/>
        <c:noMultiLvlLbl val="0"/>
      </c:catAx>
      <c:valAx>
        <c:axId val="685877711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9395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36036036036036E-2"/>
          <c:y val="0.22811932555123215"/>
          <c:w val="0.92792792792792789"/>
          <c:h val="0.65194154232666446"/>
        </c:manualLayout>
      </c:layout>
      <c:lineChart>
        <c:grouping val="standard"/>
        <c:varyColors val="0"/>
        <c:ser>
          <c:idx val="0"/>
          <c:order val="0"/>
          <c:tx>
            <c:strRef>
              <c:f>'Financial Health and Trends'!$AI$132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Trends'!$AG$133:$AG$147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Trends'!$AI$133:$AI$147</c:f>
              <c:numCache>
                <c:formatCode>0.0</c:formatCode>
                <c:ptCount val="15"/>
                <c:pt idx="0">
                  <c:v>4.41</c:v>
                </c:pt>
                <c:pt idx="1">
                  <c:v>1.9036999999999999</c:v>
                </c:pt>
                <c:pt idx="2">
                  <c:v>2.8483000000000001</c:v>
                </c:pt>
                <c:pt idx="3">
                  <c:v>1.4271</c:v>
                </c:pt>
                <c:pt idx="4">
                  <c:v>4.5753000000000004</c:v>
                </c:pt>
                <c:pt idx="5">
                  <c:v>2.4291999999999998</c:v>
                </c:pt>
                <c:pt idx="6">
                  <c:v>2.4436</c:v>
                </c:pt>
                <c:pt idx="7">
                  <c:v>2.6122999999999998</c:v>
                </c:pt>
                <c:pt idx="8">
                  <c:v>4.2129000000000003</c:v>
                </c:pt>
                <c:pt idx="9">
                  <c:v>5.5956000000000001</c:v>
                </c:pt>
                <c:pt idx="10">
                  <c:v>5.7739000000000003</c:v>
                </c:pt>
                <c:pt idx="11">
                  <c:v>6.0731999999999999</c:v>
                </c:pt>
                <c:pt idx="12">
                  <c:v>6.9858000000000002</c:v>
                </c:pt>
                <c:pt idx="13">
                  <c:v>4.7206999999999999</c:v>
                </c:pt>
                <c:pt idx="14">
                  <c:v>5.806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6-43B2-BC9E-04B6C10080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2480495"/>
        <c:axId val="909857871"/>
      </c:lineChart>
      <c:catAx>
        <c:axId val="1172480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57871"/>
        <c:crosses val="autoZero"/>
        <c:auto val="1"/>
        <c:lblAlgn val="ctr"/>
        <c:lblOffset val="100"/>
        <c:noMultiLvlLbl val="0"/>
      </c:catAx>
      <c:valAx>
        <c:axId val="909857871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17248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Receivable 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772348563511025E-2"/>
          <c:y val="0.24463541666666666"/>
          <c:w val="0.92845530287297795"/>
          <c:h val="0.63495693897637806"/>
        </c:manualLayout>
      </c:layout>
      <c:lineChart>
        <c:grouping val="standard"/>
        <c:varyColors val="0"/>
        <c:ser>
          <c:idx val="0"/>
          <c:order val="0"/>
          <c:tx>
            <c:strRef>
              <c:f>'Financial Health and Trends'!$AJ$132</c:f>
              <c:strCache>
                <c:ptCount val="1"/>
                <c:pt idx="0">
                  <c:v>Receiveable Turnover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'Financial Health and Trends'!$AG$133:$AG$147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cat>
          <c:val>
            <c:numRef>
              <c:f>'Financial Health and Trends'!$AJ$133:$AJ$147</c:f>
              <c:numCache>
                <c:formatCode>0.0</c:formatCode>
                <c:ptCount val="15"/>
                <c:pt idx="0">
                  <c:v>32.093800000000002</c:v>
                </c:pt>
                <c:pt idx="1">
                  <c:v>17.398499999999999</c:v>
                </c:pt>
                <c:pt idx="2">
                  <c:v>21.411300000000001</c:v>
                </c:pt>
                <c:pt idx="3">
                  <c:v>15.395899999999999</c:v>
                </c:pt>
                <c:pt idx="4">
                  <c:v>41.000599999999999</c:v>
                </c:pt>
                <c:pt idx="5">
                  <c:v>14.1143</c:v>
                </c:pt>
                <c:pt idx="6">
                  <c:v>23.945900000000002</c:v>
                </c:pt>
                <c:pt idx="7">
                  <c:v>14.0243</c:v>
                </c:pt>
                <c:pt idx="8">
                  <c:v>22.816099999999999</c:v>
                </c:pt>
                <c:pt idx="9">
                  <c:v>22.6143</c:v>
                </c:pt>
                <c:pt idx="10">
                  <c:v>18.563400000000001</c:v>
                </c:pt>
                <c:pt idx="11">
                  <c:v>16.7211</c:v>
                </c:pt>
                <c:pt idx="12">
                  <c:v>28.135400000000001</c:v>
                </c:pt>
                <c:pt idx="13">
                  <c:v>27.595500000000001</c:v>
                </c:pt>
                <c:pt idx="14">
                  <c:v>27.586400000000001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8-4893-832E-E014FA3E26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2478095"/>
        <c:axId val="1281364191"/>
      </c:lineChart>
      <c:catAx>
        <c:axId val="1172478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364191"/>
        <c:crosses val="autoZero"/>
        <c:auto val="1"/>
        <c:lblAlgn val="ctr"/>
        <c:lblOffset val="100"/>
        <c:noMultiLvlLbl val="0"/>
      </c:catAx>
      <c:valAx>
        <c:axId val="1281364191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17247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</a:rPr>
              <a:t>Correlation of Turnover Ratios</a:t>
            </a:r>
          </a:p>
        </c:rich>
      </c:tx>
      <c:layout>
        <c:manualLayout>
          <c:xMode val="edge"/>
          <c:yMode val="edge"/>
          <c:x val="0.18575658427004071"/>
          <c:y val="2.0700653943680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18424188169431E-2"/>
          <c:y val="0.18334908136482939"/>
          <c:w val="0.93600305966558028"/>
          <c:h val="0.693353490813648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'Financial Health and Trends'!$AH$132</c:f>
              <c:strCache>
                <c:ptCount val="1"/>
                <c:pt idx="0">
                  <c:v>Asset Turnover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Health and Trends'!$AG$133:$AG$147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'Financial Health and Trends'!$AH$133:$AH$147</c:f>
              <c:numCache>
                <c:formatCode>0.0</c:formatCode>
                <c:ptCount val="15"/>
                <c:pt idx="0">
                  <c:v>0.85829999999999995</c:v>
                </c:pt>
                <c:pt idx="1">
                  <c:v>0.3024</c:v>
                </c:pt>
                <c:pt idx="2">
                  <c:v>0.2863</c:v>
                </c:pt>
                <c:pt idx="3">
                  <c:v>0.37090000000000001</c:v>
                </c:pt>
                <c:pt idx="4">
                  <c:v>0.83309999999999995</c:v>
                </c:pt>
                <c:pt idx="5">
                  <c:v>0.54849999999999999</c:v>
                </c:pt>
                <c:pt idx="6">
                  <c:v>0.50149999999999995</c:v>
                </c:pt>
                <c:pt idx="7">
                  <c:v>0.30890000000000001</c:v>
                </c:pt>
                <c:pt idx="8">
                  <c:v>0.41039999999999999</c:v>
                </c:pt>
                <c:pt idx="9">
                  <c:v>0.72160000000000002</c:v>
                </c:pt>
                <c:pt idx="10">
                  <c:v>0.71640000000000004</c:v>
                </c:pt>
                <c:pt idx="11">
                  <c:v>0.60470000000000002</c:v>
                </c:pt>
                <c:pt idx="12">
                  <c:v>0.86629999999999996</c:v>
                </c:pt>
                <c:pt idx="13">
                  <c:v>0.98939999999999995</c:v>
                </c:pt>
                <c:pt idx="14">
                  <c:v>0.90769999999999995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5-44F1-A312-4B36747420D1}"/>
            </c:ext>
          </c:extLst>
        </c:ser>
        <c:ser>
          <c:idx val="1"/>
          <c:order val="1"/>
          <c:tx>
            <c:strRef>
              <c:f>'Financial Health and Trends'!$AI$132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95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Health and Trends'!$AG$133:$AG$147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'Financial Health and Trends'!$AI$133:$AI$147</c:f>
              <c:numCache>
                <c:formatCode>0.0</c:formatCode>
                <c:ptCount val="15"/>
                <c:pt idx="0">
                  <c:v>4.41</c:v>
                </c:pt>
                <c:pt idx="1">
                  <c:v>1.9036999999999999</c:v>
                </c:pt>
                <c:pt idx="2">
                  <c:v>2.8483000000000001</c:v>
                </c:pt>
                <c:pt idx="3">
                  <c:v>1.4271</c:v>
                </c:pt>
                <c:pt idx="4">
                  <c:v>4.5753000000000004</c:v>
                </c:pt>
                <c:pt idx="5">
                  <c:v>2.4291999999999998</c:v>
                </c:pt>
                <c:pt idx="6">
                  <c:v>2.4436</c:v>
                </c:pt>
                <c:pt idx="7">
                  <c:v>2.6122999999999998</c:v>
                </c:pt>
                <c:pt idx="8">
                  <c:v>4.2129000000000003</c:v>
                </c:pt>
                <c:pt idx="9">
                  <c:v>5.5956000000000001</c:v>
                </c:pt>
                <c:pt idx="10">
                  <c:v>5.7739000000000003</c:v>
                </c:pt>
                <c:pt idx="11">
                  <c:v>6.0731999999999999</c:v>
                </c:pt>
                <c:pt idx="12">
                  <c:v>6.9858000000000002</c:v>
                </c:pt>
                <c:pt idx="13">
                  <c:v>4.7206999999999999</c:v>
                </c:pt>
                <c:pt idx="14">
                  <c:v>5.806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5-44F1-A312-4B36747420D1}"/>
            </c:ext>
          </c:extLst>
        </c:ser>
        <c:ser>
          <c:idx val="2"/>
          <c:order val="2"/>
          <c:tx>
            <c:strRef>
              <c:f>'Financial Health and Trends'!$AJ$132</c:f>
              <c:strCache>
                <c:ptCount val="1"/>
                <c:pt idx="0">
                  <c:v>Receiveable Turnover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'Financial Health and Trends'!$AG$133:$AG$147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'Financial Health and Trends'!$AJ$133:$AJ$147</c:f>
              <c:numCache>
                <c:formatCode>0.0</c:formatCode>
                <c:ptCount val="15"/>
                <c:pt idx="0">
                  <c:v>32.093800000000002</c:v>
                </c:pt>
                <c:pt idx="1">
                  <c:v>17.398499999999999</c:v>
                </c:pt>
                <c:pt idx="2">
                  <c:v>21.411300000000001</c:v>
                </c:pt>
                <c:pt idx="3">
                  <c:v>15.395899999999999</c:v>
                </c:pt>
                <c:pt idx="4">
                  <c:v>41.000599999999999</c:v>
                </c:pt>
                <c:pt idx="5">
                  <c:v>14.1143</c:v>
                </c:pt>
                <c:pt idx="6">
                  <c:v>23.945900000000002</c:v>
                </c:pt>
                <c:pt idx="7">
                  <c:v>14.0243</c:v>
                </c:pt>
                <c:pt idx="8">
                  <c:v>22.816099999999999</c:v>
                </c:pt>
                <c:pt idx="9">
                  <c:v>22.6143</c:v>
                </c:pt>
                <c:pt idx="10">
                  <c:v>18.563400000000001</c:v>
                </c:pt>
                <c:pt idx="11">
                  <c:v>16.7211</c:v>
                </c:pt>
                <c:pt idx="12">
                  <c:v>28.135400000000001</c:v>
                </c:pt>
                <c:pt idx="13">
                  <c:v>27.595500000000001</c:v>
                </c:pt>
                <c:pt idx="14">
                  <c:v>27.586400000000001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5-44F1-A312-4B367474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0912"/>
        <c:axId val="1964489296"/>
      </c:scatterChart>
      <c:valAx>
        <c:axId val="1323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89296"/>
        <c:crosses val="autoZero"/>
        <c:crossBetween val="midCat"/>
      </c:valAx>
      <c:valAx>
        <c:axId val="1964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190493602230864"/>
          <c:y val="5.300858579118288E-2"/>
          <c:w val="0.34947533880122472"/>
          <c:h val="9.6442204724409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7</xdr:row>
      <xdr:rowOff>152401</xdr:rowOff>
    </xdr:from>
    <xdr:to>
      <xdr:col>7</xdr:col>
      <xdr:colOff>66675</xdr:colOff>
      <xdr:row>20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CCA54-784F-ACD4-19D1-93744C676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157161</xdr:colOff>
      <xdr:row>7</xdr:row>
      <xdr:rowOff>161926</xdr:rowOff>
    </xdr:from>
    <xdr:to>
      <xdr:col>19</xdr:col>
      <xdr:colOff>495300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8676E-FD68-0D35-08EF-47024D089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0</xdr:row>
      <xdr:rowOff>123825</xdr:rowOff>
    </xdr:from>
    <xdr:to>
      <xdr:col>16</xdr:col>
      <xdr:colOff>438150</xdr:colOff>
      <xdr:row>3</xdr:row>
      <xdr:rowOff>9525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F4C58EF-B4B3-F63F-A81F-F1C42C6EC8E2}"/>
            </a:ext>
          </a:extLst>
        </xdr:cNvPr>
        <xdr:cNvSpPr/>
      </xdr:nvSpPr>
      <xdr:spPr>
        <a:xfrm>
          <a:off x="2733675" y="123825"/>
          <a:ext cx="7458075" cy="4572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266268</xdr:colOff>
      <xdr:row>0</xdr:row>
      <xdr:rowOff>66675</xdr:rowOff>
    </xdr:from>
    <xdr:ext cx="4706225" cy="593239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1856C5C-0F4F-9B3B-6F25-D595DC8424B0}"/>
            </a:ext>
          </a:extLst>
        </xdr:cNvPr>
        <xdr:cNvSpPr/>
      </xdr:nvSpPr>
      <xdr:spPr>
        <a:xfrm>
          <a:off x="3923868" y="66675"/>
          <a:ext cx="470622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Financial Health and Trend</a:t>
          </a:r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247649</xdr:colOff>
      <xdr:row>37</xdr:row>
      <xdr:rowOff>57150</xdr:rowOff>
    </xdr:from>
    <xdr:to>
      <xdr:col>19</xdr:col>
      <xdr:colOff>561974</xdr:colOff>
      <xdr:row>56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1AF2B0-2161-8537-E997-B80F84A2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35</xdr:row>
      <xdr:rowOff>38100</xdr:rowOff>
    </xdr:from>
    <xdr:to>
      <xdr:col>19</xdr:col>
      <xdr:colOff>533400</xdr:colOff>
      <xdr:row>35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F5ED032-800C-40E0-A00D-5ADF23BA65C8}"/>
            </a:ext>
          </a:extLst>
        </xdr:cNvPr>
        <xdr:cNvCxnSpPr/>
      </xdr:nvCxnSpPr>
      <xdr:spPr>
        <a:xfrm>
          <a:off x="152400" y="6324600"/>
          <a:ext cx="11963400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33</xdr:row>
      <xdr:rowOff>152400</xdr:rowOff>
    </xdr:from>
    <xdr:to>
      <xdr:col>11</xdr:col>
      <xdr:colOff>180975</xdr:colOff>
      <xdr:row>36</xdr:row>
      <xdr:rowOff>66675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006E262-522A-411D-B3CC-844B13895889}"/>
            </a:ext>
          </a:extLst>
        </xdr:cNvPr>
        <xdr:cNvSpPr txBox="1"/>
      </xdr:nvSpPr>
      <xdr:spPr>
        <a:xfrm>
          <a:off x="5314950" y="7010400"/>
          <a:ext cx="1571625" cy="48577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Profitability</a:t>
          </a:r>
          <a:endParaRPr lang="en-US" sz="2400" b="1"/>
        </a:p>
      </xdr:txBody>
    </xdr:sp>
    <xdr:clientData/>
  </xdr:twoCellAnchor>
  <xdr:twoCellAnchor>
    <xdr:from>
      <xdr:col>0</xdr:col>
      <xdr:colOff>266700</xdr:colOff>
      <xdr:row>5</xdr:row>
      <xdr:rowOff>95250</xdr:rowOff>
    </xdr:from>
    <xdr:to>
      <xdr:col>19</xdr:col>
      <xdr:colOff>590550</xdr:colOff>
      <xdr:row>5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6990647-EF78-4F69-9B16-7AAC5A29ADFA}"/>
            </a:ext>
          </a:extLst>
        </xdr:cNvPr>
        <xdr:cNvCxnSpPr/>
      </xdr:nvCxnSpPr>
      <xdr:spPr>
        <a:xfrm>
          <a:off x="266700" y="1047750"/>
          <a:ext cx="11906250" cy="381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276225</xdr:colOff>
      <xdr:row>4</xdr:row>
      <xdr:rowOff>104776</xdr:rowOff>
    </xdr:from>
    <xdr:to>
      <xdr:col>12</xdr:col>
      <xdr:colOff>228600</xdr:colOff>
      <xdr:row>6</xdr:row>
      <xdr:rowOff>104776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808E57A-BAF4-4D45-B850-9D76891E9206}"/>
            </a:ext>
          </a:extLst>
        </xdr:cNvPr>
        <xdr:cNvSpPr txBox="1"/>
      </xdr:nvSpPr>
      <xdr:spPr>
        <a:xfrm>
          <a:off x="5153025" y="866776"/>
          <a:ext cx="2390775" cy="381000"/>
        </a:xfrm>
        <a:prstGeom prst="rect">
          <a:avLst/>
        </a:prstGeom>
        <a:ln/>
        <a:effectLst>
          <a:softEdge rad="0"/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Revenue and Growth</a:t>
          </a:r>
          <a:endParaRPr lang="en-US" sz="2400" b="1"/>
        </a:p>
      </xdr:txBody>
    </xdr:sp>
    <xdr:clientData/>
  </xdr:twoCellAnchor>
  <xdr:twoCellAnchor>
    <xdr:from>
      <xdr:col>0</xdr:col>
      <xdr:colOff>161925</xdr:colOff>
      <xdr:row>59</xdr:row>
      <xdr:rowOff>66675</xdr:rowOff>
    </xdr:from>
    <xdr:to>
      <xdr:col>19</xdr:col>
      <xdr:colOff>542925</xdr:colOff>
      <xdr:row>59</xdr:row>
      <xdr:rowOff>76200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CBA8B60-41C9-4BE0-9458-1572187B8A6E}"/>
            </a:ext>
          </a:extLst>
        </xdr:cNvPr>
        <xdr:cNvCxnSpPr/>
      </xdr:nvCxnSpPr>
      <xdr:spPr>
        <a:xfrm>
          <a:off x="161925" y="12068175"/>
          <a:ext cx="11963400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342899</xdr:colOff>
      <xdr:row>58</xdr:row>
      <xdr:rowOff>9525</xdr:rowOff>
    </xdr:from>
    <xdr:to>
      <xdr:col>11</xdr:col>
      <xdr:colOff>466724</xdr:colOff>
      <xdr:row>60</xdr:row>
      <xdr:rowOff>114300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855C03-BD58-445F-90B3-BEA4EA7AB5A1}"/>
            </a:ext>
          </a:extLst>
        </xdr:cNvPr>
        <xdr:cNvSpPr txBox="1"/>
      </xdr:nvSpPr>
      <xdr:spPr>
        <a:xfrm>
          <a:off x="4610099" y="11820525"/>
          <a:ext cx="2562225" cy="48577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Liquidity and Solvency</a:t>
          </a:r>
          <a:endParaRPr lang="en-US" sz="2400" b="1"/>
        </a:p>
      </xdr:txBody>
    </xdr:sp>
    <xdr:clientData/>
  </xdr:twoCellAnchor>
  <xdr:twoCellAnchor>
    <xdr:from>
      <xdr:col>0</xdr:col>
      <xdr:colOff>200026</xdr:colOff>
      <xdr:row>73</xdr:row>
      <xdr:rowOff>95251</xdr:rowOff>
    </xdr:from>
    <xdr:to>
      <xdr:col>7</xdr:col>
      <xdr:colOff>238126</xdr:colOff>
      <xdr:row>85</xdr:row>
      <xdr:rowOff>30265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5F3CF0-11F2-76D9-56DE-17F7EFB4C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73</xdr:row>
      <xdr:rowOff>85726</xdr:rowOff>
    </xdr:from>
    <xdr:to>
      <xdr:col>19</xdr:col>
      <xdr:colOff>352425</xdr:colOff>
      <xdr:row>85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C8F13D-2321-EF9D-FD93-AEB37C1DE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89</xdr:row>
      <xdr:rowOff>66675</xdr:rowOff>
    </xdr:from>
    <xdr:to>
      <xdr:col>19</xdr:col>
      <xdr:colOff>447675</xdr:colOff>
      <xdr:row>89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2F6F006-443D-476C-84F8-D766FCDF9416}"/>
            </a:ext>
          </a:extLst>
        </xdr:cNvPr>
        <xdr:cNvCxnSpPr/>
      </xdr:nvCxnSpPr>
      <xdr:spPr>
        <a:xfrm>
          <a:off x="66675" y="19307175"/>
          <a:ext cx="11963400" cy="9525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257174</xdr:colOff>
      <xdr:row>88</xdr:row>
      <xdr:rowOff>38101</xdr:rowOff>
    </xdr:from>
    <xdr:to>
      <xdr:col>10</xdr:col>
      <xdr:colOff>542925</xdr:colOff>
      <xdr:row>90</xdr:row>
      <xdr:rowOff>95251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4D77B88-E89A-4BE1-A29B-EFC904847D7A}"/>
            </a:ext>
          </a:extLst>
        </xdr:cNvPr>
        <xdr:cNvSpPr txBox="1"/>
      </xdr:nvSpPr>
      <xdr:spPr>
        <a:xfrm>
          <a:off x="5133974" y="19088101"/>
          <a:ext cx="1504951" cy="4381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/>
            <a:t>Efficiency</a:t>
          </a:r>
          <a:endParaRPr lang="en-US" sz="2400" b="1"/>
        </a:p>
      </xdr:txBody>
    </xdr:sp>
    <xdr:clientData/>
  </xdr:twoCellAnchor>
  <xdr:twoCellAnchor>
    <xdr:from>
      <xdr:col>0</xdr:col>
      <xdr:colOff>142876</xdr:colOff>
      <xdr:row>91</xdr:row>
      <xdr:rowOff>28575</xdr:rowOff>
    </xdr:from>
    <xdr:to>
      <xdr:col>6</xdr:col>
      <xdr:colOff>476250</xdr:colOff>
      <xdr:row>102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60572D-C4BF-4931-A3A8-5CC7B3B3E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533399</xdr:colOff>
      <xdr:row>91</xdr:row>
      <xdr:rowOff>28575</xdr:rowOff>
    </xdr:from>
    <xdr:to>
      <xdr:col>13</xdr:col>
      <xdr:colOff>142874</xdr:colOff>
      <xdr:row>102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3D3204-EBD4-45E1-B091-41F09E8C7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209550</xdr:colOff>
      <xdr:row>91</xdr:row>
      <xdr:rowOff>28575</xdr:rowOff>
    </xdr:from>
    <xdr:to>
      <xdr:col>19</xdr:col>
      <xdr:colOff>457201</xdr:colOff>
      <xdr:row>102</xdr:row>
      <xdr:rowOff>152401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D5066A8-CEE0-465A-8BB5-A33DA912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142874</xdr:colOff>
      <xdr:row>103</xdr:row>
      <xdr:rowOff>38100</xdr:rowOff>
    </xdr:from>
    <xdr:to>
      <xdr:col>19</xdr:col>
      <xdr:colOff>457199</xdr:colOff>
      <xdr:row>115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F1758B2-B3B4-4F49-8751-F706EAC5E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247649</xdr:colOff>
      <xdr:row>61</xdr:row>
      <xdr:rowOff>95250</xdr:rowOff>
    </xdr:from>
    <xdr:to>
      <xdr:col>19</xdr:col>
      <xdr:colOff>342900</xdr:colOff>
      <xdr:row>73</xdr:row>
      <xdr:rowOff>9525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658331-39D3-49A2-BFCD-F53F531A4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247650</xdr:colOff>
      <xdr:row>21</xdr:row>
      <xdr:rowOff>19051</xdr:rowOff>
    </xdr:from>
    <xdr:to>
      <xdr:col>19</xdr:col>
      <xdr:colOff>457200</xdr:colOff>
      <xdr:row>32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A21BF7-91D5-401D-BDB0-A9E633C96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0.84174</cdr:x>
      <cdr:y>0.036</cdr:y>
    </cdr:from>
    <cdr:to>
      <cdr:x>0.95757</cdr:x>
      <cdr:y>0.308</cdr:y>
    </cdr:to>
    <cdr:sp macro="" textlink="">
      <cdr:nvSpPr>
        <cdr:cNvPr id="2" name="TextBox 8">
          <a:extLst xmlns:a="http://schemas.openxmlformats.org/drawingml/2006/main">
            <a:ext uri="{FF2B5EF4-FFF2-40B4-BE49-F238E27FC236}">
              <a16:creationId xmlns:a16="http://schemas.microsoft.com/office/drawing/2014/main" id="{38886E06-C166-F9EB-5DB1-D43D6806F359}"/>
            </a:ext>
          </a:extLst>
        </cdr:cNvPr>
        <cdr:cNvSpPr txBox="1"/>
      </cdr:nvSpPr>
      <cdr:spPr>
        <a:xfrm xmlns:a="http://schemas.openxmlformats.org/drawingml/2006/main">
          <a:off x="10013949" y="85725"/>
          <a:ext cx="1377998" cy="6477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  <a:effectLst xmlns:a="http://schemas.openxmlformats.org/drawingml/2006/main">
          <a:outerShdw blurRad="50800" dist="38100" dir="2700000" algn="tl" rotWithShape="0">
            <a:prstClr val="black">
              <a:alpha val="40000"/>
            </a:prstClr>
          </a:outerShdw>
        </a:effectLst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1"/>
            <a:t>Correlation Score:</a:t>
          </a:r>
        </a:p>
        <a:p xmlns:a="http://schemas.openxmlformats.org/drawingml/2006/main">
          <a:r>
            <a:rPr lang="en-US" sz="900"/>
            <a:t>Asset-Inventory = 0.7</a:t>
          </a:r>
        </a:p>
        <a:p xmlns:a="http://schemas.openxmlformats.org/drawingml/2006/main">
          <a:r>
            <a:rPr lang="en-US" sz="900"/>
            <a:t>Asset-Receivable = 0.6</a:t>
          </a:r>
        </a:p>
        <a:p xmlns:a="http://schemas.openxmlformats.org/drawingml/2006/main">
          <a:r>
            <a:rPr lang="en-US" sz="900"/>
            <a:t>Inventory-Receivable= 0.4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118532</xdr:colOff>
      <xdr:row>0</xdr:row>
      <xdr:rowOff>171450</xdr:rowOff>
    </xdr:from>
    <xdr:to>
      <xdr:col>14</xdr:col>
      <xdr:colOff>99481</xdr:colOff>
      <xdr:row>3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AEC60E7-E269-4502-AB2A-24D5811F6F7D}"/>
            </a:ext>
          </a:extLst>
        </xdr:cNvPr>
        <xdr:cNvSpPr/>
      </xdr:nvSpPr>
      <xdr:spPr>
        <a:xfrm>
          <a:off x="3812115" y="171450"/>
          <a:ext cx="5590116" cy="4572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532388</xdr:colOff>
      <xdr:row>0</xdr:row>
      <xdr:rowOff>114300</xdr:rowOff>
    </xdr:from>
    <xdr:ext cx="4516878" cy="59323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4BA914E-D80E-40A1-96CC-F59D549128CB}"/>
            </a:ext>
          </a:extLst>
        </xdr:cNvPr>
        <xdr:cNvSpPr/>
      </xdr:nvSpPr>
      <xdr:spPr>
        <a:xfrm>
          <a:off x="4225971" y="114300"/>
          <a:ext cx="4516878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Investment and Valuation</a:t>
          </a:r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247650</xdr:colOff>
      <xdr:row>6</xdr:row>
      <xdr:rowOff>28574</xdr:rowOff>
    </xdr:from>
    <xdr:to>
      <xdr:col>17</xdr:col>
      <xdr:colOff>514350</xdr:colOff>
      <xdr:row>6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CF749C-FE04-47A5-A00F-63933513CD79}"/>
            </a:ext>
          </a:extLst>
        </xdr:cNvPr>
        <xdr:cNvCxnSpPr/>
      </xdr:nvCxnSpPr>
      <xdr:spPr>
        <a:xfrm>
          <a:off x="247650" y="1171574"/>
          <a:ext cx="11210925" cy="28576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208493</xdr:colOff>
      <xdr:row>5</xdr:row>
      <xdr:rowOff>38100</xdr:rowOff>
    </xdr:from>
    <xdr:to>
      <xdr:col>12</xdr:col>
      <xdr:colOff>494242</xdr:colOff>
      <xdr:row>7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8E9C736-8F91-46EC-AB5E-7AA46FD52B89}"/>
            </a:ext>
          </a:extLst>
        </xdr:cNvPr>
        <xdr:cNvSpPr txBox="1"/>
      </xdr:nvSpPr>
      <xdr:spPr>
        <a:xfrm>
          <a:off x="4664076" y="990600"/>
          <a:ext cx="3884083" cy="381000"/>
        </a:xfrm>
        <a:prstGeom prst="rect">
          <a:avLst/>
        </a:prstGeom>
        <a:ln/>
        <a:effectLst>
          <a:softEdge rad="0"/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Free Cash Flow and Valuation</a:t>
          </a:r>
          <a:endParaRPr lang="en-US" sz="2400" b="1"/>
        </a:p>
      </xdr:txBody>
    </xdr:sp>
    <xdr:clientData/>
  </xdr:twoCellAnchor>
  <xdr:twoCellAnchor>
    <xdr:from>
      <xdr:col>0</xdr:col>
      <xdr:colOff>166158</xdr:colOff>
      <xdr:row>9</xdr:row>
      <xdr:rowOff>185208</xdr:rowOff>
    </xdr:from>
    <xdr:to>
      <xdr:col>10</xdr:col>
      <xdr:colOff>465667</xdr:colOff>
      <xdr:row>23</xdr:row>
      <xdr:rowOff>51858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15CB41-786D-B1EE-B96B-5EBC70AB5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582084</xdr:colOff>
      <xdr:row>10</xdr:row>
      <xdr:rowOff>6350</xdr:rowOff>
    </xdr:from>
    <xdr:to>
      <xdr:col>21</xdr:col>
      <xdr:colOff>60325</xdr:colOff>
      <xdr:row>23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9ADC6-1308-E3AB-E309-26650664D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26</xdr:row>
      <xdr:rowOff>180974</xdr:rowOff>
    </xdr:from>
    <xdr:to>
      <xdr:col>18</xdr:col>
      <xdr:colOff>95250</xdr:colOff>
      <xdr:row>27</xdr:row>
      <xdr:rowOff>19050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9843370-3D74-4D9E-A7BE-C4401D1E85E0}"/>
            </a:ext>
          </a:extLst>
        </xdr:cNvPr>
        <xdr:cNvCxnSpPr/>
      </xdr:nvCxnSpPr>
      <xdr:spPr>
        <a:xfrm>
          <a:off x="438150" y="5133974"/>
          <a:ext cx="11210925" cy="28576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219076</xdr:colOff>
      <xdr:row>26</xdr:row>
      <xdr:rowOff>0</xdr:rowOff>
    </xdr:from>
    <xdr:to>
      <xdr:col>12</xdr:col>
      <xdr:colOff>504825</xdr:colOff>
      <xdr:row>28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F2600DB-0A42-4630-B08E-5631A97D2AA7}"/>
            </a:ext>
          </a:extLst>
        </xdr:cNvPr>
        <xdr:cNvSpPr txBox="1"/>
      </xdr:nvSpPr>
      <xdr:spPr>
        <a:xfrm>
          <a:off x="4657726" y="4953000"/>
          <a:ext cx="3667124" cy="381000"/>
        </a:xfrm>
        <a:prstGeom prst="rect">
          <a:avLst/>
        </a:prstGeom>
        <a:ln/>
        <a:effectLst>
          <a:softEdge rad="0"/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Discounted Cash Flow</a:t>
          </a:r>
          <a:endParaRPr lang="en-US" sz="2400" b="1"/>
        </a:p>
      </xdr:txBody>
    </xdr:sp>
    <xdr:clientData/>
  </xdr:twoCellAnchor>
  <xdr:twoCellAnchor>
    <xdr:from>
      <xdr:col>0</xdr:col>
      <xdr:colOff>243416</xdr:colOff>
      <xdr:row>29</xdr:row>
      <xdr:rowOff>5</xdr:rowOff>
    </xdr:from>
    <xdr:to>
      <xdr:col>10</xdr:col>
      <xdr:colOff>52916</xdr:colOff>
      <xdr:row>42</xdr:row>
      <xdr:rowOff>127005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FB8DD72-CE5B-4684-A281-0626AC196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222250</xdr:colOff>
      <xdr:row>29</xdr:row>
      <xdr:rowOff>7</xdr:rowOff>
    </xdr:from>
    <xdr:to>
      <xdr:col>21</xdr:col>
      <xdr:colOff>10583</xdr:colOff>
      <xdr:row>42</xdr:row>
      <xdr:rowOff>137588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2126646-90E0-402A-B674-6301289AD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243417</xdr:colOff>
      <xdr:row>43</xdr:row>
      <xdr:rowOff>42343</xdr:rowOff>
    </xdr:from>
    <xdr:to>
      <xdr:col>10</xdr:col>
      <xdr:colOff>74084</xdr:colOff>
      <xdr:row>56</xdr:row>
      <xdr:rowOff>116422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29BC8B9-2E60-4D42-B204-A142B7D83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232833</xdr:colOff>
      <xdr:row>43</xdr:row>
      <xdr:rowOff>52929</xdr:rowOff>
    </xdr:from>
    <xdr:to>
      <xdr:col>21</xdr:col>
      <xdr:colOff>31750</xdr:colOff>
      <xdr:row>56</xdr:row>
      <xdr:rowOff>148173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A4A54E4-C712-4256-825C-BEFF02E1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19050</xdr:rowOff>
    </xdr:from>
    <xdr:to>
      <xdr:col>15</xdr:col>
      <xdr:colOff>8466</xdr:colOff>
      <xdr:row>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4CA8B79-A6FF-4C68-88DD-6C1C47321898}"/>
            </a:ext>
          </a:extLst>
        </xdr:cNvPr>
        <xdr:cNvSpPr/>
      </xdr:nvSpPr>
      <xdr:spPr>
        <a:xfrm>
          <a:off x="3562350" y="209550"/>
          <a:ext cx="5590116" cy="45720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121612</xdr:colOff>
      <xdr:row>0</xdr:row>
      <xdr:rowOff>152400</xdr:rowOff>
    </xdr:from>
    <xdr:ext cx="2472472" cy="59323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8845DCA-A614-45D8-89B8-3743D71C94F6}"/>
            </a:ext>
          </a:extLst>
        </xdr:cNvPr>
        <xdr:cNvSpPr/>
      </xdr:nvSpPr>
      <xdr:spPr>
        <a:xfrm>
          <a:off x="4998412" y="152400"/>
          <a:ext cx="2472472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Cost Analysis</a:t>
          </a:r>
          <a:endParaRPr lang="en-US" sz="6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180975</xdr:colOff>
      <xdr:row>5</xdr:row>
      <xdr:rowOff>52387</xdr:rowOff>
    </xdr:from>
    <xdr:to>
      <xdr:col>20</xdr:col>
      <xdr:colOff>47625</xdr:colOff>
      <xdr:row>22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4BE364-1FFC-71BF-D25A-E4465DB6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176213</xdr:colOff>
      <xdr:row>29</xdr:row>
      <xdr:rowOff>133350</xdr:rowOff>
    </xdr:from>
    <xdr:to>
      <xdr:col>6</xdr:col>
      <xdr:colOff>495300</xdr:colOff>
      <xdr:row>40</xdr:row>
      <xdr:rowOff>180976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08C21D1-D90F-4BFD-86DE-0F46EFE8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161924</xdr:colOff>
      <xdr:row>41</xdr:row>
      <xdr:rowOff>57150</xdr:rowOff>
    </xdr:from>
    <xdr:to>
      <xdr:col>6</xdr:col>
      <xdr:colOff>495299</xdr:colOff>
      <xdr:row>51</xdr:row>
      <xdr:rowOff>152399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9C6ED3-D661-46CE-98DF-9BAF4A8C7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29</xdr:row>
      <xdr:rowOff>142876</xdr:rowOff>
    </xdr:from>
    <xdr:to>
      <xdr:col>13</xdr:col>
      <xdr:colOff>295275</xdr:colOff>
      <xdr:row>41</xdr:row>
      <xdr:rowOff>9526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BF0ECE6-B3DF-4FE8-9168-9B41AE4BC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41</xdr:row>
      <xdr:rowOff>76200</xdr:rowOff>
    </xdr:from>
    <xdr:to>
      <xdr:col>13</xdr:col>
      <xdr:colOff>314325</xdr:colOff>
      <xdr:row>51</xdr:row>
      <xdr:rowOff>152399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BC1EDFC-CADD-4E91-9A26-C1F34D4DC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381001</xdr:colOff>
      <xdr:row>29</xdr:row>
      <xdr:rowOff>142874</xdr:rowOff>
    </xdr:from>
    <xdr:to>
      <xdr:col>20</xdr:col>
      <xdr:colOff>95251</xdr:colOff>
      <xdr:row>41</xdr:row>
      <xdr:rowOff>19049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A940DB3-730E-43A8-8C7E-9FA43CF67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390526</xdr:colOff>
      <xdr:row>41</xdr:row>
      <xdr:rowOff>76199</xdr:rowOff>
    </xdr:from>
    <xdr:to>
      <xdr:col>20</xdr:col>
      <xdr:colOff>104776</xdr:colOff>
      <xdr:row>51</xdr:row>
      <xdr:rowOff>152400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112506D-566C-4499-9433-681E07478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209550</xdr:colOff>
      <xdr:row>25</xdr:row>
      <xdr:rowOff>180974</xdr:rowOff>
    </xdr:from>
    <xdr:to>
      <xdr:col>19</xdr:col>
      <xdr:colOff>95250</xdr:colOff>
      <xdr:row>26</xdr:row>
      <xdr:rowOff>19050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95D544F1-A45B-494F-B612-443F02FBF5DB}"/>
            </a:ext>
          </a:extLst>
        </xdr:cNvPr>
        <xdr:cNvCxnSpPr/>
      </xdr:nvCxnSpPr>
      <xdr:spPr>
        <a:xfrm>
          <a:off x="209550" y="4943474"/>
          <a:ext cx="11468100" cy="28576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64559</xdr:colOff>
      <xdr:row>25</xdr:row>
      <xdr:rowOff>28575</xdr:rowOff>
    </xdr:from>
    <xdr:to>
      <xdr:col>14</xdr:col>
      <xdr:colOff>161925</xdr:colOff>
      <xdr:row>27</xdr:row>
      <xdr:rowOff>28575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C84CE1A-6F6C-407B-B8FD-E885B78740D9}"/>
            </a:ext>
          </a:extLst>
        </xdr:cNvPr>
        <xdr:cNvSpPr txBox="1"/>
      </xdr:nvSpPr>
      <xdr:spPr>
        <a:xfrm>
          <a:off x="4331759" y="4791075"/>
          <a:ext cx="4364566" cy="381000"/>
        </a:xfrm>
        <a:prstGeom prst="rect">
          <a:avLst/>
        </a:prstGeom>
        <a:ln/>
        <a:effectLst>
          <a:softEdge rad="0"/>
        </a:effec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Correlation Between Cost &amp; Profitibility</a:t>
          </a:r>
          <a:endParaRPr lang="en-US" sz="2400" b="1"/>
        </a:p>
      </xdr:txBody>
    </xdr:sp>
    <xdr:clientData/>
  </xdr:twoCellAnchor>
  <xdr:twoCellAnchor>
    <xdr:from>
      <xdr:col>5</xdr:col>
      <xdr:colOff>371475</xdr:colOff>
      <xdr:row>30</xdr:row>
      <xdr:rowOff>104775</xdr:rowOff>
    </xdr:from>
    <xdr:to>
      <xdr:col>6</xdr:col>
      <xdr:colOff>266700</xdr:colOff>
      <xdr:row>31</xdr:row>
      <xdr:rowOff>76200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012953D-5F3F-6697-6F5B-C587E8640AC1}"/>
            </a:ext>
          </a:extLst>
        </xdr:cNvPr>
        <xdr:cNvSpPr txBox="1"/>
      </xdr:nvSpPr>
      <xdr:spPr>
        <a:xfrm>
          <a:off x="3419475" y="5819775"/>
          <a:ext cx="504825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0.07</a:t>
          </a:r>
        </a:p>
      </xdr:txBody>
    </xdr:sp>
    <xdr:clientData/>
  </xdr:twoCellAnchor>
  <xdr:twoCellAnchor>
    <xdr:from>
      <xdr:col>6</xdr:col>
      <xdr:colOff>238125</xdr:colOff>
      <xdr:row>30</xdr:row>
      <xdr:rowOff>85725</xdr:rowOff>
    </xdr:from>
    <xdr:to>
      <xdr:col>6</xdr:col>
      <xdr:colOff>371475</xdr:colOff>
      <xdr:row>31</xdr:row>
      <xdr:rowOff>114300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93EC8FD-636B-8F7E-88CC-57444B97167D}"/>
            </a:ext>
          </a:extLst>
        </xdr:cNvPr>
        <xdr:cNvSpPr/>
      </xdr:nvSpPr>
      <xdr:spPr>
        <a:xfrm>
          <a:off x="3895725" y="5800725"/>
          <a:ext cx="133350" cy="2190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247650</xdr:colOff>
      <xdr:row>41</xdr:row>
      <xdr:rowOff>142876</xdr:rowOff>
    </xdr:from>
    <xdr:to>
      <xdr:col>6</xdr:col>
      <xdr:colOff>409575</xdr:colOff>
      <xdr:row>42</xdr:row>
      <xdr:rowOff>180976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16188257-4DF5-2A4E-949B-EF291A0E66E4}"/>
            </a:ext>
          </a:extLst>
        </xdr:cNvPr>
        <xdr:cNvSpPr/>
      </xdr:nvSpPr>
      <xdr:spPr>
        <a:xfrm>
          <a:off x="3905250" y="7953376"/>
          <a:ext cx="161925" cy="228600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3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0.83134</cdr:x>
      <cdr:y>0.06349</cdr:y>
    </cdr:from>
    <cdr:to>
      <cdr:x>0.95784</cdr:x>
      <cdr:y>0.14444</cdr:y>
    </cdr:to>
    <cdr:sp macro="" textlink="">
      <cdr:nvSpPr>
        <cdr:cNvPr id="2" name="TextBox 31">
          <a:extLst xmlns:a="http://schemas.openxmlformats.org/drawingml/2006/main">
            <a:ext uri="{FF2B5EF4-FFF2-40B4-BE49-F238E27FC236}">
              <a16:creationId xmlns:a16="http://schemas.microsoft.com/office/drawing/2014/main" id="{9012953D-5F3F-6697-6F5B-C587E8640AC1}"/>
            </a:ext>
          </a:extLst>
        </cdr:cNvPr>
        <cdr:cNvSpPr txBox="1"/>
      </cdr:nvSpPr>
      <cdr:spPr>
        <a:xfrm xmlns:a="http://schemas.openxmlformats.org/drawingml/2006/main">
          <a:off x="3317875" y="127000"/>
          <a:ext cx="504825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0.5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0.84328</cdr:x>
      <cdr:y>0.059</cdr:y>
    </cdr:from>
    <cdr:to>
      <cdr:x>0.96977</cdr:x>
      <cdr:y>0.13422</cdr:y>
    </cdr:to>
    <cdr:sp macro="" textlink="">
      <cdr:nvSpPr>
        <cdr:cNvPr id="2" name="TextBox 31">
          <a:extLst xmlns:a="http://schemas.openxmlformats.org/drawingml/2006/main">
            <a:ext uri="{FF2B5EF4-FFF2-40B4-BE49-F238E27FC236}">
              <a16:creationId xmlns:a16="http://schemas.microsoft.com/office/drawing/2014/main" id="{9012953D-5F3F-6697-6F5B-C587E8640AC1}"/>
            </a:ext>
          </a:extLst>
        </cdr:cNvPr>
        <cdr:cNvSpPr txBox="1"/>
      </cdr:nvSpPr>
      <cdr:spPr>
        <a:xfrm xmlns:a="http://schemas.openxmlformats.org/drawingml/2006/main">
          <a:off x="3365500" y="127000"/>
          <a:ext cx="504825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0.09</a:t>
          </a:r>
        </a:p>
      </cdr:txBody>
    </cdr:sp>
  </cdr:relSizeAnchor>
  <cdr:relSizeAnchor xmlns:cdr="http://schemas.openxmlformats.org/drawingml/2006/chartDrawing">
    <cdr:from>
      <cdr:x>0.95306</cdr:x>
      <cdr:y>0.05457</cdr:y>
    </cdr:from>
    <cdr:to>
      <cdr:x>0.98648</cdr:x>
      <cdr:y>0.15634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id="{F93EC8FD-636B-8F7E-88CC-57444B97167D}"/>
            </a:ext>
          </a:extLst>
        </cdr:cNvPr>
        <cdr:cNvSpPr/>
      </cdr:nvSpPr>
      <cdr:spPr>
        <a:xfrm xmlns:a="http://schemas.openxmlformats.org/drawingml/2006/main">
          <a:off x="3803650" y="117475"/>
          <a:ext cx="133350" cy="21907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0.88203</cdr:x>
      <cdr:y>0.14584</cdr:y>
    </cdr:from>
    <cdr:to>
      <cdr:x>0.97387</cdr:x>
      <cdr:y>0.24038</cdr:y>
    </cdr:to>
    <cdr:sp macro="" textlink="">
      <cdr:nvSpPr>
        <cdr:cNvPr id="2" name="TextBox 31">
          <a:extLst xmlns:a="http://schemas.openxmlformats.org/drawingml/2006/main">
            <a:ext uri="{FF2B5EF4-FFF2-40B4-BE49-F238E27FC236}">
              <a16:creationId xmlns:a16="http://schemas.microsoft.com/office/drawing/2014/main" id="{9012953D-5F3F-6697-6F5B-C587E8640AC1}"/>
            </a:ext>
          </a:extLst>
        </cdr:cNvPr>
        <cdr:cNvSpPr txBox="1"/>
      </cdr:nvSpPr>
      <cdr:spPr>
        <a:xfrm xmlns:a="http://schemas.openxmlformats.org/drawingml/2006/main">
          <a:off x="3536955" y="288934"/>
          <a:ext cx="368295" cy="18731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0.6</a:t>
          </a:r>
        </a:p>
      </cdr:txBody>
    </cdr:sp>
  </cdr:relSizeAnchor>
  <cdr:relSizeAnchor xmlns:cdr="http://schemas.openxmlformats.org/drawingml/2006/chartDrawing">
    <cdr:from>
      <cdr:x>0.95962</cdr:x>
      <cdr:y>0.1266</cdr:y>
    </cdr:from>
    <cdr:to>
      <cdr:x>1</cdr:x>
      <cdr:y>0.24199</cdr:y>
    </cdr:to>
    <cdr:sp macro="" textlink="">
      <cdr:nvSpPr>
        <cdr:cNvPr id="3" name="Arrow: Up 2">
          <a:extLst xmlns:a="http://schemas.openxmlformats.org/drawingml/2006/main">
            <a:ext uri="{FF2B5EF4-FFF2-40B4-BE49-F238E27FC236}">
              <a16:creationId xmlns:a16="http://schemas.microsoft.com/office/drawing/2014/main" id="{16188257-4DF5-2A4E-949B-EF291A0E66E4}"/>
            </a:ext>
          </a:extLst>
        </cdr:cNvPr>
        <cdr:cNvSpPr/>
      </cdr:nvSpPr>
      <cdr:spPr>
        <a:xfrm xmlns:a="http://schemas.openxmlformats.org/drawingml/2006/main">
          <a:off x="3848100" y="250825"/>
          <a:ext cx="161925" cy="228600"/>
        </a:xfrm>
        <a:prstGeom xmlns:a="http://schemas.openxmlformats.org/drawingml/2006/main" prst="upArrow">
          <a:avLst/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accent3">
                <a:lumMod val="60000"/>
                <a:lumOff val="4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0.86842</cdr:x>
      <cdr:y>0.13362</cdr:y>
    </cdr:from>
    <cdr:to>
      <cdr:x>0.97687</cdr:x>
      <cdr:y>0.20264</cdr:y>
    </cdr:to>
    <cdr:sp macro="" textlink="">
      <cdr:nvSpPr>
        <cdr:cNvPr id="2" name="TextBox 31">
          <a:extLst xmlns:a="http://schemas.openxmlformats.org/drawingml/2006/main">
            <a:ext uri="{FF2B5EF4-FFF2-40B4-BE49-F238E27FC236}">
              <a16:creationId xmlns:a16="http://schemas.microsoft.com/office/drawing/2014/main" id="{9012953D-5F3F-6697-6F5B-C587E8640AC1}"/>
            </a:ext>
          </a:extLst>
        </cdr:cNvPr>
        <cdr:cNvSpPr txBox="1"/>
      </cdr:nvSpPr>
      <cdr:spPr>
        <a:xfrm xmlns:a="http://schemas.openxmlformats.org/drawingml/2006/main">
          <a:off x="3457574" y="288920"/>
          <a:ext cx="431792" cy="14923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0.08</a:t>
          </a:r>
        </a:p>
      </cdr:txBody>
    </cdr:sp>
  </cdr:relSizeAnchor>
  <cdr:relSizeAnchor xmlns:cdr="http://schemas.openxmlformats.org/drawingml/2006/chartDrawing">
    <cdr:from>
      <cdr:x>0.96172</cdr:x>
      <cdr:y>0.12922</cdr:y>
    </cdr:from>
    <cdr:to>
      <cdr:x>0.99522</cdr:x>
      <cdr:y>0.23054</cdr:y>
    </cdr:to>
    <cdr:sp macro="" textlink="">
      <cdr:nvSpPr>
        <cdr:cNvPr id="3" name="Arrow: Down 2">
          <a:extLst xmlns:a="http://schemas.openxmlformats.org/drawingml/2006/main">
            <a:ext uri="{FF2B5EF4-FFF2-40B4-BE49-F238E27FC236}">
              <a16:creationId xmlns:a16="http://schemas.microsoft.com/office/drawing/2014/main" id="{F93EC8FD-636B-8F7E-88CC-57444B97167D}"/>
            </a:ext>
          </a:extLst>
        </cdr:cNvPr>
        <cdr:cNvSpPr/>
      </cdr:nvSpPr>
      <cdr:spPr>
        <a:xfrm xmlns:a="http://schemas.openxmlformats.org/drawingml/2006/main">
          <a:off x="3829050" y="279400"/>
          <a:ext cx="133350" cy="21907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0.88517</cdr:x>
      <cdr:y>0.16025</cdr:y>
    </cdr:from>
    <cdr:to>
      <cdr:x>0.97688</cdr:x>
      <cdr:y>0.23077</cdr:y>
    </cdr:to>
    <cdr:sp macro="" textlink="">
      <cdr:nvSpPr>
        <cdr:cNvPr id="2" name="TextBox 31">
          <a:extLst xmlns:a="http://schemas.openxmlformats.org/drawingml/2006/main">
            <a:ext uri="{FF2B5EF4-FFF2-40B4-BE49-F238E27FC236}">
              <a16:creationId xmlns:a16="http://schemas.microsoft.com/office/drawing/2014/main" id="{9012953D-5F3F-6697-6F5B-C587E8640AC1}"/>
            </a:ext>
          </a:extLst>
        </cdr:cNvPr>
        <cdr:cNvSpPr txBox="1"/>
      </cdr:nvSpPr>
      <cdr:spPr>
        <a:xfrm xmlns:a="http://schemas.openxmlformats.org/drawingml/2006/main">
          <a:off x="3524248" y="317493"/>
          <a:ext cx="365141" cy="1397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0.7</a:t>
          </a:r>
        </a:p>
      </cdr:txBody>
    </cdr:sp>
  </cdr:relSizeAnchor>
  <cdr:relSizeAnchor xmlns:cdr="http://schemas.openxmlformats.org/drawingml/2006/chartDrawing">
    <cdr:from>
      <cdr:x>0.95933</cdr:x>
      <cdr:y>0.11699</cdr:y>
    </cdr:from>
    <cdr:to>
      <cdr:x>1</cdr:x>
      <cdr:y>0.23237</cdr:y>
    </cdr:to>
    <cdr:sp macro="" textlink="">
      <cdr:nvSpPr>
        <cdr:cNvPr id="3" name="Arrow: Up 2">
          <a:extLst xmlns:a="http://schemas.openxmlformats.org/drawingml/2006/main">
            <a:ext uri="{FF2B5EF4-FFF2-40B4-BE49-F238E27FC236}">
              <a16:creationId xmlns:a16="http://schemas.microsoft.com/office/drawing/2014/main" id="{16188257-4DF5-2A4E-949B-EF291A0E66E4}"/>
            </a:ext>
          </a:extLst>
        </cdr:cNvPr>
        <cdr:cNvSpPr/>
      </cdr:nvSpPr>
      <cdr:spPr>
        <a:xfrm xmlns:a="http://schemas.openxmlformats.org/drawingml/2006/main">
          <a:off x="3819525" y="231775"/>
          <a:ext cx="161925" cy="228600"/>
        </a:xfrm>
        <a:prstGeom xmlns:a="http://schemas.openxmlformats.org/drawingml/2006/main" prst="upArrow">
          <a:avLst/>
        </a:prstGeom>
        <a:solidFill xmlns:a="http://schemas.openxmlformats.org/drawingml/2006/main">
          <a:srgbClr val="92D050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chemeClr val="accent3">
                <a:lumMod val="60000"/>
                <a:lumOff val="40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40AD03-7092-4CFC-999F-79ADEEEDE851}" name="Table2" displayName="Table2" ref="A1:DP16" totalsRowShown="0" headerRowDxfId="124" dataDxfId="122" headerRowBorderDxfId="123" tableBorderDxfId="121" totalsRowBorderDxfId="120">
  <tableColumns count="120">
    <tableColumn id="1" xr3:uid="{5AAA9A88-1E71-4710-B043-6A0DD438CAA8}" name="Dates" dataDxfId="119"/>
    <tableColumn id="2" xr3:uid="{5E0AF509-873C-4AA8-A547-D5E043A29137}" name="Year" dataDxfId="118">
      <calculatedColumnFormula>YEAR(A2)</calculatedColumnFormula>
    </tableColumn>
    <tableColumn id="3" xr3:uid="{CCC18145-8B92-4EA9-8E71-C174AE429861}" name="INCOME STATEMENT" dataDxfId="117"/>
    <tableColumn id="4" xr3:uid="{8F5E42A1-37F1-4092-93BD-326A439B8796}" name="Revenue $" dataDxfId="116"/>
    <tableColumn id="5" xr3:uid="{7A834C22-3586-442D-B5DA-40939416791E}" name="Y-o-Y Growth %" dataDxfId="115" dataCellStyle="Percent"/>
    <tableColumn id="7" xr3:uid="{81B79C72-C034-4D4D-B52D-494949A8621F}" name="Gross Margin %" dataDxfId="114" dataCellStyle="Percent">
      <calculatedColumnFormula>(D2-J2)/D2</calculatedColumnFormula>
    </tableColumn>
    <tableColumn id="8" xr3:uid="{26192E8D-6A62-4530-BA34-06C9C2D72504}" name="Operating Margin %" dataDxfId="113" dataCellStyle="Percent">
      <calculatedColumnFormula>(D2-S2)/D2</calculatedColumnFormula>
    </tableColumn>
    <tableColumn id="9" xr3:uid="{373A5294-C218-4892-9A9B-DEA4AF9CE3D0}" name="EBITDA Margin %" dataDxfId="112" dataCellStyle="Percent">
      <calculatedColumnFormula>AF2/D2</calculatedColumnFormula>
    </tableColumn>
    <tableColumn id="10" xr3:uid="{F5E57216-1073-42E1-AC4A-F58DFEFE9F5A}" name="Net Profit Margin %" dataDxfId="111" dataCellStyle="Percent">
      <calculatedColumnFormula>AC2/D2</calculatedColumnFormula>
    </tableColumn>
    <tableColumn id="11" xr3:uid="{8C0DADD6-3106-4E17-BA7B-E61B7AFB523E}" name="Cost Of Goods Sold" dataDxfId="110"/>
    <tableColumn id="119" xr3:uid="{3C7BD818-A706-46D2-B3FB-EB5EFCEBA53A}" name="COGS %" dataDxfId="109" dataCellStyle="Percent">
      <calculatedColumnFormula>(Table2[[#This Row],[Cost Of Goods Sold]]-J3)/J3</calculatedColumnFormula>
    </tableColumn>
    <tableColumn id="12" xr3:uid="{0ADBA422-F205-418B-91CF-093CCE197CCD}" name="Gross Profit" dataDxfId="108"/>
    <tableColumn id="13" xr3:uid="{AD0B2DC8-AB11-4620-AC2E-C8BC6D40488C}" name="          Research And Development Expenses" dataDxfId="107"/>
    <tableColumn id="14" xr3:uid="{D50F19F3-D98D-46E6-968D-A8F3BE539BB4}" name="          SG&amp;A Expenses" dataDxfId="106"/>
    <tableColumn id="120" xr3:uid="{6F36CF40-EAD2-4C06-8527-56DA235D1FD4}" name="COGS% of Revenue" dataDxfId="105" dataCellStyle="Percent">
      <calculatedColumnFormula>Table2[[#This Row],[Cost Of Goods Sold]]/Table2[[#This Row],[Revenue $]]</calculatedColumnFormula>
    </tableColumn>
    <tableColumn id="113" xr3:uid="{EFCEB011-DB75-4F76-BC83-0EF62D1F1786}" name="R&amp;D Expenses % of Revenue" dataDxfId="104" dataCellStyle="Percent">
      <calculatedColumnFormula>Table2[[#This Row],[          Research And Development Expenses]]/Table2[[#This Row],[Revenue $]]</calculatedColumnFormula>
    </tableColumn>
    <tableColumn id="111" xr3:uid="{01609356-CA49-4535-91E0-D3807F24CAF2}" name="SG&amp;A Expense % of Revenue" dataDxfId="103" dataCellStyle="Percent">
      <calculatedColumnFormula>Table2[[#This Row],[          SG&amp;A Expenses]]/Table2[[#This Row],[Revenue $]]</calculatedColumnFormula>
    </tableColumn>
    <tableColumn id="15" xr3:uid="{2DD30F0C-75E4-4B97-A20E-0E207671DA01}" name="          Other Operating Income Or Expenses" dataDxfId="102"/>
    <tableColumn id="16" xr3:uid="{DEF93910-B962-4DB5-AD6B-2F6B50E0F96E}" name="Operating Expenses" dataDxfId="101"/>
    <tableColumn id="112" xr3:uid="{FEBF9D85-6710-4866-8A2F-CDB90AAEFB39}" name="Operating Expenses % of Revenue" dataDxfId="100" dataCellStyle="Percent">
      <calculatedColumnFormula>Table2[[#This Row],[Operating Expenses]]/Table2[[#This Row],[Revenue $]]</calculatedColumnFormula>
    </tableColumn>
    <tableColumn id="17" xr3:uid="{6242FE29-5041-4E39-B994-76EE9220552D}" name="Operating Income" dataDxfId="99"/>
    <tableColumn id="18" xr3:uid="{38BD402E-BA97-43FC-9146-E3F6BF78D2CD}" name="Total Non-Operating Income / Expense" dataDxfId="98"/>
    <tableColumn id="19" xr3:uid="{4E22FB01-1B2E-49CC-9372-AAB5E2C933D3}" name="Pre-Tax Income" dataDxfId="97"/>
    <tableColumn id="20" xr3:uid="{5DC012E5-EBB4-4F7F-B543-950095570E52}" name="Income Taxes" dataDxfId="96"/>
    <tableColumn id="21" xr3:uid="{8552DA0D-84A9-41E2-957F-BD1A733653F3}" name="Income After Taxes" dataDxfId="95"/>
    <tableColumn id="22" xr3:uid="{8C6C72E6-6B52-4425-8C45-F19E152D6E8C}" name="Other Income" dataDxfId="94"/>
    <tableColumn id="23" xr3:uid="{E843261C-B20F-45F7-B2EF-4C20DB47BF2C}" name="Income From Continuous Operations" dataDxfId="93"/>
    <tableColumn id="24" xr3:uid="{03F319CF-96F0-41A2-B93E-A8EBFE4B4B5D}" name="Income From Discontinued Operations" dataDxfId="92"/>
    <tableColumn id="25" xr3:uid="{514B22CD-4C74-4D1A-82B3-13F41E2DF5CA}" name="Net Income" dataDxfId="91"/>
    <tableColumn id="114" xr3:uid="{8D0770B6-86B0-49C8-8F16-1F60483E2087}" name="Net income Growth Rate" dataDxfId="90">
      <calculatedColumnFormula>(Table2[[#This Row],[Net Income]]-AC3)/AC3</calculatedColumnFormula>
    </tableColumn>
    <tableColumn id="26" xr3:uid="{55E88BC0-6F2F-4D57-94C0-B3629B834742}" name="EBITDA" dataDxfId="89"/>
    <tableColumn id="27" xr3:uid="{0DA6A06C-99E0-4882-8CCE-505F004A36DF}" name="EBIT" dataDxfId="88"/>
    <tableColumn id="28" xr3:uid="{B8B19A46-D434-45E8-97D7-E06EC2D11BE8}" name="Basic Shares Outstanding" dataDxfId="87"/>
    <tableColumn id="29" xr3:uid="{76EE3533-A241-4DC1-B339-242795AE9120}" name="Shares Outstanding" dataDxfId="86"/>
    <tableColumn id="30" xr3:uid="{1ADFE440-91BD-462A-BEC1-DD55C6470253}" name="Basic EPS" dataDxfId="85"/>
    <tableColumn id="31" xr3:uid="{26B221E1-4A51-45E7-827C-A73C9190C483}" name="EPS - Earnings Per Share" dataDxfId="84"/>
    <tableColumn id="32" xr3:uid="{3643B1BB-A6FD-481F-BFF4-44E89333CE36}" name="BALANCE SHEET" dataDxfId="83"/>
    <tableColumn id="33" xr3:uid="{BFC512F6-24D3-4E81-8AF8-A46B70B85E2C}" name="          Cash On Hand" dataDxfId="82"/>
    <tableColumn id="34" xr3:uid="{F5856E90-120B-437A-A344-BB81252CC4B3}" name="          Receivables" dataDxfId="81"/>
    <tableColumn id="35" xr3:uid="{FF327FF8-1837-4F92-A2D4-99C9055F0356}" name="          Inventory" dataDxfId="80"/>
    <tableColumn id="36" xr3:uid="{02CE9916-3E74-4261-9C41-E6AF28B4C8A7}" name="          Pre-paid Expenses" dataDxfId="79"/>
    <tableColumn id="37" xr3:uid="{50BABE6A-42EC-4175-8FFF-147D255A2743}" name="          Other Current Assets" dataDxfId="78"/>
    <tableColumn id="38" xr3:uid="{D4B08555-32B9-43DF-AC42-9F9D1AB3B175}" name="   Total Current Assets" dataDxfId="77"/>
    <tableColumn id="39" xr3:uid="{62CD31BF-512A-4DFC-BD38-85A763AE1FD6}" name="          Property, Plant, And Equipment" dataDxfId="76"/>
    <tableColumn id="40" xr3:uid="{FD9FE16C-0D9C-4440-AF18-7BB5DD21B506}" name="          Long-Term Investments" dataDxfId="75"/>
    <tableColumn id="41" xr3:uid="{5847D072-6D51-46C1-B0F7-83AA1845ED48}" name="          Goodwill And Intangible Assets" dataDxfId="74"/>
    <tableColumn id="42" xr3:uid="{C8C2E6FA-E331-493B-B568-8EC9D2DF037A}" name="          Other Long-Term Assets" dataDxfId="73"/>
    <tableColumn id="43" xr3:uid="{5BCFDF38-C554-4FD6-886C-FA0796CCA1EA}" name="   Total Long-Term Assets" dataDxfId="72"/>
    <tableColumn id="44" xr3:uid="{BB91CDFD-9C45-4E15-9A7B-61EB60665BBF}" name="Total Assets" dataDxfId="71"/>
    <tableColumn id="45" xr3:uid="{04BE4EED-87E0-42FE-B388-2971045139FF}" name="   Total Current Liabilities" dataDxfId="70"/>
    <tableColumn id="46" xr3:uid="{08E9DB28-8C51-4A0C-93F7-55DA5E593DAA}" name="          Long Term Debt" dataDxfId="69"/>
    <tableColumn id="47" xr3:uid="{EB6C8FE2-62A9-4F20-844E-41C3F5F685D6}" name="          Other Non-current Liabilities" dataDxfId="68"/>
    <tableColumn id="48" xr3:uid="{D3DA9482-7BF4-4F63-BE27-C4D8D79D7C8D}" name="   Total Long Term Liabilities" dataDxfId="67"/>
    <tableColumn id="49" xr3:uid="{137D1565-A9C9-40CD-85D5-3003FB7EE89C}" name="Total Liabilities" dataDxfId="66"/>
    <tableColumn id="50" xr3:uid="{0E8B9431-BC90-4CC6-9878-20B8DF5934AE}" name="          Common Stock Net" dataDxfId="65"/>
    <tableColumn id="51" xr3:uid="{775ADB97-0F83-4728-977F-86C4E99E4D54}" name="          Retained Eamings (Accumulated Deficit)" dataDxfId="64"/>
    <tableColumn id="52" xr3:uid="{A00EAC57-01BE-4D7F-98AD-EB9AC7748879}" name="          Comprehensive Income" dataDxfId="63"/>
    <tableColumn id="53" xr3:uid="{9EF959A5-E949-4C1C-8D6E-EF6424B9A840}" name="          Other Share Holders Equity" dataDxfId="62"/>
    <tableColumn id="54" xr3:uid="{31930ADE-40EC-45C9-BEE9-27B48CABB949}" name="Share Holder Equity" dataDxfId="61"/>
    <tableColumn id="55" xr3:uid="{ADF68149-0442-4C8A-947F-84801C6A7A47}" name="Total Liabilities And Share Holders Equity" dataDxfId="60"/>
    <tableColumn id="56" xr3:uid="{42659ACD-E894-4D43-BCB6-F8A298F88894}" name="CASH FLOW STATEMENT" dataDxfId="59"/>
    <tableColumn id="57" xr3:uid="{AFBBF752-3A75-4BB4-A237-3B56E8947C42}" name="          Net Income/Loss" dataDxfId="58"/>
    <tableColumn id="58" xr3:uid="{B61E298F-0031-4E63-850B-23B5D923C488}" name="          Total Depreciation And Amortization - Cash Flow" dataDxfId="57"/>
    <tableColumn id="59" xr3:uid="{8317396B-D537-40EA-B9D4-67CCF41564DA}" name="          Other Non-Cash Items" dataDxfId="56"/>
    <tableColumn id="60" xr3:uid="{BEFCC71C-9E20-47D7-B35E-45679C395BA9}" name="          Total Non-Cash Items" dataDxfId="55"/>
    <tableColumn id="61" xr3:uid="{900B9C0B-C6B3-4E5F-A158-D9FB85FB0053}" name="          Change In Accounts Receivable" dataDxfId="54"/>
    <tableColumn id="62" xr3:uid="{39176E36-1B50-4C36-A469-661927B2E18A}" name="          Change In Inventories" dataDxfId="53"/>
    <tableColumn id="63" xr3:uid="{FD2ADC8C-FCCA-4C88-B4B0-0C545F3BBC38}" name="          Change In Accounts Payable" dataDxfId="52"/>
    <tableColumn id="64" xr3:uid="{45595488-65E1-4573-B1A8-D1DC1294FA91}" name="          Change In Assets/ Liabilities" dataDxfId="51"/>
    <tableColumn id="65" xr3:uid="{94D61713-5016-457C-A8DB-FA936E2AEBAE}" name="          Total Change In Assets/ Liabilities" dataDxfId="50"/>
    <tableColumn id="66" xr3:uid="{28E6853C-B690-43F3-9651-B0551727538F}" name="Cash Flow From Operating Activities" dataDxfId="49"/>
    <tableColumn id="67" xr3:uid="{A459F363-AD06-475D-B3B8-16A38E91DBC2}" name="          Net Change In Propety, Plant, And Equipment" dataDxfId="48"/>
    <tableColumn id="68" xr3:uid="{69E9D1F1-8F4A-42E3-A849-403434157A1C}" name="          Net Change In Intangible Assets" dataDxfId="47"/>
    <tableColumn id="69" xr3:uid="{CCD946FD-E63F-43C4-8E04-D1089F02A25F}" name="          Net Acquisitions/Divestitures" dataDxfId="46"/>
    <tableColumn id="70" xr3:uid="{FAF71133-16C4-41B8-B32C-FD0CA1BF649E}" name="          Net Change In Short-term Investments" dataDxfId="45"/>
    <tableColumn id="71" xr3:uid="{D92CCB53-BF09-4906-93AA-76614D8F4E10}" name="          Net Change In Long-Term Investments" dataDxfId="44"/>
    <tableColumn id="72" xr3:uid="{0359CD45-DC41-4B84-88BE-A82ED4DBB239}" name="          Net Change In Investments - Total" dataDxfId="43"/>
    <tableColumn id="73" xr3:uid="{5D1C9D76-D34A-45B3-BD59-75878B50C487}" name="          Investing Activities - Other" dataDxfId="42"/>
    <tableColumn id="74" xr3:uid="{0010A857-FD51-4016-A40B-CE5771250150}" name="Cash Flow From Investing Activities" dataDxfId="41"/>
    <tableColumn id="75" xr3:uid="{E02B9C65-E15E-4001-A6E4-31D7686EB579}" name="          Net Long-Term Debt" dataDxfId="40"/>
    <tableColumn id="76" xr3:uid="{3E0B5E1A-41AD-4D39-9B80-BCFBE8C6BCFE}" name="          Net Current Debt" dataDxfId="39"/>
    <tableColumn id="77" xr3:uid="{508744F2-75A8-411D-AD6A-54D34817A75F}" name="          Debt Issuance/Retirement Net - Total" dataDxfId="38"/>
    <tableColumn id="78" xr3:uid="{DF5872E5-A8B9-4744-A0B1-A94220620FAF}" name="          Net Common Equity Issued/Repurchased" dataDxfId="37"/>
    <tableColumn id="79" xr3:uid="{BFE800B2-C618-4B5B-9E9F-E6560A705869}" name="          Net Total Equity Issued/Repurchased" dataDxfId="36"/>
    <tableColumn id="80" xr3:uid="{FEC8773B-6BB6-442E-B136-D68FB8C768D1}" name="          Total Common And Preferred Stock Dividends Paid" dataDxfId="35"/>
    <tableColumn id="81" xr3:uid="{DEC4DADE-3858-4FA0-A6BE-97668366982A}" name="          Financial Activities - Other" dataDxfId="34"/>
    <tableColumn id="82" xr3:uid="{A3054F2D-68A5-4260-9649-994A67B917C9}" name="Cash Flow From Financial Activities" dataDxfId="33"/>
    <tableColumn id="83" xr3:uid="{AA606A94-D769-44FC-BC41-125E6D940F35}" name="Net Cash Flow" dataDxfId="32"/>
    <tableColumn id="116" xr3:uid="{5DBEC67A-7044-4207-8F05-E9A6817FF94A}" name="Net Cash Flow Growth Rate" dataDxfId="31">
      <calculatedColumnFormula>(Table2[[#This Row],[Net Cash Flow]]-CJ3)/CJ3</calculatedColumnFormula>
    </tableColumn>
    <tableColumn id="84" xr3:uid="{90BC5136-F699-409A-AB55-97A3AFA03BDB}" name="Stock-Based ComHnsation" dataDxfId="30"/>
    <tableColumn id="85" xr3:uid="{C9A74BC1-B1E2-48ED-8D41-04D7FD97E03E}" name="Common Stock Dividends Paid" dataDxfId="29"/>
    <tableColumn id="86" xr3:uid="{E9D4B5D0-1518-4714-8540-E1EBDD98CA14}" name="KEY FINANCIAL RATIOS" dataDxfId="28"/>
    <tableColumn id="87" xr3:uid="{C5BBDB2F-1995-4ABF-9DB2-FBA4BE1A7AA5}" name="Current Ratio" dataDxfId="27"/>
    <tableColumn id="88" xr3:uid="{6F71FAE0-6F40-4234-B8B5-71473DC7430A}" name="Quick Ratio" dataDxfId="26">
      <calculatedColumnFormula xml:space="preserve"> (AQ2 - AN2) / AX2</calculatedColumnFormula>
    </tableColumn>
    <tableColumn id="89" xr3:uid="{82826F7B-C0F1-46F0-A3B1-A200C80709BA}" name="Long-term Debt/ Capital" dataDxfId="25"/>
    <tableColumn id="90" xr3:uid="{9B5337D6-A272-41A3-B284-53D3399E1CF6}" name="Debt/Equity Ratio" dataDxfId="24"/>
    <tableColumn id="91" xr3:uid="{B3787975-CE3F-4A7F-8ED9-77BDEEDE36F3}" name="Gross Margin" dataDxfId="23"/>
    <tableColumn id="92" xr3:uid="{06B0730A-F17C-4C5B-9814-8195DA443A81}" name="Operating Margin" dataDxfId="22"/>
    <tableColumn id="93" xr3:uid="{1A9505AD-96E9-4E47-8473-4C676507C196}" name="EBIT Margin" dataDxfId="21"/>
    <tableColumn id="94" xr3:uid="{2D7E5661-DB8C-47CE-B7BC-4238474DE63A}" name="EBITDA Margin" dataDxfId="20"/>
    <tableColumn id="95" xr3:uid="{9EC40F08-F2D1-44BF-BC3E-B05F752C2971}" name="Pre-Tax Profit Margin" dataDxfId="19"/>
    <tableColumn id="96" xr3:uid="{4373B1CA-CF36-434C-AE35-01531520D964}" name="Net Profit Margin" dataDxfId="18"/>
    <tableColumn id="97" xr3:uid="{FD663F56-DDB3-41AC-A94E-9AB4A8884499}" name="Asset Turnover" dataDxfId="17"/>
    <tableColumn id="98" xr3:uid="{595E592B-30FA-4F17-A6BB-36DCCFE46519}" name="Inventory Turnover Ratio" dataDxfId="16"/>
    <tableColumn id="99" xr3:uid="{1A9B66C2-8C19-427C-A042-19F5AFD06B71}" name="Receiveable Turnover" dataDxfId="15"/>
    <tableColumn id="100" xr3:uid="{50163613-A927-4A19-9503-E2D65E0086B0}" name="Days Sales In Receivables" dataDxfId="14"/>
    <tableColumn id="101" xr3:uid="{E1F285E2-C6AE-426F-B3C1-9AFC56AF2017}" name="ROE - Return on Equity" dataDxfId="13"/>
    <tableColumn id="102" xr3:uid="{251C3CF3-416A-43F9-AA22-6A81C78E7774}" name="Retum On Tangible Equity" dataDxfId="12"/>
    <tableColumn id="103" xr3:uid="{6E7E2368-9F40-43DD-BD0D-DE095A5FCB4E}" name="ROA- Return On Assets" dataDxfId="11"/>
    <tableColumn id="104" xr3:uid="{BB407550-E8A0-4B8D-B587-56E7EC58F002}" name="ROI - Retum On Investment" dataDxfId="10"/>
    <tableColumn id="105" xr3:uid="{6EDB9878-762A-4625-BFAE-9ED396C872CA}" name="Book Value Per Share" dataDxfId="9"/>
    <tableColumn id="106" xr3:uid="{872AFAAE-5CD3-42F8-9A3E-71ED2D8B29B0}" name="Operating Cash Flow Per Share" dataDxfId="8"/>
    <tableColumn id="107" xr3:uid="{D68F3AB3-4D55-43BC-B4FD-5615F4F9C2F6}" name="Free Cash Flow Per Share" dataDxfId="7"/>
    <tableColumn id="115" xr3:uid="{564D6246-918F-4ACC-A095-C41879FF00D8}" name="FCF/Share Growth Rate %" dataDxfId="6">
      <calculatedColumnFormula>Table2[[#This Row],[Free Cash Flow Per Share]]-DI3/DI3</calculatedColumnFormula>
    </tableColumn>
    <tableColumn id="117" xr3:uid="{DEDA8022-4331-4EBA-AB84-FB72C5ED0972}" name="ROE Growth Rate %" dataDxfId="5">
      <calculatedColumnFormula>(Table2[[#This Row],[ROE - Return on Equity]]-DC3)/DC3</calculatedColumnFormula>
    </tableColumn>
    <tableColumn id="118" xr3:uid="{334E1C4A-A179-4087-AB0A-4C6AFB32662E}" name="Debt / Equity Ratio Growth Rate %" dataDxfId="4">
      <calculatedColumnFormula>(Table2[[#This Row],[Long-term Debt/ Capital]]-CQ3)/CQ3</calculatedColumnFormula>
    </tableColumn>
    <tableColumn id="108" xr3:uid="{B76A7C18-990A-48BC-95A3-B27B1ECDA8C6}" name="Working Capital" dataDxfId="3">
      <calculatedColumnFormula xml:space="preserve"> AQ2 - AX2</calculatedColumnFormula>
    </tableColumn>
    <tableColumn id="109" xr3:uid="{7CC059A7-CA46-4691-B2A9-6D1144FE41A6}" name="Historical Stock Price (Dec/year)" dataDxfId="2"/>
    <tableColumn id="110" xr3:uid="{34B0DC76-F15E-47A3-BA5D-A33C24FB1803}" name="Price-to-Free Cash Flow (P/FCF) ratio" dataDxfId="1">
      <calculatedColumnFormula>Table2[[#This Row],[Historical Stock Price (Dec/year)]]/Table2[[#This Row],[Free Cash Flow Per Share]]</calculatedColumnFormula>
    </tableColumn>
    <tableColumn id="121" xr3:uid="{76851348-7D2F-4AD4-B5C2-C90573C25BE3}" name="Gross Profit Margin %" dataDxfId="0">
      <calculatedColumnFormula>Table2[[#This Row],[Gross Profit]]/Table2[[#This Row],[Revenue $]]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B324-0BB1-4C57-9FBE-797197887340}">
  <dimension ref="A1:CW67"/>
  <sheetViews>
    <sheetView workbookViewId="0"/>
  </sheetViews>
  <sheetFormatPr defaultRowHeight="15" x14ac:dyDescent="0.25"/>
  <cols>
    <col min="1" max="2" width="10.85546875" customWidth="1"/>
    <col min="3" max="3" width="7.140625" customWidth="1"/>
  </cols>
  <sheetData>
    <row r="1" spans="1:101" ht="84.75" x14ac:dyDescent="0.25">
      <c r="A1" s="8" t="s">
        <v>96</v>
      </c>
      <c r="B1" s="25" t="s">
        <v>103</v>
      </c>
      <c r="C1" s="17" t="s">
        <v>75</v>
      </c>
      <c r="D1" s="3" t="s">
        <v>0</v>
      </c>
      <c r="E1" s="3" t="s">
        <v>102</v>
      </c>
      <c r="F1" s="4" t="s">
        <v>1</v>
      </c>
      <c r="G1" s="3" t="s">
        <v>2</v>
      </c>
      <c r="H1" s="4" t="s">
        <v>19</v>
      </c>
      <c r="I1" s="4" t="s">
        <v>20</v>
      </c>
      <c r="J1" s="4" t="s">
        <v>21</v>
      </c>
      <c r="K1" s="4" t="s">
        <v>18</v>
      </c>
      <c r="L1" s="3" t="s">
        <v>3</v>
      </c>
      <c r="M1" s="4" t="s">
        <v>4</v>
      </c>
      <c r="N1" s="3" t="s">
        <v>5</v>
      </c>
      <c r="O1" s="4" t="s">
        <v>6</v>
      </c>
      <c r="P1" s="3" t="s">
        <v>14</v>
      </c>
      <c r="Q1" s="4" t="s">
        <v>15</v>
      </c>
      <c r="R1" s="3" t="s">
        <v>16</v>
      </c>
      <c r="S1" s="4" t="s">
        <v>17</v>
      </c>
      <c r="T1" s="3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3" t="s">
        <v>12</v>
      </c>
      <c r="Z1" s="3" t="s">
        <v>13</v>
      </c>
      <c r="AA1" s="5" t="s">
        <v>74</v>
      </c>
      <c r="AB1" s="6" t="s">
        <v>26</v>
      </c>
      <c r="AC1" s="6" t="s">
        <v>27</v>
      </c>
      <c r="AD1" s="6" t="s">
        <v>30</v>
      </c>
      <c r="AE1" s="6" t="s">
        <v>29</v>
      </c>
      <c r="AF1" s="6" t="s">
        <v>28</v>
      </c>
      <c r="AG1" s="6" t="s">
        <v>31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32</v>
      </c>
      <c r="AM1" s="7" t="s">
        <v>22</v>
      </c>
      <c r="AN1" s="6" t="s">
        <v>37</v>
      </c>
      <c r="AO1" s="6" t="s">
        <v>38</v>
      </c>
      <c r="AP1" s="6" t="s">
        <v>39</v>
      </c>
      <c r="AQ1" s="6" t="s">
        <v>40</v>
      </c>
      <c r="AR1" s="7" t="s">
        <v>23</v>
      </c>
      <c r="AS1" s="6" t="s">
        <v>44</v>
      </c>
      <c r="AT1" s="6" t="s">
        <v>43</v>
      </c>
      <c r="AU1" s="6" t="s">
        <v>42</v>
      </c>
      <c r="AV1" s="6" t="s">
        <v>41</v>
      </c>
      <c r="AW1" s="7" t="s">
        <v>24</v>
      </c>
      <c r="AX1" s="7" t="s">
        <v>25</v>
      </c>
      <c r="AY1" s="10" t="s">
        <v>73</v>
      </c>
      <c r="AZ1" s="11" t="s">
        <v>99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2" t="s">
        <v>45</v>
      </c>
      <c r="BJ1" s="11" t="s">
        <v>59</v>
      </c>
      <c r="BK1" s="11" t="s">
        <v>60</v>
      </c>
      <c r="BL1" s="11" t="s">
        <v>61</v>
      </c>
      <c r="BM1" s="11" t="s">
        <v>62</v>
      </c>
      <c r="BN1" s="11" t="s">
        <v>63</v>
      </c>
      <c r="BO1" s="11" t="s">
        <v>64</v>
      </c>
      <c r="BP1" s="11" t="s">
        <v>65</v>
      </c>
      <c r="BQ1" s="12" t="s">
        <v>46</v>
      </c>
      <c r="BR1" s="11" t="s">
        <v>66</v>
      </c>
      <c r="BS1" s="11" t="s">
        <v>67</v>
      </c>
      <c r="BT1" s="11" t="s">
        <v>68</v>
      </c>
      <c r="BU1" s="11" t="s">
        <v>69</v>
      </c>
      <c r="BV1" s="11" t="s">
        <v>70</v>
      </c>
      <c r="BW1" s="11" t="s">
        <v>71</v>
      </c>
      <c r="BX1" s="11" t="s">
        <v>72</v>
      </c>
      <c r="BY1" s="12" t="s">
        <v>47</v>
      </c>
      <c r="BZ1" s="12" t="s">
        <v>48</v>
      </c>
      <c r="CA1" s="12" t="s">
        <v>49</v>
      </c>
      <c r="CB1" s="12" t="s">
        <v>50</v>
      </c>
      <c r="CC1" s="13" t="s">
        <v>76</v>
      </c>
      <c r="CD1" s="14" t="s">
        <v>77</v>
      </c>
      <c r="CE1" s="14" t="s">
        <v>78</v>
      </c>
      <c r="CF1" s="14" t="s">
        <v>94</v>
      </c>
      <c r="CG1" s="14" t="s">
        <v>79</v>
      </c>
      <c r="CH1" s="14" t="s">
        <v>80</v>
      </c>
      <c r="CI1" s="14" t="s">
        <v>81</v>
      </c>
      <c r="CJ1" s="14" t="s">
        <v>82</v>
      </c>
      <c r="CK1" s="14" t="s">
        <v>95</v>
      </c>
      <c r="CL1" s="14" t="s">
        <v>83</v>
      </c>
      <c r="CM1" s="14" t="s">
        <v>84</v>
      </c>
      <c r="CN1" s="14" t="s">
        <v>127</v>
      </c>
      <c r="CO1" s="14" t="s">
        <v>85</v>
      </c>
      <c r="CP1" s="14" t="s">
        <v>86</v>
      </c>
      <c r="CQ1" s="14" t="s">
        <v>87</v>
      </c>
      <c r="CR1" s="14" t="s">
        <v>88</v>
      </c>
      <c r="CS1" s="14" t="s">
        <v>89</v>
      </c>
      <c r="CT1" s="14" t="s">
        <v>90</v>
      </c>
      <c r="CU1" s="14" t="s">
        <v>91</v>
      </c>
      <c r="CV1" s="14" t="s">
        <v>92</v>
      </c>
      <c r="CW1" s="14" t="s">
        <v>93</v>
      </c>
    </row>
    <row r="2" spans="1:101" x14ac:dyDescent="0.25">
      <c r="A2" s="9">
        <v>45199</v>
      </c>
      <c r="B2" s="26" t="str">
        <f>"Q" &amp; INT((MONTH(A2)-1)/3)+1 &amp; " " &amp; YEAR(A2)</f>
        <v>Q3 2023</v>
      </c>
      <c r="C2" s="15"/>
      <c r="D2" s="2">
        <v>23350</v>
      </c>
      <c r="E2" s="23">
        <f>((D2/D3)-1)</f>
        <v>-6.3264733020419572E-2</v>
      </c>
      <c r="F2" s="2">
        <v>19172</v>
      </c>
      <c r="G2" s="2">
        <v>4178</v>
      </c>
      <c r="H2" s="2">
        <v>1161</v>
      </c>
      <c r="I2" s="2">
        <v>1253</v>
      </c>
      <c r="J2" s="2"/>
      <c r="K2" s="2">
        <v>2414</v>
      </c>
      <c r="L2" s="2">
        <v>1764</v>
      </c>
      <c r="M2" s="2">
        <v>281</v>
      </c>
      <c r="N2" s="2">
        <v>2045</v>
      </c>
      <c r="O2" s="2">
        <v>167</v>
      </c>
      <c r="P2" s="2">
        <v>1878</v>
      </c>
      <c r="Q2" s="2"/>
      <c r="R2" s="2">
        <v>1878</v>
      </c>
      <c r="S2" s="2"/>
      <c r="T2" s="2">
        <v>1853</v>
      </c>
      <c r="U2" s="2">
        <v>2999</v>
      </c>
      <c r="V2" s="2">
        <v>1764</v>
      </c>
      <c r="W2" s="2">
        <v>3176</v>
      </c>
      <c r="X2" s="2">
        <v>3493</v>
      </c>
      <c r="Y2" s="2">
        <v>0.57999999999999996</v>
      </c>
      <c r="Z2" s="2">
        <v>0.53</v>
      </c>
      <c r="AA2" s="5"/>
      <c r="AB2" s="2">
        <v>26077</v>
      </c>
      <c r="AC2" s="2">
        <v>2520</v>
      </c>
      <c r="AD2" s="2">
        <v>13721</v>
      </c>
      <c r="AE2" s="2">
        <v>2708</v>
      </c>
      <c r="AF2" s="2"/>
      <c r="AG2" s="2">
        <v>45026</v>
      </c>
      <c r="AH2" s="2">
        <v>27744</v>
      </c>
      <c r="AI2" s="2"/>
      <c r="AJ2" s="2">
        <v>441</v>
      </c>
      <c r="AK2" s="2">
        <v>10974</v>
      </c>
      <c r="AL2" s="2">
        <v>48915</v>
      </c>
      <c r="AM2" s="2">
        <v>93941</v>
      </c>
      <c r="AN2" s="2">
        <v>26640</v>
      </c>
      <c r="AO2" s="2">
        <v>2426</v>
      </c>
      <c r="AP2" s="2">
        <v>7321</v>
      </c>
      <c r="AQ2" s="2">
        <v>13083</v>
      </c>
      <c r="AR2" s="2">
        <v>39723</v>
      </c>
      <c r="AS2" s="2">
        <v>3</v>
      </c>
      <c r="AT2" s="2">
        <v>19954</v>
      </c>
      <c r="AU2" s="2">
        <v>-692</v>
      </c>
      <c r="AV2" s="2"/>
      <c r="AW2" s="2">
        <v>54218</v>
      </c>
      <c r="AX2" s="2">
        <v>93941</v>
      </c>
      <c r="AY2" s="15"/>
      <c r="AZ2" s="2">
        <v>1878</v>
      </c>
      <c r="BA2" s="2">
        <v>1235</v>
      </c>
      <c r="BB2" s="2">
        <v>610</v>
      </c>
      <c r="BC2" s="2">
        <v>1845</v>
      </c>
      <c r="BD2" s="2">
        <v>881</v>
      </c>
      <c r="BE2" s="2">
        <v>163</v>
      </c>
      <c r="BF2" s="2">
        <v>0</v>
      </c>
      <c r="BG2" s="2">
        <v>-501</v>
      </c>
      <c r="BH2" s="2">
        <v>-415</v>
      </c>
      <c r="BI2" s="2">
        <v>3308</v>
      </c>
      <c r="BJ2" s="2">
        <v>-2460</v>
      </c>
      <c r="BK2" s="2">
        <v>0</v>
      </c>
      <c r="BL2" s="2">
        <v>12</v>
      </c>
      <c r="BM2" s="2">
        <v>-2315</v>
      </c>
      <c r="BN2" s="2">
        <v>0</v>
      </c>
      <c r="BO2" s="2">
        <v>-2315</v>
      </c>
      <c r="BP2" s="2">
        <v>1</v>
      </c>
      <c r="BQ2" s="2">
        <v>-4762</v>
      </c>
      <c r="BR2" s="2">
        <v>2064</v>
      </c>
      <c r="BS2" s="2">
        <v>0</v>
      </c>
      <c r="BT2" s="2">
        <v>2064</v>
      </c>
      <c r="BU2" s="2">
        <v>254</v>
      </c>
      <c r="BV2" s="2">
        <v>254</v>
      </c>
      <c r="BW2" s="2">
        <v>0</v>
      </c>
      <c r="BX2" s="2">
        <v>-55</v>
      </c>
      <c r="BY2" s="2">
        <v>2263</v>
      </c>
      <c r="BZ2" s="2">
        <v>711</v>
      </c>
      <c r="CA2" s="2">
        <v>465</v>
      </c>
      <c r="CB2" s="2">
        <v>0</v>
      </c>
      <c r="CC2" s="15"/>
      <c r="CD2" s="2">
        <v>1.6901999999999999</v>
      </c>
      <c r="CE2" s="2">
        <v>4.2799999999999998E-2</v>
      </c>
      <c r="CF2" s="2">
        <v>8.1000000000000003E-2</v>
      </c>
      <c r="CG2" s="2">
        <v>17.892900000000001</v>
      </c>
      <c r="CH2" s="2">
        <v>7.5545999999999998</v>
      </c>
      <c r="CI2" s="2">
        <v>7.5545999999999998</v>
      </c>
      <c r="CJ2" s="2"/>
      <c r="CK2" s="2">
        <v>8.7579999999999991</v>
      </c>
      <c r="CL2" s="2">
        <v>7.9358000000000004</v>
      </c>
      <c r="CM2" s="2">
        <v>0.24859999999999999</v>
      </c>
      <c r="CN2" s="2">
        <v>1.3973</v>
      </c>
      <c r="CO2" s="2">
        <v>9.2659000000000002</v>
      </c>
      <c r="CP2" s="2">
        <v>9.7131000000000007</v>
      </c>
      <c r="CQ2" s="2">
        <v>3.4638</v>
      </c>
      <c r="CR2" s="2">
        <v>3.4922</v>
      </c>
      <c r="CS2" s="2">
        <v>1.9991000000000001</v>
      </c>
      <c r="CT2" s="2">
        <v>3.3153999999999999</v>
      </c>
      <c r="CU2" s="2">
        <v>17.055099999999999</v>
      </c>
      <c r="CV2" s="2">
        <v>0.94010000000000005</v>
      </c>
      <c r="CW2" s="2">
        <v>0.2409</v>
      </c>
    </row>
    <row r="3" spans="1:101" x14ac:dyDescent="0.25">
      <c r="A3" s="9">
        <v>45107</v>
      </c>
      <c r="B3" s="26" t="str">
        <f t="shared" ref="B3:B59" si="0">"Q" &amp; INT((MONTH(A3)-1)/3)+1 &amp; " " &amp; YEAR(A3)</f>
        <v>Q2 2023</v>
      </c>
      <c r="C3" s="15"/>
      <c r="D3" s="2">
        <v>24927</v>
      </c>
      <c r="E3" s="23">
        <f>((D3/D4)-1)</f>
        <v>6.8498435423721471E-2</v>
      </c>
      <c r="F3" s="2">
        <v>20394</v>
      </c>
      <c r="G3" s="2">
        <v>4533</v>
      </c>
      <c r="H3" s="2">
        <v>943</v>
      </c>
      <c r="I3" s="2">
        <v>1191</v>
      </c>
      <c r="J3" s="2"/>
      <c r="K3" s="2">
        <v>2134</v>
      </c>
      <c r="L3" s="2">
        <v>2399</v>
      </c>
      <c r="M3" s="2">
        <v>538</v>
      </c>
      <c r="N3" s="2">
        <v>2937</v>
      </c>
      <c r="O3" s="2">
        <v>323</v>
      </c>
      <c r="P3" s="2">
        <v>2614</v>
      </c>
      <c r="Q3" s="2"/>
      <c r="R3" s="2">
        <v>2614</v>
      </c>
      <c r="S3" s="2"/>
      <c r="T3" s="2">
        <v>2703</v>
      </c>
      <c r="U3" s="2">
        <v>3553</v>
      </c>
      <c r="V3" s="2">
        <v>2399</v>
      </c>
      <c r="W3" s="2">
        <v>3171</v>
      </c>
      <c r="X3" s="2">
        <v>3478</v>
      </c>
      <c r="Y3" s="2">
        <v>0.85</v>
      </c>
      <c r="Z3" s="2">
        <v>0.78</v>
      </c>
      <c r="AA3" s="5"/>
      <c r="AB3" s="2">
        <v>23075</v>
      </c>
      <c r="AC3" s="2">
        <v>3447</v>
      </c>
      <c r="AD3" s="2">
        <v>14356</v>
      </c>
      <c r="AE3" s="2">
        <v>2997</v>
      </c>
      <c r="AF3" s="2"/>
      <c r="AG3" s="2">
        <v>43875</v>
      </c>
      <c r="AH3" s="2">
        <v>26389</v>
      </c>
      <c r="AI3" s="2"/>
      <c r="AJ3" s="2">
        <v>465</v>
      </c>
      <c r="AK3" s="2">
        <v>10575</v>
      </c>
      <c r="AL3" s="2">
        <v>46716</v>
      </c>
      <c r="AM3" s="2">
        <v>90591</v>
      </c>
      <c r="AN3" s="2">
        <v>27592</v>
      </c>
      <c r="AO3" s="2">
        <v>872</v>
      </c>
      <c r="AP3" s="2">
        <v>6924</v>
      </c>
      <c r="AQ3" s="2">
        <v>11105</v>
      </c>
      <c r="AR3" s="2">
        <v>38697</v>
      </c>
      <c r="AS3" s="2">
        <v>3</v>
      </c>
      <c r="AT3" s="2">
        <v>18101</v>
      </c>
      <c r="AU3" s="2">
        <v>-410</v>
      </c>
      <c r="AV3" s="2"/>
      <c r="AW3" s="2">
        <v>51894</v>
      </c>
      <c r="AX3" s="2">
        <v>90591</v>
      </c>
      <c r="AY3" s="15"/>
      <c r="AZ3" s="2">
        <v>2614</v>
      </c>
      <c r="BA3" s="2">
        <v>1154</v>
      </c>
      <c r="BB3" s="2">
        <v>398</v>
      </c>
      <c r="BC3" s="2">
        <v>1552</v>
      </c>
      <c r="BD3" s="2">
        <v>-472</v>
      </c>
      <c r="BE3" s="2">
        <v>-576</v>
      </c>
      <c r="BF3" s="2">
        <v>0</v>
      </c>
      <c r="BG3" s="2">
        <v>-190</v>
      </c>
      <c r="BH3" s="2">
        <v>-1101</v>
      </c>
      <c r="BI3" s="2">
        <v>3065</v>
      </c>
      <c r="BJ3" s="2">
        <v>-2060</v>
      </c>
      <c r="BK3" s="2">
        <v>0</v>
      </c>
      <c r="BL3" s="2">
        <v>-76</v>
      </c>
      <c r="BM3" s="2">
        <v>-1536</v>
      </c>
      <c r="BN3" s="2">
        <v>138</v>
      </c>
      <c r="BO3" s="2">
        <v>-1398</v>
      </c>
      <c r="BP3" s="2">
        <v>0</v>
      </c>
      <c r="BQ3" s="2">
        <v>-3534</v>
      </c>
      <c r="BR3" s="2">
        <v>-357</v>
      </c>
      <c r="BS3" s="2">
        <v>0</v>
      </c>
      <c r="BT3" s="2">
        <v>-357</v>
      </c>
      <c r="BU3" s="2">
        <v>63</v>
      </c>
      <c r="BV3" s="2">
        <v>63</v>
      </c>
      <c r="BW3" s="2">
        <v>0</v>
      </c>
      <c r="BX3" s="2">
        <v>-34</v>
      </c>
      <c r="BY3" s="2">
        <v>-328</v>
      </c>
      <c r="BZ3" s="2">
        <v>-891</v>
      </c>
      <c r="CA3" s="2">
        <v>445</v>
      </c>
      <c r="CB3" s="2">
        <v>0</v>
      </c>
      <c r="CC3" s="15"/>
      <c r="CD3" s="2">
        <v>1.5901000000000001</v>
      </c>
      <c r="CE3" s="2">
        <v>1.6500000000000001E-2</v>
      </c>
      <c r="CF3" s="2">
        <v>4.4900000000000002E-2</v>
      </c>
      <c r="CG3" s="2">
        <v>18.185099999999998</v>
      </c>
      <c r="CH3" s="2">
        <v>9.6241000000000003</v>
      </c>
      <c r="CI3" s="2">
        <v>9.6241000000000003</v>
      </c>
      <c r="CJ3" s="2"/>
      <c r="CK3" s="2">
        <v>11.782400000000001</v>
      </c>
      <c r="CL3" s="2">
        <v>10.8437</v>
      </c>
      <c r="CM3" s="2">
        <v>0.2752</v>
      </c>
      <c r="CN3" s="2">
        <v>1.4206000000000001</v>
      </c>
      <c r="CO3" s="2">
        <v>7.2314999999999996</v>
      </c>
      <c r="CP3" s="2">
        <v>12.445499999999999</v>
      </c>
      <c r="CQ3" s="2">
        <v>5.0372000000000003</v>
      </c>
      <c r="CR3" s="2">
        <v>5.0827</v>
      </c>
      <c r="CS3" s="2">
        <v>2.8855</v>
      </c>
      <c r="CT3" s="2">
        <v>4.9539</v>
      </c>
      <c r="CU3" s="2">
        <v>16.349699999999999</v>
      </c>
      <c r="CV3" s="2">
        <v>0.87919999999999998</v>
      </c>
      <c r="CW3" s="2">
        <v>0.28860000000000002</v>
      </c>
    </row>
    <row r="4" spans="1:101" x14ac:dyDescent="0.25">
      <c r="A4" s="9">
        <v>45016</v>
      </c>
      <c r="B4" s="26" t="str">
        <f t="shared" si="0"/>
        <v>Q1 2023</v>
      </c>
      <c r="C4" s="15"/>
      <c r="D4" s="2">
        <v>23329</v>
      </c>
      <c r="E4" s="23">
        <f t="shared" ref="E4:E58" si="1">((D4/D5)-1)</f>
        <v>-4.0669462949255664E-2</v>
      </c>
      <c r="F4" s="2">
        <v>18818</v>
      </c>
      <c r="G4" s="2">
        <v>4511</v>
      </c>
      <c r="H4" s="2">
        <v>771</v>
      </c>
      <c r="I4" s="2">
        <v>1076</v>
      </c>
      <c r="J4" s="2"/>
      <c r="K4" s="2">
        <v>1847</v>
      </c>
      <c r="L4" s="2">
        <v>2664</v>
      </c>
      <c r="M4" s="2">
        <v>136</v>
      </c>
      <c r="N4" s="2">
        <v>2800</v>
      </c>
      <c r="O4" s="2">
        <v>261</v>
      </c>
      <c r="P4" s="2">
        <v>2539</v>
      </c>
      <c r="Q4" s="2"/>
      <c r="R4" s="2">
        <v>2539</v>
      </c>
      <c r="S4" s="2"/>
      <c r="T4" s="2">
        <v>2518</v>
      </c>
      <c r="U4" s="2">
        <v>3710</v>
      </c>
      <c r="V4" s="2">
        <v>2664</v>
      </c>
      <c r="W4" s="2">
        <v>3166</v>
      </c>
      <c r="X4" s="2">
        <v>3468</v>
      </c>
      <c r="Y4" s="2">
        <v>0.8</v>
      </c>
      <c r="Z4" s="2">
        <v>0.73</v>
      </c>
      <c r="AA4" s="5"/>
      <c r="AB4" s="2">
        <v>22402</v>
      </c>
      <c r="AC4" s="2">
        <v>2993</v>
      </c>
      <c r="AD4" s="2">
        <v>14375</v>
      </c>
      <c r="AE4" s="2">
        <v>3227</v>
      </c>
      <c r="AF4" s="2"/>
      <c r="AG4" s="2">
        <v>42997</v>
      </c>
      <c r="AH4" s="2">
        <v>24969</v>
      </c>
      <c r="AI4" s="2"/>
      <c r="AJ4" s="2">
        <v>399</v>
      </c>
      <c r="AK4" s="2">
        <v>10195</v>
      </c>
      <c r="AL4" s="2">
        <v>43836</v>
      </c>
      <c r="AM4" s="2">
        <v>86833</v>
      </c>
      <c r="AN4" s="2">
        <v>27436</v>
      </c>
      <c r="AO4" s="2">
        <v>1272</v>
      </c>
      <c r="AP4" s="2">
        <v>5979</v>
      </c>
      <c r="AQ4" s="2">
        <v>10569</v>
      </c>
      <c r="AR4" s="2">
        <v>38005</v>
      </c>
      <c r="AS4" s="2">
        <v>3</v>
      </c>
      <c r="AT4" s="2">
        <v>15398</v>
      </c>
      <c r="AU4" s="2">
        <v>-225</v>
      </c>
      <c r="AV4" s="2"/>
      <c r="AW4" s="2">
        <v>48828</v>
      </c>
      <c r="AX4" s="2">
        <v>86833</v>
      </c>
      <c r="AY4" s="15"/>
      <c r="AZ4" s="2">
        <v>2539</v>
      </c>
      <c r="BA4" s="2">
        <v>1046</v>
      </c>
      <c r="BB4" s="2">
        <v>458</v>
      </c>
      <c r="BC4" s="2">
        <v>1504</v>
      </c>
      <c r="BD4" s="2">
        <v>-32</v>
      </c>
      <c r="BE4" s="2">
        <v>-1540</v>
      </c>
      <c r="BF4" s="2"/>
      <c r="BG4" s="2">
        <v>-755</v>
      </c>
      <c r="BH4" s="2">
        <v>-1530</v>
      </c>
      <c r="BI4" s="2">
        <v>2513</v>
      </c>
      <c r="BJ4" s="2">
        <v>-2072</v>
      </c>
      <c r="BK4" s="2">
        <v>0</v>
      </c>
      <c r="BL4" s="2"/>
      <c r="BM4" s="2">
        <v>-411</v>
      </c>
      <c r="BN4" s="2"/>
      <c r="BO4" s="2">
        <v>-411</v>
      </c>
      <c r="BP4" s="2">
        <v>-1</v>
      </c>
      <c r="BQ4" s="2">
        <v>-2484</v>
      </c>
      <c r="BR4" s="2">
        <v>-408</v>
      </c>
      <c r="BS4" s="2"/>
      <c r="BT4" s="2">
        <v>-408</v>
      </c>
      <c r="BU4" s="2">
        <v>231</v>
      </c>
      <c r="BV4" s="2">
        <v>231</v>
      </c>
      <c r="BW4" s="2"/>
      <c r="BX4" s="2">
        <v>-56</v>
      </c>
      <c r="BY4" s="2">
        <v>-233</v>
      </c>
      <c r="BZ4" s="2">
        <v>-154</v>
      </c>
      <c r="CA4" s="2">
        <v>418</v>
      </c>
      <c r="CB4" s="2"/>
      <c r="CC4" s="15"/>
      <c r="CD4" s="2">
        <v>1.5671999999999999</v>
      </c>
      <c r="CE4" s="2">
        <v>2.5399999999999999E-2</v>
      </c>
      <c r="CF4" s="2">
        <v>5.4800000000000001E-2</v>
      </c>
      <c r="CG4" s="2">
        <v>19.336500000000001</v>
      </c>
      <c r="CH4" s="2">
        <v>11.4193</v>
      </c>
      <c r="CI4" s="2">
        <v>11.4193</v>
      </c>
      <c r="CJ4" s="2"/>
      <c r="CK4" s="2">
        <v>12.0022</v>
      </c>
      <c r="CL4" s="2">
        <v>10.7934</v>
      </c>
      <c r="CM4" s="2">
        <v>0.26869999999999999</v>
      </c>
      <c r="CN4" s="2">
        <v>1.3090999999999999</v>
      </c>
      <c r="CO4" s="2">
        <v>7.7945000000000002</v>
      </c>
      <c r="CP4" s="2">
        <v>11.5466</v>
      </c>
      <c r="CQ4" s="2">
        <v>5.1999000000000004</v>
      </c>
      <c r="CR4" s="2">
        <v>5.2427000000000001</v>
      </c>
      <c r="CS4" s="2">
        <v>2.9239999999999999</v>
      </c>
      <c r="CT4" s="2">
        <v>5.0678999999999998</v>
      </c>
      <c r="CU4" s="2">
        <v>15.407999999999999</v>
      </c>
      <c r="CV4" s="2">
        <v>0.72460000000000002</v>
      </c>
      <c r="CW4" s="2">
        <v>0.12720000000000001</v>
      </c>
    </row>
    <row r="5" spans="1:101" x14ac:dyDescent="0.25">
      <c r="A5" s="9">
        <v>44926</v>
      </c>
      <c r="B5" s="26" t="str">
        <f t="shared" si="0"/>
        <v>Q4 2022</v>
      </c>
      <c r="C5" s="15"/>
      <c r="D5" s="2">
        <v>24318</v>
      </c>
      <c r="E5" s="23">
        <f t="shared" si="1"/>
        <v>0.13349491936235669</v>
      </c>
      <c r="F5" s="2">
        <v>18541</v>
      </c>
      <c r="G5" s="2">
        <v>5777</v>
      </c>
      <c r="H5" s="2">
        <v>810</v>
      </c>
      <c r="I5" s="2">
        <v>1032</v>
      </c>
      <c r="J5" s="2"/>
      <c r="K5" s="2">
        <v>1876</v>
      </c>
      <c r="L5" s="2">
        <v>3901</v>
      </c>
      <c r="M5" s="2">
        <v>82</v>
      </c>
      <c r="N5" s="2">
        <v>3983</v>
      </c>
      <c r="O5" s="2">
        <v>276</v>
      </c>
      <c r="P5" s="2">
        <v>3707</v>
      </c>
      <c r="Q5" s="2"/>
      <c r="R5" s="2">
        <v>3707</v>
      </c>
      <c r="S5" s="2"/>
      <c r="T5" s="2">
        <v>3719</v>
      </c>
      <c r="U5" s="2">
        <v>4890</v>
      </c>
      <c r="V5" s="2">
        <v>3901</v>
      </c>
      <c r="W5" s="2">
        <v>3130</v>
      </c>
      <c r="X5" s="2">
        <v>3475</v>
      </c>
      <c r="Y5" s="2">
        <v>1.17</v>
      </c>
      <c r="Z5" s="2">
        <v>1.07</v>
      </c>
      <c r="AA5" s="5"/>
      <c r="AB5" s="2">
        <v>22185</v>
      </c>
      <c r="AC5" s="2">
        <v>2952</v>
      </c>
      <c r="AD5" s="2">
        <v>12839</v>
      </c>
      <c r="AE5" s="2">
        <v>2941</v>
      </c>
      <c r="AF5" s="2"/>
      <c r="AG5" s="2">
        <v>40917</v>
      </c>
      <c r="AH5" s="2">
        <v>23548</v>
      </c>
      <c r="AI5" s="2"/>
      <c r="AJ5" s="2">
        <v>409</v>
      </c>
      <c r="AK5" s="2">
        <v>9866</v>
      </c>
      <c r="AL5" s="2">
        <v>41421</v>
      </c>
      <c r="AM5" s="2">
        <v>82338</v>
      </c>
      <c r="AN5" s="2">
        <v>26709</v>
      </c>
      <c r="AO5" s="2">
        <v>1597</v>
      </c>
      <c r="AP5" s="2">
        <v>5330</v>
      </c>
      <c r="AQ5" s="2">
        <v>10140</v>
      </c>
      <c r="AR5" s="2">
        <v>36849</v>
      </c>
      <c r="AS5" s="2">
        <v>3</v>
      </c>
      <c r="AT5" s="2">
        <v>12885</v>
      </c>
      <c r="AU5" s="2">
        <v>-361</v>
      </c>
      <c r="AV5" s="2"/>
      <c r="AW5" s="2">
        <v>45489</v>
      </c>
      <c r="AX5" s="2">
        <v>82338</v>
      </c>
      <c r="AY5" s="15"/>
      <c r="AZ5" s="2">
        <v>3707</v>
      </c>
      <c r="BA5" s="2">
        <v>989</v>
      </c>
      <c r="BB5" s="2">
        <v>773</v>
      </c>
      <c r="BC5" s="2">
        <v>1762</v>
      </c>
      <c r="BD5" s="2">
        <v>-698</v>
      </c>
      <c r="BE5" s="2">
        <v>-1973</v>
      </c>
      <c r="BF5" s="2">
        <v>0</v>
      </c>
      <c r="BG5" s="2">
        <v>-890</v>
      </c>
      <c r="BH5" s="2">
        <v>-2191</v>
      </c>
      <c r="BI5" s="2">
        <v>3278</v>
      </c>
      <c r="BJ5" s="2">
        <v>-1858</v>
      </c>
      <c r="BK5" s="2">
        <v>0</v>
      </c>
      <c r="BL5" s="2">
        <v>0</v>
      </c>
      <c r="BM5" s="2">
        <v>-4349</v>
      </c>
      <c r="BN5" s="2">
        <v>0</v>
      </c>
      <c r="BO5" s="2">
        <v>-4349</v>
      </c>
      <c r="BP5" s="2">
        <v>76</v>
      </c>
      <c r="BQ5" s="2">
        <v>-6131</v>
      </c>
      <c r="BR5" s="2">
        <v>-497</v>
      </c>
      <c r="BS5" s="2">
        <v>0</v>
      </c>
      <c r="BT5" s="2">
        <v>-497</v>
      </c>
      <c r="BU5" s="2">
        <v>67</v>
      </c>
      <c r="BV5" s="2">
        <v>67</v>
      </c>
      <c r="BW5" s="2">
        <v>0</v>
      </c>
      <c r="BX5" s="2">
        <v>-65</v>
      </c>
      <c r="BY5" s="2">
        <v>-495</v>
      </c>
      <c r="BZ5" s="2">
        <v>-3225</v>
      </c>
      <c r="CA5" s="2">
        <v>419</v>
      </c>
      <c r="CB5" s="2">
        <v>0</v>
      </c>
      <c r="CC5" s="15"/>
      <c r="CD5" s="2">
        <v>1.532</v>
      </c>
      <c r="CE5" s="2">
        <v>3.39E-2</v>
      </c>
      <c r="CF5" s="2">
        <v>6.8099999999999994E-2</v>
      </c>
      <c r="CG5" s="2">
        <v>23.7561</v>
      </c>
      <c r="CH5" s="2">
        <v>16.041599999999999</v>
      </c>
      <c r="CI5" s="2">
        <v>16.041599999999999</v>
      </c>
      <c r="CJ5" s="2"/>
      <c r="CK5" s="2">
        <v>16.378799999999998</v>
      </c>
      <c r="CL5" s="2">
        <v>15.293200000000001</v>
      </c>
      <c r="CM5" s="2">
        <v>0.29530000000000001</v>
      </c>
      <c r="CN5" s="2">
        <v>1.4440999999999999</v>
      </c>
      <c r="CO5" s="2">
        <v>8.2378</v>
      </c>
      <c r="CP5" s="2">
        <v>10.9252</v>
      </c>
      <c r="CQ5" s="2">
        <v>8.1492000000000004</v>
      </c>
      <c r="CR5" s="2">
        <v>8.2232000000000003</v>
      </c>
      <c r="CS5" s="2">
        <v>4.5022000000000002</v>
      </c>
      <c r="CT5" s="2">
        <v>7.8727999999999998</v>
      </c>
      <c r="CU5" s="2">
        <v>14.3771</v>
      </c>
      <c r="CV5" s="2">
        <v>0.93659999999999999</v>
      </c>
      <c r="CW5" s="2">
        <v>0.40450000000000003</v>
      </c>
    </row>
    <row r="6" spans="1:101" x14ac:dyDescent="0.25">
      <c r="A6" s="9">
        <v>44834</v>
      </c>
      <c r="B6" s="26" t="str">
        <f t="shared" si="0"/>
        <v>Q3 2022</v>
      </c>
      <c r="C6" s="15"/>
      <c r="D6" s="2">
        <v>21454</v>
      </c>
      <c r="E6" s="23">
        <f t="shared" si="1"/>
        <v>0.26691862525097432</v>
      </c>
      <c r="F6" s="2">
        <v>16072</v>
      </c>
      <c r="G6" s="2">
        <v>5382</v>
      </c>
      <c r="H6" s="2">
        <v>733</v>
      </c>
      <c r="I6" s="2">
        <v>961</v>
      </c>
      <c r="J6" s="2"/>
      <c r="K6" s="2">
        <v>1694</v>
      </c>
      <c r="L6" s="2">
        <v>3688</v>
      </c>
      <c r="M6" s="2">
        <v>-52</v>
      </c>
      <c r="N6" s="2">
        <v>3636</v>
      </c>
      <c r="O6" s="2">
        <v>305</v>
      </c>
      <c r="P6" s="2">
        <v>3331</v>
      </c>
      <c r="Q6" s="2"/>
      <c r="R6" s="2">
        <v>3331</v>
      </c>
      <c r="S6" s="2"/>
      <c r="T6" s="2">
        <v>3292</v>
      </c>
      <c r="U6" s="2">
        <v>4644</v>
      </c>
      <c r="V6" s="2">
        <v>3688</v>
      </c>
      <c r="W6" s="2">
        <v>3146</v>
      </c>
      <c r="X6" s="2">
        <v>3468</v>
      </c>
      <c r="Y6" s="2">
        <v>1.05</v>
      </c>
      <c r="Z6" s="2">
        <v>0.95</v>
      </c>
      <c r="AA6" s="5"/>
      <c r="AB6" s="2">
        <v>21107</v>
      </c>
      <c r="AC6" s="2">
        <v>2192</v>
      </c>
      <c r="AD6" s="2">
        <v>10327</v>
      </c>
      <c r="AE6" s="2">
        <v>2364</v>
      </c>
      <c r="AF6" s="2"/>
      <c r="AG6" s="2">
        <v>35990</v>
      </c>
      <c r="AH6" s="2">
        <v>21926</v>
      </c>
      <c r="AI6" s="2"/>
      <c r="AJ6" s="2">
        <v>419</v>
      </c>
      <c r="AK6" s="2">
        <v>9016</v>
      </c>
      <c r="AL6" s="2">
        <v>38436</v>
      </c>
      <c r="AM6" s="2">
        <v>74426</v>
      </c>
      <c r="AN6" s="2">
        <v>24611</v>
      </c>
      <c r="AO6" s="2">
        <v>2096</v>
      </c>
      <c r="AP6" s="2">
        <v>4330</v>
      </c>
      <c r="AQ6" s="2">
        <v>9112</v>
      </c>
      <c r="AR6" s="2">
        <v>33723</v>
      </c>
      <c r="AS6" s="2">
        <v>3</v>
      </c>
      <c r="AT6" s="2">
        <v>9198</v>
      </c>
      <c r="AU6" s="2">
        <v>-942</v>
      </c>
      <c r="AV6" s="2"/>
      <c r="AW6" s="2">
        <v>40703</v>
      </c>
      <c r="AX6" s="2">
        <v>74426</v>
      </c>
      <c r="AY6" s="15"/>
      <c r="AZ6" s="2">
        <v>3331</v>
      </c>
      <c r="BA6" s="2">
        <v>956</v>
      </c>
      <c r="BB6" s="2">
        <v>582</v>
      </c>
      <c r="BC6" s="2">
        <v>1538</v>
      </c>
      <c r="BD6" s="2">
        <v>-193</v>
      </c>
      <c r="BE6" s="2">
        <v>-2300</v>
      </c>
      <c r="BF6" s="2">
        <v>0</v>
      </c>
      <c r="BG6" s="2">
        <v>-529</v>
      </c>
      <c r="BH6" s="2">
        <v>231</v>
      </c>
      <c r="BI6" s="2">
        <v>5100</v>
      </c>
      <c r="BJ6" s="2">
        <v>-1803</v>
      </c>
      <c r="BK6" s="2">
        <v>0</v>
      </c>
      <c r="BL6" s="2">
        <v>0</v>
      </c>
      <c r="BM6" s="2">
        <v>-988</v>
      </c>
      <c r="BN6" s="2">
        <v>0</v>
      </c>
      <c r="BO6" s="2">
        <v>-988</v>
      </c>
      <c r="BP6" s="2">
        <v>0</v>
      </c>
      <c r="BQ6" s="2">
        <v>-2791</v>
      </c>
      <c r="BR6" s="2">
        <v>-899</v>
      </c>
      <c r="BS6" s="2">
        <v>0</v>
      </c>
      <c r="BT6" s="2">
        <v>-899</v>
      </c>
      <c r="BU6" s="2">
        <v>229</v>
      </c>
      <c r="BV6" s="2">
        <v>229</v>
      </c>
      <c r="BW6" s="2">
        <v>0</v>
      </c>
      <c r="BX6" s="2">
        <v>-42</v>
      </c>
      <c r="BY6" s="2">
        <v>-712</v>
      </c>
      <c r="BZ6" s="2">
        <v>1262</v>
      </c>
      <c r="CA6" s="2">
        <v>362</v>
      </c>
      <c r="CB6" s="2">
        <v>0</v>
      </c>
      <c r="CC6" s="15"/>
      <c r="CD6" s="2">
        <v>1.4623999999999999</v>
      </c>
      <c r="CE6" s="2">
        <v>4.9000000000000002E-2</v>
      </c>
      <c r="CF6" s="2">
        <v>8.7300000000000003E-2</v>
      </c>
      <c r="CG6" s="2">
        <v>25.086200000000002</v>
      </c>
      <c r="CH6" s="2">
        <v>17.190300000000001</v>
      </c>
      <c r="CI6" s="2">
        <v>17.190300000000001</v>
      </c>
      <c r="CJ6" s="2"/>
      <c r="CK6" s="2">
        <v>16.947900000000001</v>
      </c>
      <c r="CL6" s="2">
        <v>15.3445</v>
      </c>
      <c r="CM6" s="2">
        <v>0.2883</v>
      </c>
      <c r="CN6" s="2">
        <v>1.5563</v>
      </c>
      <c r="CO6" s="2">
        <v>9.7873999999999999</v>
      </c>
      <c r="CP6" s="2">
        <v>9.1954999999999991</v>
      </c>
      <c r="CQ6" s="2">
        <v>8.1837</v>
      </c>
      <c r="CR6" s="2">
        <v>8.2688000000000006</v>
      </c>
      <c r="CS6" s="2">
        <v>4.4756</v>
      </c>
      <c r="CT6" s="2">
        <v>7.7828999999999997</v>
      </c>
      <c r="CU6" s="2">
        <v>12.8889</v>
      </c>
      <c r="CV6" s="2">
        <v>1.4684999999999999</v>
      </c>
      <c r="CW6" s="2">
        <v>0.94940000000000002</v>
      </c>
    </row>
    <row r="7" spans="1:101" x14ac:dyDescent="0.25">
      <c r="A7" s="9">
        <v>44742</v>
      </c>
      <c r="B7" s="26" t="str">
        <f t="shared" si="0"/>
        <v>Q2 2022</v>
      </c>
      <c r="C7" s="15"/>
      <c r="D7" s="2">
        <v>16934</v>
      </c>
      <c r="E7" s="23">
        <f t="shared" si="1"/>
        <v>-9.7142247814032801E-2</v>
      </c>
      <c r="F7" s="2">
        <v>12700</v>
      </c>
      <c r="G7" s="2">
        <v>4234</v>
      </c>
      <c r="H7" s="2">
        <v>667</v>
      </c>
      <c r="I7" s="2">
        <v>961</v>
      </c>
      <c r="J7" s="2"/>
      <c r="K7" s="2">
        <v>1770</v>
      </c>
      <c r="L7" s="2">
        <v>2464</v>
      </c>
      <c r="M7" s="2">
        <v>10</v>
      </c>
      <c r="N7" s="2">
        <v>2474</v>
      </c>
      <c r="O7" s="2">
        <v>205</v>
      </c>
      <c r="P7" s="2">
        <v>2269</v>
      </c>
      <c r="Q7" s="2"/>
      <c r="R7" s="2">
        <v>2269</v>
      </c>
      <c r="S7" s="2"/>
      <c r="T7" s="2">
        <v>2259</v>
      </c>
      <c r="U7" s="2">
        <v>3386</v>
      </c>
      <c r="V7" s="2">
        <v>2464</v>
      </c>
      <c r="W7" s="2">
        <v>3111</v>
      </c>
      <c r="X7" s="2">
        <v>3464</v>
      </c>
      <c r="Y7" s="2">
        <v>0.73</v>
      </c>
      <c r="Z7" s="2">
        <v>0.65</v>
      </c>
      <c r="AA7" s="5"/>
      <c r="AB7" s="2">
        <v>18915</v>
      </c>
      <c r="AC7" s="2">
        <v>2081</v>
      </c>
      <c r="AD7" s="2">
        <v>8108</v>
      </c>
      <c r="AE7" s="2">
        <v>2118</v>
      </c>
      <c r="AF7" s="2"/>
      <c r="AG7" s="2">
        <v>31222</v>
      </c>
      <c r="AH7" s="2">
        <v>21093</v>
      </c>
      <c r="AI7" s="2"/>
      <c r="AJ7" s="2">
        <v>437</v>
      </c>
      <c r="AK7" s="2">
        <v>8794</v>
      </c>
      <c r="AL7" s="2">
        <v>37291</v>
      </c>
      <c r="AM7" s="2">
        <v>68513</v>
      </c>
      <c r="AN7" s="2">
        <v>21821</v>
      </c>
      <c r="AO7" s="2">
        <v>2898</v>
      </c>
      <c r="AP7" s="2">
        <v>3926</v>
      </c>
      <c r="AQ7" s="2">
        <v>9455</v>
      </c>
      <c r="AR7" s="2">
        <v>31276</v>
      </c>
      <c r="AS7" s="2">
        <v>1</v>
      </c>
      <c r="AT7" s="2">
        <v>5908</v>
      </c>
      <c r="AU7" s="2">
        <v>-477</v>
      </c>
      <c r="AV7" s="2"/>
      <c r="AW7" s="2">
        <v>37237</v>
      </c>
      <c r="AX7" s="2">
        <v>68513</v>
      </c>
      <c r="AY7" s="15"/>
      <c r="AZ7" s="2">
        <v>2269</v>
      </c>
      <c r="BA7" s="2">
        <v>922</v>
      </c>
      <c r="BB7" s="2">
        <v>506</v>
      </c>
      <c r="BC7" s="2">
        <v>1428</v>
      </c>
      <c r="BD7" s="2">
        <v>176</v>
      </c>
      <c r="BE7" s="2">
        <v>-1559</v>
      </c>
      <c r="BF7" s="2">
        <v>0</v>
      </c>
      <c r="BG7" s="2">
        <v>-372</v>
      </c>
      <c r="BH7" s="2">
        <v>-1346</v>
      </c>
      <c r="BI7" s="2">
        <v>2351</v>
      </c>
      <c r="BJ7" s="2">
        <v>-794</v>
      </c>
      <c r="BK7" s="2">
        <v>0</v>
      </c>
      <c r="BL7" s="2">
        <v>0</v>
      </c>
      <c r="BM7" s="2">
        <v>-90</v>
      </c>
      <c r="BN7" s="2">
        <v>0</v>
      </c>
      <c r="BO7" s="2">
        <v>-90</v>
      </c>
      <c r="BP7" s="2">
        <v>0</v>
      </c>
      <c r="BQ7" s="2">
        <v>-884</v>
      </c>
      <c r="BR7" s="2">
        <v>-402</v>
      </c>
      <c r="BS7" s="2">
        <v>0</v>
      </c>
      <c r="BT7" s="2">
        <v>-402</v>
      </c>
      <c r="BU7" s="2">
        <v>43</v>
      </c>
      <c r="BV7" s="2">
        <v>43</v>
      </c>
      <c r="BW7" s="2">
        <v>0</v>
      </c>
      <c r="BX7" s="2">
        <v>-47</v>
      </c>
      <c r="BY7" s="2">
        <v>-406</v>
      </c>
      <c r="BZ7" s="2">
        <v>847</v>
      </c>
      <c r="CA7" s="2">
        <v>361</v>
      </c>
      <c r="CB7" s="2">
        <v>0</v>
      </c>
      <c r="CC7" s="15"/>
      <c r="CD7" s="2">
        <v>1.4308000000000001</v>
      </c>
      <c r="CE7" s="2">
        <v>7.22E-2</v>
      </c>
      <c r="CF7" s="2">
        <v>0.11899999999999999</v>
      </c>
      <c r="CG7" s="2">
        <v>25.003</v>
      </c>
      <c r="CH7" s="2">
        <v>14.550599999999999</v>
      </c>
      <c r="CI7" s="2">
        <v>14.550599999999999</v>
      </c>
      <c r="CJ7" s="2"/>
      <c r="CK7" s="2">
        <v>14.6097</v>
      </c>
      <c r="CL7" s="2">
        <v>13.34</v>
      </c>
      <c r="CM7" s="2">
        <v>0.2472</v>
      </c>
      <c r="CN7" s="2">
        <v>1.5664</v>
      </c>
      <c r="CO7" s="2">
        <v>8.1373999999999995</v>
      </c>
      <c r="CP7" s="2">
        <v>11.06</v>
      </c>
      <c r="CQ7" s="2">
        <v>6.0933999999999999</v>
      </c>
      <c r="CR7" s="2">
        <v>6.1657999999999999</v>
      </c>
      <c r="CS7" s="2">
        <v>3.3117999999999999</v>
      </c>
      <c r="CT7" s="2">
        <v>5.6534000000000004</v>
      </c>
      <c r="CU7" s="2">
        <v>11.923500000000001</v>
      </c>
      <c r="CV7" s="2">
        <v>0.68140000000000001</v>
      </c>
      <c r="CW7" s="2">
        <v>0.45100000000000001</v>
      </c>
    </row>
    <row r="8" spans="1:101" x14ac:dyDescent="0.25">
      <c r="A8" s="9">
        <v>44651</v>
      </c>
      <c r="B8" s="26" t="str">
        <f t="shared" si="0"/>
        <v>Q1 2022</v>
      </c>
      <c r="C8" s="15"/>
      <c r="D8" s="2">
        <v>18756</v>
      </c>
      <c r="E8" s="23">
        <f t="shared" si="1"/>
        <v>5.8524747446244252E-2</v>
      </c>
      <c r="F8" s="2">
        <v>13296</v>
      </c>
      <c r="G8" s="2">
        <v>5460</v>
      </c>
      <c r="H8" s="2">
        <v>865</v>
      </c>
      <c r="I8" s="2">
        <v>992</v>
      </c>
      <c r="J8" s="2"/>
      <c r="K8" s="2">
        <v>1857</v>
      </c>
      <c r="L8" s="2">
        <v>3603</v>
      </c>
      <c r="M8" s="2">
        <v>23</v>
      </c>
      <c r="N8" s="2">
        <v>3626</v>
      </c>
      <c r="O8" s="2">
        <v>346</v>
      </c>
      <c r="P8" s="2">
        <v>3280</v>
      </c>
      <c r="Q8" s="2"/>
      <c r="R8" s="2">
        <v>3280</v>
      </c>
      <c r="S8" s="2"/>
      <c r="T8" s="2">
        <v>3313</v>
      </c>
      <c r="U8" s="2">
        <v>4483</v>
      </c>
      <c r="V8" s="2">
        <v>3603</v>
      </c>
      <c r="W8" s="2">
        <v>3103</v>
      </c>
      <c r="X8" s="2">
        <v>3472</v>
      </c>
      <c r="Y8" s="2">
        <v>1.07</v>
      </c>
      <c r="Z8" s="2">
        <v>0.95</v>
      </c>
      <c r="AA8" s="5"/>
      <c r="AB8" s="2">
        <v>18013</v>
      </c>
      <c r="AC8" s="2">
        <v>2311</v>
      </c>
      <c r="AD8" s="2">
        <v>6691</v>
      </c>
      <c r="AE8" s="2">
        <v>2035</v>
      </c>
      <c r="AF8" s="2"/>
      <c r="AG8" s="2">
        <v>29050</v>
      </c>
      <c r="AH8" s="2">
        <v>20027</v>
      </c>
      <c r="AI8" s="2"/>
      <c r="AJ8" s="2">
        <v>454</v>
      </c>
      <c r="AK8" s="2">
        <v>9581</v>
      </c>
      <c r="AL8" s="2">
        <v>36988</v>
      </c>
      <c r="AM8" s="2">
        <v>66038</v>
      </c>
      <c r="AN8" s="2">
        <v>21455</v>
      </c>
      <c r="AO8" s="2">
        <v>3153</v>
      </c>
      <c r="AP8" s="2">
        <v>3839</v>
      </c>
      <c r="AQ8" s="2">
        <v>9636</v>
      </c>
      <c r="AR8" s="2">
        <v>31091</v>
      </c>
      <c r="AS8" s="2">
        <v>1</v>
      </c>
      <c r="AT8" s="2">
        <v>3649</v>
      </c>
      <c r="AU8" s="2">
        <v>-50</v>
      </c>
      <c r="AV8" s="2"/>
      <c r="AW8" s="2">
        <v>34947</v>
      </c>
      <c r="AX8" s="2">
        <v>66038</v>
      </c>
      <c r="AY8" s="15"/>
      <c r="AZ8" s="2">
        <v>3280</v>
      </c>
      <c r="BA8" s="2">
        <v>880</v>
      </c>
      <c r="BB8" s="2">
        <v>437</v>
      </c>
      <c r="BC8" s="2">
        <v>1317</v>
      </c>
      <c r="BD8" s="2">
        <v>-409</v>
      </c>
      <c r="BE8" s="2">
        <v>-633</v>
      </c>
      <c r="BF8" s="2"/>
      <c r="BG8" s="2">
        <v>-557</v>
      </c>
      <c r="BH8" s="2">
        <v>-602</v>
      </c>
      <c r="BI8" s="2">
        <v>3995</v>
      </c>
      <c r="BJ8" s="2">
        <v>-1767</v>
      </c>
      <c r="BK8" s="2">
        <v>-9</v>
      </c>
      <c r="BL8" s="2"/>
      <c r="BM8" s="2">
        <v>-386</v>
      </c>
      <c r="BN8" s="2"/>
      <c r="BO8" s="2">
        <v>-386</v>
      </c>
      <c r="BP8" s="2">
        <v>-5</v>
      </c>
      <c r="BQ8" s="2">
        <v>-2167</v>
      </c>
      <c r="BR8" s="2">
        <v>-2068</v>
      </c>
      <c r="BS8" s="2"/>
      <c r="BT8" s="2">
        <v>-2068</v>
      </c>
      <c r="BU8" s="2">
        <v>202</v>
      </c>
      <c r="BV8" s="2">
        <v>202</v>
      </c>
      <c r="BW8" s="2"/>
      <c r="BX8" s="2">
        <v>-48</v>
      </c>
      <c r="BY8" s="2">
        <v>-1914</v>
      </c>
      <c r="BZ8" s="2">
        <v>-104</v>
      </c>
      <c r="CA8" s="2">
        <v>418</v>
      </c>
      <c r="CB8" s="2"/>
      <c r="CC8" s="15"/>
      <c r="CD8" s="2">
        <v>1.3540000000000001</v>
      </c>
      <c r="CE8" s="2">
        <v>8.2799999999999999E-2</v>
      </c>
      <c r="CF8" s="2">
        <v>0.13769999999999999</v>
      </c>
      <c r="CG8" s="2">
        <v>29.110700000000001</v>
      </c>
      <c r="CH8" s="2">
        <v>19.209900000000001</v>
      </c>
      <c r="CI8" s="2">
        <v>19.209900000000001</v>
      </c>
      <c r="CJ8" s="2"/>
      <c r="CK8" s="2">
        <v>19.3325</v>
      </c>
      <c r="CL8" s="2">
        <v>17.663699999999999</v>
      </c>
      <c r="CM8" s="2">
        <v>0.28399999999999997</v>
      </c>
      <c r="CN8" s="2">
        <v>1.9871000000000001</v>
      </c>
      <c r="CO8" s="2">
        <v>8.1159999999999997</v>
      </c>
      <c r="CP8" s="2">
        <v>11.0893</v>
      </c>
      <c r="CQ8" s="2">
        <v>9.3856000000000002</v>
      </c>
      <c r="CR8" s="2">
        <v>9.5091999999999999</v>
      </c>
      <c r="CS8" s="2">
        <v>4.9668000000000001</v>
      </c>
      <c r="CT8" s="2">
        <v>8.6089000000000002</v>
      </c>
      <c r="CU8" s="2">
        <v>11.244199999999999</v>
      </c>
      <c r="CV8" s="2">
        <v>1.1506000000000001</v>
      </c>
      <c r="CW8" s="2">
        <v>0.64170000000000005</v>
      </c>
    </row>
    <row r="9" spans="1:101" x14ac:dyDescent="0.25">
      <c r="A9" s="9">
        <v>44561</v>
      </c>
      <c r="B9" s="26" t="str">
        <f t="shared" si="0"/>
        <v>Q4 2021</v>
      </c>
      <c r="C9" s="15"/>
      <c r="D9" s="2">
        <v>17719</v>
      </c>
      <c r="E9" s="23">
        <f t="shared" si="1"/>
        <v>0.28799883695573159</v>
      </c>
      <c r="F9" s="2">
        <v>12872</v>
      </c>
      <c r="G9" s="2">
        <v>4847</v>
      </c>
      <c r="H9" s="2">
        <v>740</v>
      </c>
      <c r="I9" s="2">
        <v>1494</v>
      </c>
      <c r="J9" s="2"/>
      <c r="K9" s="2">
        <v>2234</v>
      </c>
      <c r="L9" s="2">
        <v>2613</v>
      </c>
      <c r="M9" s="2">
        <v>22</v>
      </c>
      <c r="N9" s="2">
        <v>2635</v>
      </c>
      <c r="O9" s="2">
        <v>292</v>
      </c>
      <c r="P9" s="2">
        <v>2343</v>
      </c>
      <c r="Q9" s="2"/>
      <c r="R9" s="2">
        <v>2343</v>
      </c>
      <c r="S9" s="2"/>
      <c r="T9" s="2">
        <v>2326</v>
      </c>
      <c r="U9" s="2">
        <v>3461</v>
      </c>
      <c r="V9" s="2">
        <v>2613</v>
      </c>
      <c r="W9" s="2">
        <v>2959</v>
      </c>
      <c r="X9" s="2">
        <v>3386</v>
      </c>
      <c r="Y9" s="2">
        <v>0.7833</v>
      </c>
      <c r="Z9" s="2">
        <v>0.68</v>
      </c>
      <c r="AA9" s="5"/>
      <c r="AB9" s="2">
        <v>17707</v>
      </c>
      <c r="AC9" s="2">
        <v>1913</v>
      </c>
      <c r="AD9" s="2">
        <v>5757</v>
      </c>
      <c r="AE9" s="2">
        <v>1723</v>
      </c>
      <c r="AF9" s="2"/>
      <c r="AG9" s="2">
        <v>27100</v>
      </c>
      <c r="AH9" s="2">
        <v>18884</v>
      </c>
      <c r="AI9" s="2"/>
      <c r="AJ9" s="2">
        <v>457</v>
      </c>
      <c r="AK9" s="2">
        <v>9163</v>
      </c>
      <c r="AL9" s="2">
        <v>35031</v>
      </c>
      <c r="AM9" s="2">
        <v>62131</v>
      </c>
      <c r="AN9" s="2">
        <v>19705</v>
      </c>
      <c r="AO9" s="2">
        <v>5245</v>
      </c>
      <c r="AP9" s="2">
        <v>3546</v>
      </c>
      <c r="AQ9" s="2">
        <v>11411</v>
      </c>
      <c r="AR9" s="2">
        <v>31116</v>
      </c>
      <c r="AS9" s="2">
        <v>3</v>
      </c>
      <c r="AT9" s="2">
        <v>329</v>
      </c>
      <c r="AU9" s="2">
        <v>54</v>
      </c>
      <c r="AV9" s="2"/>
      <c r="AW9" s="2">
        <v>31015</v>
      </c>
      <c r="AX9" s="2">
        <v>62131</v>
      </c>
      <c r="AY9" s="15"/>
      <c r="AZ9" s="2">
        <v>2343</v>
      </c>
      <c r="BA9" s="2">
        <v>848</v>
      </c>
      <c r="BB9" s="2">
        <v>539</v>
      </c>
      <c r="BC9" s="2">
        <v>1387</v>
      </c>
      <c r="BD9" s="2">
        <v>18</v>
      </c>
      <c r="BE9" s="2">
        <v>-534</v>
      </c>
      <c r="BF9" s="2">
        <v>0</v>
      </c>
      <c r="BG9" s="2">
        <v>-443</v>
      </c>
      <c r="BH9" s="2">
        <v>855</v>
      </c>
      <c r="BI9" s="2">
        <v>4585</v>
      </c>
      <c r="BJ9" s="2">
        <v>-1810</v>
      </c>
      <c r="BK9" s="2">
        <v>0</v>
      </c>
      <c r="BL9" s="2">
        <v>0</v>
      </c>
      <c r="BM9" s="2">
        <v>-102</v>
      </c>
      <c r="BN9" s="2">
        <v>0</v>
      </c>
      <c r="BO9" s="2">
        <v>-102</v>
      </c>
      <c r="BP9" s="2">
        <v>-4</v>
      </c>
      <c r="BQ9" s="2">
        <v>-1916</v>
      </c>
      <c r="BR9" s="2">
        <v>-1456</v>
      </c>
      <c r="BS9" s="2">
        <v>0</v>
      </c>
      <c r="BT9" s="2">
        <v>-1456</v>
      </c>
      <c r="BU9" s="2">
        <v>262</v>
      </c>
      <c r="BV9" s="2">
        <v>262</v>
      </c>
      <c r="BW9" s="2">
        <v>0</v>
      </c>
      <c r="BX9" s="2">
        <v>-63</v>
      </c>
      <c r="BY9" s="2">
        <v>-1257</v>
      </c>
      <c r="BZ9" s="2">
        <v>1450</v>
      </c>
      <c r="CA9" s="2">
        <v>558</v>
      </c>
      <c r="CB9" s="2">
        <v>0</v>
      </c>
      <c r="CC9" s="15"/>
      <c r="CD9" s="2">
        <v>1.3753</v>
      </c>
      <c r="CE9" s="2">
        <v>0.14460000000000001</v>
      </c>
      <c r="CF9" s="2">
        <v>0.2203</v>
      </c>
      <c r="CG9" s="2">
        <v>27.354800000000001</v>
      </c>
      <c r="CH9" s="2">
        <v>14.7469</v>
      </c>
      <c r="CI9" s="2">
        <v>14.7469</v>
      </c>
      <c r="CJ9" s="2"/>
      <c r="CK9" s="2">
        <v>14.871</v>
      </c>
      <c r="CL9" s="2">
        <v>13.1272</v>
      </c>
      <c r="CM9" s="2">
        <v>0.28520000000000001</v>
      </c>
      <c r="CN9" s="2">
        <v>2.2359</v>
      </c>
      <c r="CO9" s="2">
        <v>9.2623999999999995</v>
      </c>
      <c r="CP9" s="2">
        <v>9.7166999999999994</v>
      </c>
      <c r="CQ9" s="2">
        <v>7.5544000000000002</v>
      </c>
      <c r="CR9" s="2">
        <v>7.6673999999999998</v>
      </c>
      <c r="CS9" s="2">
        <v>3.7711000000000001</v>
      </c>
      <c r="CT9" s="2">
        <v>6.4617000000000004</v>
      </c>
      <c r="CU9" s="2">
        <v>10.004799999999999</v>
      </c>
      <c r="CV9" s="2">
        <v>1.3439000000000001</v>
      </c>
      <c r="CW9" s="2">
        <v>0.81799999999999995</v>
      </c>
    </row>
    <row r="10" spans="1:101" x14ac:dyDescent="0.25">
      <c r="A10" s="9">
        <v>44469</v>
      </c>
      <c r="B10" s="26" t="str">
        <f t="shared" si="0"/>
        <v>Q3 2021</v>
      </c>
      <c r="C10" s="15"/>
      <c r="D10" s="2">
        <v>13757</v>
      </c>
      <c r="E10" s="23">
        <f t="shared" si="1"/>
        <v>0.15044321792941973</v>
      </c>
      <c r="F10" s="2">
        <v>10097</v>
      </c>
      <c r="G10" s="2">
        <v>3660</v>
      </c>
      <c r="H10" s="2">
        <v>611</v>
      </c>
      <c r="I10" s="2">
        <v>994</v>
      </c>
      <c r="J10" s="2"/>
      <c r="K10" s="2">
        <v>1656</v>
      </c>
      <c r="L10" s="2">
        <v>2004</v>
      </c>
      <c r="M10" s="2">
        <v>-122</v>
      </c>
      <c r="N10" s="2">
        <v>1882</v>
      </c>
      <c r="O10" s="2">
        <v>223</v>
      </c>
      <c r="P10" s="2">
        <v>1659</v>
      </c>
      <c r="Q10" s="2"/>
      <c r="R10" s="2">
        <v>1659</v>
      </c>
      <c r="S10" s="2"/>
      <c r="T10" s="2">
        <v>1618</v>
      </c>
      <c r="U10" s="2">
        <v>2765</v>
      </c>
      <c r="V10" s="2">
        <v>2004</v>
      </c>
      <c r="W10" s="2">
        <v>2993</v>
      </c>
      <c r="X10" s="2">
        <v>3369</v>
      </c>
      <c r="Y10" s="2">
        <v>0.54</v>
      </c>
      <c r="Z10" s="2">
        <v>0.48</v>
      </c>
      <c r="AA10" s="5"/>
      <c r="AB10" s="2">
        <v>16095</v>
      </c>
      <c r="AC10" s="2">
        <v>1962</v>
      </c>
      <c r="AD10" s="2">
        <v>5199</v>
      </c>
      <c r="AE10" s="2">
        <v>1746</v>
      </c>
      <c r="AF10" s="2"/>
      <c r="AG10" s="2">
        <v>25002</v>
      </c>
      <c r="AH10" s="2">
        <v>17298</v>
      </c>
      <c r="AI10" s="2"/>
      <c r="AJ10" s="2">
        <v>470</v>
      </c>
      <c r="AK10" s="2">
        <v>8935</v>
      </c>
      <c r="AL10" s="2">
        <v>32832</v>
      </c>
      <c r="AM10" s="2">
        <v>57834</v>
      </c>
      <c r="AN10" s="2">
        <v>18051</v>
      </c>
      <c r="AO10" s="2">
        <v>6438</v>
      </c>
      <c r="AP10" s="2">
        <v>3486</v>
      </c>
      <c r="AQ10" s="2">
        <v>11894</v>
      </c>
      <c r="AR10" s="2">
        <v>29945</v>
      </c>
      <c r="AS10" s="2">
        <v>1</v>
      </c>
      <c r="AT10" s="2">
        <v>-1990</v>
      </c>
      <c r="AU10" s="2">
        <v>120</v>
      </c>
      <c r="AV10" s="2"/>
      <c r="AW10" s="2">
        <v>27889</v>
      </c>
      <c r="AX10" s="2">
        <v>57834</v>
      </c>
      <c r="AY10" s="15"/>
      <c r="AZ10" s="2">
        <v>1659</v>
      </c>
      <c r="BA10" s="2">
        <v>761</v>
      </c>
      <c r="BB10" s="2">
        <v>728</v>
      </c>
      <c r="BC10" s="2">
        <v>1489</v>
      </c>
      <c r="BD10" s="2">
        <v>135</v>
      </c>
      <c r="BE10" s="2">
        <v>-488</v>
      </c>
      <c r="BF10" s="2">
        <v>0</v>
      </c>
      <c r="BG10" s="2">
        <v>-820</v>
      </c>
      <c r="BH10" s="2">
        <v>-1</v>
      </c>
      <c r="BI10" s="2">
        <v>3147</v>
      </c>
      <c r="BJ10" s="2">
        <v>-1819</v>
      </c>
      <c r="BK10" s="2">
        <v>0</v>
      </c>
      <c r="BL10" s="2">
        <v>0</v>
      </c>
      <c r="BM10" s="2">
        <v>-30</v>
      </c>
      <c r="BN10" s="2">
        <v>0</v>
      </c>
      <c r="BO10" s="2">
        <v>-30</v>
      </c>
      <c r="BP10" s="2">
        <v>-6</v>
      </c>
      <c r="BQ10" s="2">
        <v>-1855</v>
      </c>
      <c r="BR10" s="2">
        <v>-1526</v>
      </c>
      <c r="BS10" s="2">
        <v>0</v>
      </c>
      <c r="BT10" s="2">
        <v>-1526</v>
      </c>
      <c r="BU10" s="2">
        <v>192</v>
      </c>
      <c r="BV10" s="2">
        <v>192</v>
      </c>
      <c r="BW10" s="2">
        <v>0</v>
      </c>
      <c r="BX10" s="2">
        <v>-47</v>
      </c>
      <c r="BY10" s="2">
        <v>-1381</v>
      </c>
      <c r="BZ10" s="2">
        <v>-131</v>
      </c>
      <c r="CA10" s="2">
        <v>475</v>
      </c>
      <c r="CB10" s="2">
        <v>0</v>
      </c>
      <c r="CC10" s="15"/>
      <c r="CD10" s="2">
        <v>1.3851</v>
      </c>
      <c r="CE10" s="2">
        <v>0.1875</v>
      </c>
      <c r="CF10" s="2">
        <v>0.29239999999999999</v>
      </c>
      <c r="CG10" s="2">
        <v>26.604600000000001</v>
      </c>
      <c r="CH10" s="2">
        <v>14.5671</v>
      </c>
      <c r="CI10" s="2">
        <v>14.5671</v>
      </c>
      <c r="CJ10" s="2"/>
      <c r="CK10" s="2">
        <v>13.680300000000001</v>
      </c>
      <c r="CL10" s="2">
        <v>11.7613</v>
      </c>
      <c r="CM10" s="2">
        <v>0.2379</v>
      </c>
      <c r="CN10" s="2">
        <v>1.9420999999999999</v>
      </c>
      <c r="CO10" s="2">
        <v>7.0117000000000003</v>
      </c>
      <c r="CP10" s="2">
        <v>12.835699999999999</v>
      </c>
      <c r="CQ10" s="2">
        <v>5.9485999999999999</v>
      </c>
      <c r="CR10" s="2">
        <v>6.0505000000000004</v>
      </c>
      <c r="CS10" s="2">
        <v>2.8685999999999998</v>
      </c>
      <c r="CT10" s="2">
        <v>4.8329000000000004</v>
      </c>
      <c r="CU10" s="2">
        <v>9.2592999999999996</v>
      </c>
      <c r="CV10" s="2">
        <v>0.93010000000000004</v>
      </c>
      <c r="CW10" s="2">
        <v>0.39450000000000002</v>
      </c>
    </row>
    <row r="11" spans="1:101" x14ac:dyDescent="0.25">
      <c r="A11" s="9">
        <v>44377</v>
      </c>
      <c r="B11" s="26" t="str">
        <f t="shared" si="0"/>
        <v>Q2 2021</v>
      </c>
      <c r="C11" s="15"/>
      <c r="D11" s="2">
        <v>11958</v>
      </c>
      <c r="E11" s="23">
        <f t="shared" si="1"/>
        <v>0.15102512272596025</v>
      </c>
      <c r="F11" s="2">
        <v>9074</v>
      </c>
      <c r="G11" s="2">
        <v>2884</v>
      </c>
      <c r="H11" s="2">
        <v>576</v>
      </c>
      <c r="I11" s="2">
        <v>973</v>
      </c>
      <c r="J11" s="2"/>
      <c r="K11" s="2">
        <v>1572</v>
      </c>
      <c r="L11" s="2">
        <v>1312</v>
      </c>
      <c r="M11" s="2">
        <v>-19</v>
      </c>
      <c r="N11" s="2">
        <v>1293</v>
      </c>
      <c r="O11" s="2">
        <v>115</v>
      </c>
      <c r="P11" s="2">
        <v>1178</v>
      </c>
      <c r="Q11" s="2"/>
      <c r="R11" s="2">
        <v>1178</v>
      </c>
      <c r="S11" s="2"/>
      <c r="T11" s="2">
        <v>1142</v>
      </c>
      <c r="U11" s="2">
        <v>1993</v>
      </c>
      <c r="V11" s="2">
        <v>1312</v>
      </c>
      <c r="W11" s="2">
        <v>2913</v>
      </c>
      <c r="X11" s="2">
        <v>3357</v>
      </c>
      <c r="Y11" s="2">
        <v>0.39329999999999998</v>
      </c>
      <c r="Z11" s="2">
        <v>0.34</v>
      </c>
      <c r="AA11" s="5"/>
      <c r="AB11" s="2">
        <v>16229</v>
      </c>
      <c r="AC11" s="2">
        <v>2129</v>
      </c>
      <c r="AD11" s="2">
        <v>4733</v>
      </c>
      <c r="AE11" s="2">
        <v>1602</v>
      </c>
      <c r="AF11" s="2"/>
      <c r="AG11" s="2">
        <v>24693</v>
      </c>
      <c r="AH11" s="2">
        <v>15665</v>
      </c>
      <c r="AI11" s="2"/>
      <c r="AJ11" s="2">
        <v>486</v>
      </c>
      <c r="AK11" s="2">
        <v>8820</v>
      </c>
      <c r="AL11" s="2">
        <v>30453</v>
      </c>
      <c r="AM11" s="2">
        <v>55146</v>
      </c>
      <c r="AN11" s="2">
        <v>16371</v>
      </c>
      <c r="AO11" s="2">
        <v>7871</v>
      </c>
      <c r="AP11" s="2">
        <v>3336</v>
      </c>
      <c r="AQ11" s="2">
        <v>13130</v>
      </c>
      <c r="AR11" s="2">
        <v>29501</v>
      </c>
      <c r="AS11" s="2">
        <v>1</v>
      </c>
      <c r="AT11" s="2">
        <v>-3608</v>
      </c>
      <c r="AU11" s="2">
        <v>206</v>
      </c>
      <c r="AV11" s="2"/>
      <c r="AW11" s="2">
        <v>25645</v>
      </c>
      <c r="AX11" s="2">
        <v>55146</v>
      </c>
      <c r="AY11" s="15"/>
      <c r="AZ11" s="2">
        <v>1178</v>
      </c>
      <c r="BA11" s="2">
        <v>681</v>
      </c>
      <c r="BB11" s="2">
        <v>589</v>
      </c>
      <c r="BC11" s="2">
        <v>1270</v>
      </c>
      <c r="BD11" s="2">
        <v>-259</v>
      </c>
      <c r="BE11" s="2">
        <v>-581</v>
      </c>
      <c r="BF11" s="2">
        <v>0</v>
      </c>
      <c r="BG11" s="2">
        <v>-404</v>
      </c>
      <c r="BH11" s="2">
        <v>-324</v>
      </c>
      <c r="BI11" s="2">
        <v>2124</v>
      </c>
      <c r="BJ11" s="2">
        <v>-1505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-10</v>
      </c>
      <c r="BQ11" s="2">
        <v>-1515</v>
      </c>
      <c r="BR11" s="2">
        <v>-1588</v>
      </c>
      <c r="BS11" s="2">
        <v>0</v>
      </c>
      <c r="BT11" s="2">
        <v>-1588</v>
      </c>
      <c r="BU11" s="2">
        <v>70</v>
      </c>
      <c r="BV11" s="2">
        <v>70</v>
      </c>
      <c r="BW11" s="2">
        <v>0</v>
      </c>
      <c r="BX11" s="2">
        <v>-31</v>
      </c>
      <c r="BY11" s="2">
        <v>-1549</v>
      </c>
      <c r="BZ11" s="2">
        <v>-898</v>
      </c>
      <c r="CA11" s="2">
        <v>474</v>
      </c>
      <c r="CB11" s="2">
        <v>0</v>
      </c>
      <c r="CC11" s="15"/>
      <c r="CD11" s="2">
        <v>1.5083</v>
      </c>
      <c r="CE11" s="2">
        <v>0.23480000000000001</v>
      </c>
      <c r="CF11" s="2">
        <v>0.36659999999999998</v>
      </c>
      <c r="CG11" s="2">
        <v>24.117799999999999</v>
      </c>
      <c r="CH11" s="2">
        <v>10.9717</v>
      </c>
      <c r="CI11" s="2">
        <v>10.9717</v>
      </c>
      <c r="CJ11" s="2"/>
      <c r="CK11" s="2">
        <v>10.812900000000001</v>
      </c>
      <c r="CL11" s="2">
        <v>9.5501000000000005</v>
      </c>
      <c r="CM11" s="2">
        <v>0.21679999999999999</v>
      </c>
      <c r="CN11" s="2">
        <v>1.9172</v>
      </c>
      <c r="CO11" s="2">
        <v>5.6166999999999998</v>
      </c>
      <c r="CP11" s="2">
        <v>16.023599999999998</v>
      </c>
      <c r="CQ11" s="2">
        <v>4.5934999999999997</v>
      </c>
      <c r="CR11" s="2">
        <v>4.6821999999999999</v>
      </c>
      <c r="CS11" s="2">
        <v>2.1360999999999999</v>
      </c>
      <c r="CT11" s="2">
        <v>3.5146999999999999</v>
      </c>
      <c r="CU11" s="2">
        <v>8.6873000000000005</v>
      </c>
      <c r="CV11" s="2">
        <v>0.63870000000000005</v>
      </c>
      <c r="CW11" s="2">
        <v>0.18099999999999999</v>
      </c>
    </row>
    <row r="12" spans="1:101" x14ac:dyDescent="0.25">
      <c r="A12" s="9">
        <v>44286</v>
      </c>
      <c r="B12" s="26" t="str">
        <f t="shared" si="0"/>
        <v>Q1 2021</v>
      </c>
      <c r="C12" s="15"/>
      <c r="D12" s="2">
        <v>10389</v>
      </c>
      <c r="E12" s="23">
        <f t="shared" si="1"/>
        <v>-3.3041697691734928E-2</v>
      </c>
      <c r="F12" s="2">
        <v>8174</v>
      </c>
      <c r="G12" s="2">
        <v>2215</v>
      </c>
      <c r="H12" s="2">
        <v>666</v>
      </c>
      <c r="I12" s="2">
        <v>1056</v>
      </c>
      <c r="J12" s="2"/>
      <c r="K12" s="2">
        <v>1621</v>
      </c>
      <c r="L12" s="2">
        <v>594</v>
      </c>
      <c r="M12" s="2">
        <v>-61</v>
      </c>
      <c r="N12" s="2">
        <v>533</v>
      </c>
      <c r="O12" s="2">
        <v>69</v>
      </c>
      <c r="P12" s="2">
        <v>464</v>
      </c>
      <c r="Q12" s="2"/>
      <c r="R12" s="2">
        <v>464</v>
      </c>
      <c r="S12" s="2"/>
      <c r="T12" s="2">
        <v>438</v>
      </c>
      <c r="U12" s="2">
        <v>1215</v>
      </c>
      <c r="V12" s="2">
        <v>594</v>
      </c>
      <c r="W12" s="2">
        <v>2883</v>
      </c>
      <c r="X12" s="2">
        <v>3399</v>
      </c>
      <c r="Y12" s="2">
        <v>0.15329999999999999</v>
      </c>
      <c r="Z12" s="2">
        <v>0.13</v>
      </c>
      <c r="AA12" s="5"/>
      <c r="AB12" s="2">
        <v>17141</v>
      </c>
      <c r="AC12" s="2">
        <v>1890</v>
      </c>
      <c r="AD12" s="2">
        <v>4132</v>
      </c>
      <c r="AE12" s="2">
        <v>1542</v>
      </c>
      <c r="AF12" s="2"/>
      <c r="AG12" s="2">
        <v>24705</v>
      </c>
      <c r="AH12" s="2">
        <v>13868</v>
      </c>
      <c r="AI12" s="2"/>
      <c r="AJ12" s="2">
        <v>505</v>
      </c>
      <c r="AK12" s="2">
        <v>8851</v>
      </c>
      <c r="AL12" s="2">
        <v>28267</v>
      </c>
      <c r="AM12" s="2">
        <v>52972</v>
      </c>
      <c r="AN12" s="2">
        <v>14877</v>
      </c>
      <c r="AO12" s="2">
        <v>9053</v>
      </c>
      <c r="AP12" s="2">
        <v>3283</v>
      </c>
      <c r="AQ12" s="2">
        <v>14231</v>
      </c>
      <c r="AR12" s="2">
        <v>29108</v>
      </c>
      <c r="AS12" s="2">
        <v>1</v>
      </c>
      <c r="AT12" s="2">
        <v>-4750</v>
      </c>
      <c r="AU12" s="2">
        <v>143</v>
      </c>
      <c r="AV12" s="2"/>
      <c r="AW12" s="2">
        <v>23864</v>
      </c>
      <c r="AX12" s="2">
        <v>52972</v>
      </c>
      <c r="AY12" s="15"/>
      <c r="AZ12" s="2">
        <v>464</v>
      </c>
      <c r="BA12" s="2">
        <v>621</v>
      </c>
      <c r="BB12" s="2">
        <v>568</v>
      </c>
      <c r="BC12" s="2">
        <v>1189</v>
      </c>
      <c r="BD12" s="2">
        <v>-24</v>
      </c>
      <c r="BE12" s="2">
        <v>-106</v>
      </c>
      <c r="BF12" s="2"/>
      <c r="BG12" s="2">
        <v>-554</v>
      </c>
      <c r="BH12" s="2">
        <v>-12</v>
      </c>
      <c r="BI12" s="2">
        <v>1641</v>
      </c>
      <c r="BJ12" s="2">
        <v>-2576</v>
      </c>
      <c r="BK12" s="2"/>
      <c r="BL12" s="2"/>
      <c r="BM12" s="2"/>
      <c r="BN12" s="2"/>
      <c r="BO12" s="2"/>
      <c r="BP12" s="2">
        <v>-6</v>
      </c>
      <c r="BQ12" s="2">
        <v>-2582</v>
      </c>
      <c r="BR12" s="2">
        <v>-1162</v>
      </c>
      <c r="BS12" s="2"/>
      <c r="BT12" s="2">
        <v>-1162</v>
      </c>
      <c r="BU12" s="2">
        <v>183</v>
      </c>
      <c r="BV12" s="2">
        <v>183</v>
      </c>
      <c r="BW12" s="2"/>
      <c r="BX12" s="2">
        <v>-37</v>
      </c>
      <c r="BY12" s="2">
        <v>-1016</v>
      </c>
      <c r="BZ12" s="2">
        <v>-2178</v>
      </c>
      <c r="CA12" s="2">
        <v>614</v>
      </c>
      <c r="CB12" s="2"/>
      <c r="CC12" s="15"/>
      <c r="CD12" s="2">
        <v>1.6606000000000001</v>
      </c>
      <c r="CE12" s="2">
        <v>0.27500000000000002</v>
      </c>
      <c r="CF12" s="2">
        <v>0.4556</v>
      </c>
      <c r="CG12" s="2">
        <v>21.320599999999999</v>
      </c>
      <c r="CH12" s="2">
        <v>5.7176</v>
      </c>
      <c r="CI12" s="2">
        <v>5.7176</v>
      </c>
      <c r="CJ12" s="2"/>
      <c r="CK12" s="2">
        <v>5.1303999999999998</v>
      </c>
      <c r="CL12" s="2">
        <v>4.2160000000000002</v>
      </c>
      <c r="CM12" s="2">
        <v>0.1961</v>
      </c>
      <c r="CN12" s="2">
        <v>1.9782</v>
      </c>
      <c r="CO12" s="2">
        <v>5.4968000000000004</v>
      </c>
      <c r="CP12" s="2">
        <v>16.373100000000001</v>
      </c>
      <c r="CQ12" s="2">
        <v>1.9443999999999999</v>
      </c>
      <c r="CR12" s="2">
        <v>1.9863999999999999</v>
      </c>
      <c r="CS12" s="2">
        <v>0.87590000000000001</v>
      </c>
      <c r="CT12" s="2">
        <v>1.4096</v>
      </c>
      <c r="CU12" s="2">
        <v>8.2603000000000009</v>
      </c>
      <c r="CV12" s="2">
        <v>0.48280000000000001</v>
      </c>
      <c r="CW12" s="2">
        <v>-0.27510000000000001</v>
      </c>
    </row>
    <row r="13" spans="1:101" x14ac:dyDescent="0.25">
      <c r="A13" s="9">
        <v>44196</v>
      </c>
      <c r="B13" s="26" t="str">
        <f t="shared" si="0"/>
        <v>Q4 2020</v>
      </c>
      <c r="C13" s="15"/>
      <c r="D13" s="2">
        <v>10744</v>
      </c>
      <c r="E13" s="23">
        <f t="shared" si="1"/>
        <v>0.2249458442594916</v>
      </c>
      <c r="F13" s="2">
        <v>8678</v>
      </c>
      <c r="G13" s="2">
        <v>2066</v>
      </c>
      <c r="H13" s="2">
        <v>522</v>
      </c>
      <c r="I13" s="2">
        <v>969</v>
      </c>
      <c r="J13" s="2"/>
      <c r="K13" s="2">
        <v>1491</v>
      </c>
      <c r="L13" s="2">
        <v>575</v>
      </c>
      <c r="M13" s="2">
        <v>-196</v>
      </c>
      <c r="N13" s="2">
        <v>379</v>
      </c>
      <c r="O13" s="2">
        <v>83</v>
      </c>
      <c r="P13" s="2">
        <v>296</v>
      </c>
      <c r="Q13" s="2"/>
      <c r="R13" s="2">
        <v>296</v>
      </c>
      <c r="S13" s="2"/>
      <c r="T13" s="2">
        <v>270</v>
      </c>
      <c r="U13" s="2">
        <v>1193</v>
      </c>
      <c r="V13" s="2">
        <v>575</v>
      </c>
      <c r="W13" s="2">
        <v>2798</v>
      </c>
      <c r="X13" s="2">
        <v>3249</v>
      </c>
      <c r="Y13" s="2">
        <v>0.1</v>
      </c>
      <c r="Z13" s="2">
        <v>0.08</v>
      </c>
      <c r="AA13" s="5"/>
      <c r="AB13" s="2">
        <v>19384</v>
      </c>
      <c r="AC13" s="2">
        <v>1886</v>
      </c>
      <c r="AD13" s="2">
        <v>4101</v>
      </c>
      <c r="AE13" s="2">
        <v>1346</v>
      </c>
      <c r="AF13" s="2"/>
      <c r="AG13" s="2">
        <v>26717</v>
      </c>
      <c r="AH13" s="2">
        <v>12747</v>
      </c>
      <c r="AI13" s="2"/>
      <c r="AJ13" s="2">
        <v>520</v>
      </c>
      <c r="AK13" s="2">
        <v>7515</v>
      </c>
      <c r="AL13" s="2">
        <v>25431</v>
      </c>
      <c r="AM13" s="2">
        <v>52148</v>
      </c>
      <c r="AN13" s="2">
        <v>14248</v>
      </c>
      <c r="AO13" s="2">
        <v>9607</v>
      </c>
      <c r="AP13" s="2">
        <v>3330</v>
      </c>
      <c r="AQ13" s="2">
        <v>14825</v>
      </c>
      <c r="AR13" s="2">
        <v>29073</v>
      </c>
      <c r="AS13" s="2">
        <v>1</v>
      </c>
      <c r="AT13" s="2">
        <v>-5399</v>
      </c>
      <c r="AU13" s="2">
        <v>363</v>
      </c>
      <c r="AV13" s="2"/>
      <c r="AW13" s="2">
        <v>23075</v>
      </c>
      <c r="AX13" s="2">
        <v>52148</v>
      </c>
      <c r="AY13" s="15"/>
      <c r="AZ13" s="2">
        <v>296</v>
      </c>
      <c r="BA13" s="2">
        <v>618</v>
      </c>
      <c r="BB13" s="2">
        <v>863</v>
      </c>
      <c r="BC13" s="2">
        <v>1481</v>
      </c>
      <c r="BD13" s="2">
        <v>-102</v>
      </c>
      <c r="BE13" s="2">
        <v>180</v>
      </c>
      <c r="BF13" s="2">
        <v>0</v>
      </c>
      <c r="BG13" s="2">
        <v>-173</v>
      </c>
      <c r="BH13" s="2">
        <v>1242</v>
      </c>
      <c r="BI13" s="2">
        <v>3019</v>
      </c>
      <c r="BJ13" s="2">
        <v>-1151</v>
      </c>
      <c r="BK13" s="2">
        <v>-5</v>
      </c>
      <c r="BL13" s="2">
        <v>0</v>
      </c>
      <c r="BM13" s="2">
        <v>0</v>
      </c>
      <c r="BN13" s="2">
        <v>0</v>
      </c>
      <c r="BO13" s="2">
        <v>0</v>
      </c>
      <c r="BP13" s="2">
        <v>109</v>
      </c>
      <c r="BQ13" s="2">
        <v>-1047</v>
      </c>
      <c r="BR13" s="2">
        <v>-2305</v>
      </c>
      <c r="BS13" s="2">
        <v>0</v>
      </c>
      <c r="BT13" s="2">
        <v>-2305</v>
      </c>
      <c r="BU13" s="2">
        <v>5043</v>
      </c>
      <c r="BV13" s="2">
        <v>5043</v>
      </c>
      <c r="BW13" s="2">
        <v>0</v>
      </c>
      <c r="BX13" s="2">
        <v>-46</v>
      </c>
      <c r="BY13" s="2">
        <v>2692</v>
      </c>
      <c r="BZ13" s="2">
        <v>4898</v>
      </c>
      <c r="CA13" s="2">
        <v>633</v>
      </c>
      <c r="CB13" s="2">
        <v>0</v>
      </c>
      <c r="CC13" s="15"/>
      <c r="CD13" s="2">
        <v>1.8751</v>
      </c>
      <c r="CE13" s="2">
        <v>0.29399999999999998</v>
      </c>
      <c r="CF13" s="2">
        <v>0.50870000000000004</v>
      </c>
      <c r="CG13" s="2">
        <v>19.229299999999999</v>
      </c>
      <c r="CH13" s="2">
        <v>5.3517999999999999</v>
      </c>
      <c r="CI13" s="2">
        <v>5.3517999999999999</v>
      </c>
      <c r="CJ13" s="2"/>
      <c r="CK13" s="2">
        <v>3.5276000000000001</v>
      </c>
      <c r="CL13" s="2">
        <v>2.5129999999999999</v>
      </c>
      <c r="CM13" s="2">
        <v>0.20599999999999999</v>
      </c>
      <c r="CN13" s="2">
        <v>2.1160999999999999</v>
      </c>
      <c r="CO13" s="2">
        <v>5.6966999999999999</v>
      </c>
      <c r="CP13" s="2">
        <v>15.7986</v>
      </c>
      <c r="CQ13" s="2">
        <v>1.2827999999999999</v>
      </c>
      <c r="CR13" s="2">
        <v>1.3123</v>
      </c>
      <c r="CS13" s="2">
        <v>0.56759999999999999</v>
      </c>
      <c r="CT13" s="2">
        <v>0.90569999999999995</v>
      </c>
      <c r="CU13" s="2">
        <v>8.0122</v>
      </c>
      <c r="CV13" s="2">
        <v>0.94710000000000005</v>
      </c>
      <c r="CW13" s="2">
        <v>0.5806</v>
      </c>
    </row>
    <row r="14" spans="1:101" x14ac:dyDescent="0.25">
      <c r="A14" s="9">
        <v>44104</v>
      </c>
      <c r="B14" s="26" t="str">
        <f t="shared" si="0"/>
        <v>Q3 2020</v>
      </c>
      <c r="C14" s="15"/>
      <c r="D14" s="2">
        <v>8771</v>
      </c>
      <c r="E14" s="23">
        <f t="shared" si="1"/>
        <v>0.4531146454605699</v>
      </c>
      <c r="F14" s="2">
        <v>6708</v>
      </c>
      <c r="G14" s="2">
        <v>2063</v>
      </c>
      <c r="H14" s="2">
        <v>366</v>
      </c>
      <c r="I14" s="2">
        <v>888</v>
      </c>
      <c r="J14" s="2"/>
      <c r="K14" s="2">
        <v>1254</v>
      </c>
      <c r="L14" s="2">
        <v>809</v>
      </c>
      <c r="M14" s="2">
        <v>-254</v>
      </c>
      <c r="N14" s="2">
        <v>555</v>
      </c>
      <c r="O14" s="2">
        <v>186</v>
      </c>
      <c r="P14" s="2">
        <v>369</v>
      </c>
      <c r="Q14" s="2"/>
      <c r="R14" s="2">
        <v>369</v>
      </c>
      <c r="S14" s="2"/>
      <c r="T14" s="2">
        <v>300</v>
      </c>
      <c r="U14" s="2">
        <v>1393</v>
      </c>
      <c r="V14" s="2">
        <v>809</v>
      </c>
      <c r="W14" s="2">
        <v>2811</v>
      </c>
      <c r="X14" s="2">
        <v>3315</v>
      </c>
      <c r="Y14" s="2">
        <v>0.1067</v>
      </c>
      <c r="Z14" s="2">
        <v>0.09</v>
      </c>
      <c r="AA14" s="5"/>
      <c r="AB14" s="2">
        <v>14531</v>
      </c>
      <c r="AC14" s="2">
        <v>1757</v>
      </c>
      <c r="AD14" s="2">
        <v>4218</v>
      </c>
      <c r="AE14" s="2">
        <v>1238</v>
      </c>
      <c r="AF14" s="2"/>
      <c r="AG14" s="2">
        <v>21744</v>
      </c>
      <c r="AH14" s="2">
        <v>11848</v>
      </c>
      <c r="AI14" s="2"/>
      <c r="AJ14" s="2">
        <v>521</v>
      </c>
      <c r="AK14" s="2">
        <v>7461</v>
      </c>
      <c r="AL14" s="2">
        <v>23947</v>
      </c>
      <c r="AM14" s="2">
        <v>45691</v>
      </c>
      <c r="AN14" s="2">
        <v>13302</v>
      </c>
      <c r="AO14" s="2">
        <v>10607</v>
      </c>
      <c r="AP14" s="2">
        <v>3049</v>
      </c>
      <c r="AQ14" s="2">
        <v>15497</v>
      </c>
      <c r="AR14" s="2">
        <v>28799</v>
      </c>
      <c r="AS14" s="2">
        <v>1</v>
      </c>
      <c r="AT14" s="2">
        <v>-5669</v>
      </c>
      <c r="AU14" s="2">
        <v>125</v>
      </c>
      <c r="AV14" s="2"/>
      <c r="AW14" s="2">
        <v>16892</v>
      </c>
      <c r="AX14" s="2">
        <v>45691</v>
      </c>
      <c r="AY14" s="15"/>
      <c r="AZ14" s="2">
        <v>369</v>
      </c>
      <c r="BA14" s="2">
        <v>584</v>
      </c>
      <c r="BB14" s="2">
        <v>812</v>
      </c>
      <c r="BC14" s="2">
        <v>1396</v>
      </c>
      <c r="BD14" s="2">
        <v>-314</v>
      </c>
      <c r="BE14" s="2">
        <v>-67</v>
      </c>
      <c r="BF14" s="2">
        <v>0</v>
      </c>
      <c r="BG14" s="2">
        <v>-121</v>
      </c>
      <c r="BH14" s="2">
        <v>635</v>
      </c>
      <c r="BI14" s="2">
        <v>2400</v>
      </c>
      <c r="BJ14" s="2">
        <v>-1005</v>
      </c>
      <c r="BK14" s="2">
        <v>-5</v>
      </c>
      <c r="BL14" s="2">
        <v>-13</v>
      </c>
      <c r="BM14" s="2">
        <v>0</v>
      </c>
      <c r="BN14" s="2">
        <v>0</v>
      </c>
      <c r="BO14" s="2">
        <v>0</v>
      </c>
      <c r="BP14" s="2">
        <v>-16</v>
      </c>
      <c r="BQ14" s="2">
        <v>-1039</v>
      </c>
      <c r="BR14" s="2">
        <v>-581</v>
      </c>
      <c r="BS14" s="2">
        <v>0</v>
      </c>
      <c r="BT14" s="2">
        <v>-581</v>
      </c>
      <c r="BU14" s="2">
        <v>5117</v>
      </c>
      <c r="BV14" s="2">
        <v>5117</v>
      </c>
      <c r="BW14" s="2">
        <v>0</v>
      </c>
      <c r="BX14" s="2">
        <v>-86</v>
      </c>
      <c r="BY14" s="2">
        <v>4450</v>
      </c>
      <c r="BZ14" s="2">
        <v>5897</v>
      </c>
      <c r="CA14" s="2">
        <v>543</v>
      </c>
      <c r="CB14" s="2">
        <v>0</v>
      </c>
      <c r="CC14" s="15"/>
      <c r="CD14" s="2">
        <v>1.6346000000000001</v>
      </c>
      <c r="CE14" s="2">
        <v>0.38569999999999999</v>
      </c>
      <c r="CF14" s="2">
        <v>0.81299999999999994</v>
      </c>
      <c r="CG14" s="2">
        <v>23.520700000000001</v>
      </c>
      <c r="CH14" s="2">
        <v>9.2235999999999994</v>
      </c>
      <c r="CI14" s="2">
        <v>9.2235999999999994</v>
      </c>
      <c r="CJ14" s="2"/>
      <c r="CK14" s="2">
        <v>6.3277000000000001</v>
      </c>
      <c r="CL14" s="2">
        <v>3.4203999999999999</v>
      </c>
      <c r="CM14" s="2">
        <v>0.192</v>
      </c>
      <c r="CN14" s="2">
        <v>1.5903</v>
      </c>
      <c r="CO14" s="2">
        <v>4.992</v>
      </c>
      <c r="CP14" s="2">
        <v>18.028700000000001</v>
      </c>
      <c r="CQ14" s="2">
        <v>2.1844999999999999</v>
      </c>
      <c r="CR14" s="2">
        <v>2.254</v>
      </c>
      <c r="CS14" s="2">
        <v>0.80759999999999998</v>
      </c>
      <c r="CT14" s="2">
        <v>1.3419000000000001</v>
      </c>
      <c r="CU14" s="2">
        <v>5.9394999999999998</v>
      </c>
      <c r="CV14" s="2">
        <v>0.71350000000000002</v>
      </c>
      <c r="CW14" s="2">
        <v>0.4304</v>
      </c>
    </row>
    <row r="15" spans="1:101" x14ac:dyDescent="0.25">
      <c r="A15" s="9">
        <v>44012</v>
      </c>
      <c r="B15" s="26" t="str">
        <f t="shared" si="0"/>
        <v>Q2 2020</v>
      </c>
      <c r="C15" s="15"/>
      <c r="D15" s="2">
        <v>6036</v>
      </c>
      <c r="E15" s="23">
        <f t="shared" si="1"/>
        <v>8.521303258145263E-3</v>
      </c>
      <c r="F15" s="2">
        <v>4769</v>
      </c>
      <c r="G15" s="2">
        <v>1267</v>
      </c>
      <c r="H15" s="2">
        <v>279</v>
      </c>
      <c r="I15" s="2">
        <v>661</v>
      </c>
      <c r="J15" s="2"/>
      <c r="K15" s="2">
        <v>940</v>
      </c>
      <c r="L15" s="2">
        <v>327</v>
      </c>
      <c r="M15" s="2">
        <v>-177</v>
      </c>
      <c r="N15" s="2">
        <v>150</v>
      </c>
      <c r="O15" s="2">
        <v>21</v>
      </c>
      <c r="P15" s="2">
        <v>129</v>
      </c>
      <c r="Q15" s="2"/>
      <c r="R15" s="2">
        <v>129</v>
      </c>
      <c r="S15" s="2"/>
      <c r="T15" s="2">
        <v>104</v>
      </c>
      <c r="U15" s="2">
        <v>894</v>
      </c>
      <c r="V15" s="2">
        <v>327</v>
      </c>
      <c r="W15" s="2">
        <v>2784</v>
      </c>
      <c r="X15" s="2">
        <v>3108</v>
      </c>
      <c r="Y15" s="2">
        <v>3.6700000000000003E-2</v>
      </c>
      <c r="Z15" s="2">
        <v>3.3300000000000003E-2</v>
      </c>
      <c r="AA15" s="5"/>
      <c r="AB15" s="2">
        <v>8615</v>
      </c>
      <c r="AC15" s="2">
        <v>1485</v>
      </c>
      <c r="AD15" s="2">
        <v>4018</v>
      </c>
      <c r="AE15" s="2">
        <v>1218</v>
      </c>
      <c r="AF15" s="2"/>
      <c r="AG15" s="2">
        <v>15336</v>
      </c>
      <c r="AH15" s="2">
        <v>11009</v>
      </c>
      <c r="AI15" s="2"/>
      <c r="AJ15" s="2">
        <v>508</v>
      </c>
      <c r="AK15" s="2">
        <v>7484</v>
      </c>
      <c r="AL15" s="2">
        <v>22799</v>
      </c>
      <c r="AM15" s="2">
        <v>38135</v>
      </c>
      <c r="AN15" s="2">
        <v>12270</v>
      </c>
      <c r="AO15" s="2">
        <v>10460</v>
      </c>
      <c r="AP15" s="2">
        <v>2870</v>
      </c>
      <c r="AQ15" s="2">
        <v>15141</v>
      </c>
      <c r="AR15" s="2">
        <v>27411</v>
      </c>
      <c r="AS15" s="2"/>
      <c r="AT15" s="2">
        <v>-6000</v>
      </c>
      <c r="AU15" s="2">
        <v>-40</v>
      </c>
      <c r="AV15" s="2"/>
      <c r="AW15" s="2">
        <v>10724</v>
      </c>
      <c r="AX15" s="2">
        <v>38135</v>
      </c>
      <c r="AY15" s="15"/>
      <c r="AZ15" s="2">
        <v>129</v>
      </c>
      <c r="BA15" s="2">
        <v>567</v>
      </c>
      <c r="BB15" s="2">
        <v>514</v>
      </c>
      <c r="BC15" s="2">
        <v>1081</v>
      </c>
      <c r="BD15" s="2">
        <v>-222</v>
      </c>
      <c r="BE15" s="2">
        <v>446</v>
      </c>
      <c r="BF15" s="2">
        <v>0</v>
      </c>
      <c r="BG15" s="2">
        <v>-363</v>
      </c>
      <c r="BH15" s="2">
        <v>-246</v>
      </c>
      <c r="BI15" s="2">
        <v>964</v>
      </c>
      <c r="BJ15" s="2">
        <v>-546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-20</v>
      </c>
      <c r="BQ15" s="2">
        <v>-566</v>
      </c>
      <c r="BR15" s="2">
        <v>111</v>
      </c>
      <c r="BS15" s="2">
        <v>0</v>
      </c>
      <c r="BT15" s="2">
        <v>111</v>
      </c>
      <c r="BU15" s="2">
        <v>57</v>
      </c>
      <c r="BV15" s="2">
        <v>57</v>
      </c>
      <c r="BW15" s="2">
        <v>0</v>
      </c>
      <c r="BX15" s="2">
        <v>-45</v>
      </c>
      <c r="BY15" s="2">
        <v>123</v>
      </c>
      <c r="BZ15" s="2">
        <v>559</v>
      </c>
      <c r="CA15" s="2">
        <v>347</v>
      </c>
      <c r="CB15" s="2">
        <v>0</v>
      </c>
      <c r="CC15" s="15"/>
      <c r="CD15" s="2">
        <v>1.2499</v>
      </c>
      <c r="CE15" s="2">
        <v>0.49380000000000002</v>
      </c>
      <c r="CF15" s="2">
        <v>1.3184</v>
      </c>
      <c r="CG15" s="2">
        <v>20.9907</v>
      </c>
      <c r="CH15" s="2">
        <v>5.4175000000000004</v>
      </c>
      <c r="CI15" s="2">
        <v>5.4175000000000004</v>
      </c>
      <c r="CJ15" s="2"/>
      <c r="CK15" s="2">
        <v>2.4851000000000001</v>
      </c>
      <c r="CL15" s="2">
        <v>1.7230000000000001</v>
      </c>
      <c r="CM15" s="2">
        <v>0.1583</v>
      </c>
      <c r="CN15" s="2">
        <v>1.1869000000000001</v>
      </c>
      <c r="CO15" s="2">
        <v>4.0646000000000004</v>
      </c>
      <c r="CP15" s="2">
        <v>22.142199999999999</v>
      </c>
      <c r="CQ15" s="2">
        <v>1.2029000000000001</v>
      </c>
      <c r="CR15" s="2">
        <v>1.2626999999999999</v>
      </c>
      <c r="CS15" s="2">
        <v>0.33829999999999999</v>
      </c>
      <c r="CT15" s="2">
        <v>0.60899999999999999</v>
      </c>
      <c r="CU15" s="2">
        <v>3.8437000000000001</v>
      </c>
      <c r="CV15" s="2">
        <v>0.31619999999999998</v>
      </c>
      <c r="CW15" s="2">
        <v>0.14660000000000001</v>
      </c>
    </row>
    <row r="16" spans="1:101" x14ac:dyDescent="0.25">
      <c r="A16" s="9">
        <v>43921</v>
      </c>
      <c r="B16" s="26" t="str">
        <f t="shared" si="0"/>
        <v>Q1 2020</v>
      </c>
      <c r="C16" s="15"/>
      <c r="D16" s="2">
        <v>5985</v>
      </c>
      <c r="E16" s="23">
        <f t="shared" si="1"/>
        <v>-0.18946370530877576</v>
      </c>
      <c r="F16" s="2">
        <v>4751</v>
      </c>
      <c r="G16" s="2">
        <v>1234</v>
      </c>
      <c r="H16" s="2">
        <v>324</v>
      </c>
      <c r="I16" s="2">
        <v>627</v>
      </c>
      <c r="J16" s="2"/>
      <c r="K16" s="2">
        <v>951</v>
      </c>
      <c r="L16" s="2">
        <v>283</v>
      </c>
      <c r="M16" s="2">
        <v>-213</v>
      </c>
      <c r="N16" s="2">
        <v>70</v>
      </c>
      <c r="O16" s="2">
        <v>2</v>
      </c>
      <c r="P16" s="2">
        <v>68</v>
      </c>
      <c r="Q16" s="2"/>
      <c r="R16" s="2">
        <v>68</v>
      </c>
      <c r="S16" s="2"/>
      <c r="T16" s="2">
        <v>16</v>
      </c>
      <c r="U16" s="2">
        <v>836</v>
      </c>
      <c r="V16" s="2">
        <v>283</v>
      </c>
      <c r="W16" s="2">
        <v>2745</v>
      </c>
      <c r="X16" s="2">
        <v>2982</v>
      </c>
      <c r="Y16" s="2">
        <v>6.7000000000000002E-3</v>
      </c>
      <c r="Z16" s="2">
        <v>6.7000000000000002E-3</v>
      </c>
      <c r="AA16" s="5"/>
      <c r="AB16" s="2">
        <v>8080</v>
      </c>
      <c r="AC16" s="2">
        <v>1274</v>
      </c>
      <c r="AD16" s="2">
        <v>4494</v>
      </c>
      <c r="AE16" s="2">
        <v>1045</v>
      </c>
      <c r="AF16" s="2"/>
      <c r="AG16" s="2">
        <v>14893</v>
      </c>
      <c r="AH16" s="2">
        <v>10638</v>
      </c>
      <c r="AI16" s="2"/>
      <c r="AJ16" s="2">
        <v>516</v>
      </c>
      <c r="AK16" s="2">
        <v>7479</v>
      </c>
      <c r="AL16" s="2">
        <v>22357</v>
      </c>
      <c r="AM16" s="2">
        <v>37250</v>
      </c>
      <c r="AN16" s="2">
        <v>11986</v>
      </c>
      <c r="AO16" s="2">
        <v>10726</v>
      </c>
      <c r="AP16" s="2">
        <v>2667</v>
      </c>
      <c r="AQ16" s="2">
        <v>15224</v>
      </c>
      <c r="AR16" s="2">
        <v>27210</v>
      </c>
      <c r="AS16" s="2"/>
      <c r="AT16" s="2">
        <v>-6104</v>
      </c>
      <c r="AU16" s="2">
        <v>-113</v>
      </c>
      <c r="AV16" s="2"/>
      <c r="AW16" s="2">
        <v>10040</v>
      </c>
      <c r="AX16" s="2">
        <v>37250</v>
      </c>
      <c r="AY16" s="15"/>
      <c r="AZ16" s="2">
        <v>68</v>
      </c>
      <c r="BA16" s="2">
        <v>553</v>
      </c>
      <c r="BB16" s="2">
        <v>386</v>
      </c>
      <c r="BC16" s="2">
        <v>939</v>
      </c>
      <c r="BD16" s="2">
        <v>-14</v>
      </c>
      <c r="BE16" s="2">
        <v>-981</v>
      </c>
      <c r="BF16" s="2"/>
      <c r="BG16" s="2">
        <v>-187</v>
      </c>
      <c r="BH16" s="2">
        <v>-1447</v>
      </c>
      <c r="BI16" s="2">
        <v>-440</v>
      </c>
      <c r="BJ16" s="2">
        <v>-455</v>
      </c>
      <c r="BK16" s="2"/>
      <c r="BL16" s="2"/>
      <c r="BM16" s="2"/>
      <c r="BN16" s="2"/>
      <c r="BO16" s="2"/>
      <c r="BP16" s="2">
        <v>-25</v>
      </c>
      <c r="BQ16" s="2">
        <v>-480</v>
      </c>
      <c r="BR16" s="2">
        <v>287</v>
      </c>
      <c r="BS16" s="2"/>
      <c r="BT16" s="2">
        <v>287</v>
      </c>
      <c r="BU16" s="2">
        <v>2469</v>
      </c>
      <c r="BV16" s="2">
        <v>2469</v>
      </c>
      <c r="BW16" s="2"/>
      <c r="BX16" s="2">
        <v>-48</v>
      </c>
      <c r="BY16" s="2">
        <v>2708</v>
      </c>
      <c r="BZ16" s="2">
        <v>1764</v>
      </c>
      <c r="CA16" s="2">
        <v>211</v>
      </c>
      <c r="CB16" s="2"/>
      <c r="CC16" s="15"/>
      <c r="CD16" s="2">
        <v>1.2424999999999999</v>
      </c>
      <c r="CE16" s="2">
        <v>0.51649999999999996</v>
      </c>
      <c r="CF16" s="2">
        <v>1.3887</v>
      </c>
      <c r="CG16" s="2">
        <v>20.618200000000002</v>
      </c>
      <c r="CH16" s="2">
        <v>4.7285000000000004</v>
      </c>
      <c r="CI16" s="2">
        <v>4.7285000000000004</v>
      </c>
      <c r="CJ16" s="2"/>
      <c r="CK16" s="2">
        <v>1.1696</v>
      </c>
      <c r="CL16" s="2">
        <v>0.26729999999999998</v>
      </c>
      <c r="CM16" s="2">
        <v>0.16070000000000001</v>
      </c>
      <c r="CN16" s="2">
        <v>1.0571999999999999</v>
      </c>
      <c r="CO16" s="2">
        <v>4.6978</v>
      </c>
      <c r="CP16" s="2">
        <v>19.157900000000001</v>
      </c>
      <c r="CQ16" s="2">
        <v>0.67730000000000001</v>
      </c>
      <c r="CR16" s="2">
        <v>0.71399999999999997</v>
      </c>
      <c r="CS16" s="2">
        <v>0.18260000000000001</v>
      </c>
      <c r="CT16" s="2">
        <v>0.32750000000000001</v>
      </c>
      <c r="CU16" s="2">
        <v>3.6179999999999999</v>
      </c>
      <c r="CV16" s="2">
        <v>-0.14760000000000001</v>
      </c>
      <c r="CW16" s="2">
        <v>-0.30009999999999998</v>
      </c>
    </row>
    <row r="17" spans="1:101" x14ac:dyDescent="0.25">
      <c r="A17" s="9">
        <v>43830</v>
      </c>
      <c r="B17" s="26" t="str">
        <f t="shared" si="0"/>
        <v>Q4 2019</v>
      </c>
      <c r="C17" s="15"/>
      <c r="D17" s="2">
        <v>7384</v>
      </c>
      <c r="E17" s="23">
        <f t="shared" si="1"/>
        <v>0.17150563223861659</v>
      </c>
      <c r="F17" s="2">
        <v>5993</v>
      </c>
      <c r="G17" s="2">
        <v>1391</v>
      </c>
      <c r="H17" s="2">
        <v>345</v>
      </c>
      <c r="I17" s="2">
        <v>699</v>
      </c>
      <c r="J17" s="2"/>
      <c r="K17" s="2">
        <v>1032</v>
      </c>
      <c r="L17" s="2">
        <v>359</v>
      </c>
      <c r="M17" s="2">
        <v>-185</v>
      </c>
      <c r="N17" s="2">
        <v>174</v>
      </c>
      <c r="O17" s="2">
        <v>42</v>
      </c>
      <c r="P17" s="2">
        <v>132</v>
      </c>
      <c r="Q17" s="2"/>
      <c r="R17" s="2">
        <v>132</v>
      </c>
      <c r="S17" s="2"/>
      <c r="T17" s="2">
        <v>113</v>
      </c>
      <c r="U17" s="2">
        <v>798</v>
      </c>
      <c r="V17" s="2">
        <v>359</v>
      </c>
      <c r="W17" s="2">
        <v>2661</v>
      </c>
      <c r="X17" s="2">
        <v>2661</v>
      </c>
      <c r="Y17" s="2">
        <v>4.7300000000000002E-2</v>
      </c>
      <c r="Z17" s="2">
        <v>4.7300000000000002E-2</v>
      </c>
      <c r="AA17" s="5"/>
      <c r="AB17" s="2">
        <v>6268</v>
      </c>
      <c r="AC17" s="2">
        <v>1324</v>
      </c>
      <c r="AD17" s="2">
        <v>3552</v>
      </c>
      <c r="AE17" s="2">
        <v>959</v>
      </c>
      <c r="AF17" s="2"/>
      <c r="AG17" s="2">
        <v>12103</v>
      </c>
      <c r="AH17" s="2">
        <v>10396</v>
      </c>
      <c r="AI17" s="2"/>
      <c r="AJ17" s="2">
        <v>537</v>
      </c>
      <c r="AK17" s="2">
        <v>7608</v>
      </c>
      <c r="AL17" s="2">
        <v>22206</v>
      </c>
      <c r="AM17" s="2">
        <v>34309</v>
      </c>
      <c r="AN17" s="2">
        <v>10667</v>
      </c>
      <c r="AO17" s="2">
        <v>11634</v>
      </c>
      <c r="AP17" s="2">
        <v>2691</v>
      </c>
      <c r="AQ17" s="2">
        <v>16175</v>
      </c>
      <c r="AR17" s="2">
        <v>26842</v>
      </c>
      <c r="AS17" s="2">
        <v>1</v>
      </c>
      <c r="AT17" s="2">
        <v>-6083</v>
      </c>
      <c r="AU17" s="2">
        <v>-36</v>
      </c>
      <c r="AV17" s="2"/>
      <c r="AW17" s="2">
        <v>7467</v>
      </c>
      <c r="AX17" s="2">
        <v>34309</v>
      </c>
      <c r="AY17" s="15"/>
      <c r="AZ17" s="2">
        <v>132</v>
      </c>
      <c r="BA17" s="2">
        <v>439</v>
      </c>
      <c r="BB17" s="2">
        <v>623</v>
      </c>
      <c r="BC17" s="2">
        <v>1062</v>
      </c>
      <c r="BD17" s="2">
        <v>-217</v>
      </c>
      <c r="BE17" s="2">
        <v>56</v>
      </c>
      <c r="BF17" s="2">
        <v>0</v>
      </c>
      <c r="BG17" s="2">
        <v>-111</v>
      </c>
      <c r="BH17" s="2">
        <v>231</v>
      </c>
      <c r="BI17" s="2">
        <v>1425</v>
      </c>
      <c r="BJ17" s="2">
        <v>-412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9</v>
      </c>
      <c r="BQ17" s="2">
        <v>-403</v>
      </c>
      <c r="BR17" s="2">
        <v>-195</v>
      </c>
      <c r="BS17" s="2">
        <v>0</v>
      </c>
      <c r="BT17" s="2">
        <v>-195</v>
      </c>
      <c r="BU17" s="2">
        <v>96</v>
      </c>
      <c r="BV17" s="2">
        <v>96</v>
      </c>
      <c r="BW17" s="2">
        <v>0</v>
      </c>
      <c r="BX17" s="2">
        <v>20</v>
      </c>
      <c r="BY17" s="2">
        <v>-79</v>
      </c>
      <c r="BZ17" s="2">
        <v>957</v>
      </c>
      <c r="CA17" s="2">
        <v>281</v>
      </c>
      <c r="CB17" s="2">
        <v>0</v>
      </c>
      <c r="CC17" s="15"/>
      <c r="CD17" s="2">
        <v>1.1346000000000001</v>
      </c>
      <c r="CE17" s="2">
        <v>0.60909999999999997</v>
      </c>
      <c r="CF17" s="2">
        <v>1.7970999999999999</v>
      </c>
      <c r="CG17" s="2">
        <v>18.838000000000001</v>
      </c>
      <c r="CH17" s="2">
        <v>4.8619000000000003</v>
      </c>
      <c r="CI17" s="2">
        <v>4.8619000000000003</v>
      </c>
      <c r="CJ17" s="2"/>
      <c r="CK17" s="2">
        <v>2.3563999999999998</v>
      </c>
      <c r="CL17" s="2">
        <v>1.5303</v>
      </c>
      <c r="CM17" s="2">
        <v>0.2152</v>
      </c>
      <c r="CN17" s="2">
        <v>1.6872</v>
      </c>
      <c r="CO17" s="2">
        <v>5.577</v>
      </c>
      <c r="CP17" s="2">
        <v>16.137599999999999</v>
      </c>
      <c r="CQ17" s="2">
        <v>1.7678</v>
      </c>
      <c r="CR17" s="2">
        <v>1.9048</v>
      </c>
      <c r="CS17" s="2">
        <v>0.38469999999999999</v>
      </c>
      <c r="CT17" s="2">
        <v>0.69110000000000005</v>
      </c>
      <c r="CU17" s="2">
        <v>2.7503000000000002</v>
      </c>
      <c r="CV17" s="2">
        <v>0.54949999999999999</v>
      </c>
      <c r="CW17" s="2">
        <v>0.38159999999999999</v>
      </c>
    </row>
    <row r="18" spans="1:101" x14ac:dyDescent="0.25">
      <c r="A18" s="9">
        <v>43738</v>
      </c>
      <c r="B18" s="26" t="str">
        <f t="shared" si="0"/>
        <v>Q3 2019</v>
      </c>
      <c r="C18" s="15"/>
      <c r="D18" s="2">
        <v>6303</v>
      </c>
      <c r="E18" s="23">
        <f t="shared" si="1"/>
        <v>-7.4015748031496242E-3</v>
      </c>
      <c r="F18" s="2">
        <v>5112</v>
      </c>
      <c r="G18" s="2">
        <v>1191</v>
      </c>
      <c r="H18" s="2">
        <v>334</v>
      </c>
      <c r="I18" s="2">
        <v>596</v>
      </c>
      <c r="J18" s="2"/>
      <c r="K18" s="2">
        <v>930</v>
      </c>
      <c r="L18" s="2">
        <v>261</v>
      </c>
      <c r="M18" s="2">
        <v>-85</v>
      </c>
      <c r="N18" s="2">
        <v>176</v>
      </c>
      <c r="O18" s="2">
        <v>26</v>
      </c>
      <c r="P18" s="2">
        <v>150</v>
      </c>
      <c r="Q18" s="2"/>
      <c r="R18" s="2">
        <v>150</v>
      </c>
      <c r="S18" s="2"/>
      <c r="T18" s="2">
        <v>143</v>
      </c>
      <c r="U18" s="2">
        <v>847</v>
      </c>
      <c r="V18" s="2">
        <v>261</v>
      </c>
      <c r="W18" s="2">
        <v>2691</v>
      </c>
      <c r="X18" s="2">
        <v>2766</v>
      </c>
      <c r="Y18" s="2">
        <v>5.33E-2</v>
      </c>
      <c r="Z18" s="2">
        <v>5.33E-2</v>
      </c>
      <c r="AA18" s="5"/>
      <c r="AB18" s="2">
        <v>5571</v>
      </c>
      <c r="AC18" s="2">
        <v>1128</v>
      </c>
      <c r="AD18" s="2">
        <v>3581</v>
      </c>
      <c r="AE18" s="2">
        <v>660</v>
      </c>
      <c r="AF18" s="2"/>
      <c r="AG18" s="2">
        <v>10940</v>
      </c>
      <c r="AH18" s="2">
        <v>10190</v>
      </c>
      <c r="AI18" s="2"/>
      <c r="AJ18" s="2">
        <v>537</v>
      </c>
      <c r="AK18" s="2">
        <v>7243</v>
      </c>
      <c r="AL18" s="2">
        <v>21855</v>
      </c>
      <c r="AM18" s="2">
        <v>32795</v>
      </c>
      <c r="AN18" s="2">
        <v>10146</v>
      </c>
      <c r="AO18" s="2">
        <v>11313</v>
      </c>
      <c r="AP18" s="2">
        <v>2714</v>
      </c>
      <c r="AQ18" s="2">
        <v>15767</v>
      </c>
      <c r="AR18" s="2">
        <v>25913</v>
      </c>
      <c r="AS18" s="2"/>
      <c r="AT18" s="2">
        <v>-6188</v>
      </c>
      <c r="AU18" s="2">
        <v>-120</v>
      </c>
      <c r="AV18" s="2"/>
      <c r="AW18" s="2">
        <v>6882</v>
      </c>
      <c r="AX18" s="2">
        <v>32795</v>
      </c>
      <c r="AY18" s="15"/>
      <c r="AZ18" s="2">
        <v>150</v>
      </c>
      <c r="BA18" s="2">
        <v>586</v>
      </c>
      <c r="BB18" s="2">
        <v>212</v>
      </c>
      <c r="BC18" s="2">
        <v>798</v>
      </c>
      <c r="BD18" s="2">
        <v>18</v>
      </c>
      <c r="BE18" s="2">
        <v>-133</v>
      </c>
      <c r="BF18" s="2">
        <v>0</v>
      </c>
      <c r="BG18" s="2">
        <v>-133</v>
      </c>
      <c r="BH18" s="2">
        <v>-192</v>
      </c>
      <c r="BI18" s="2">
        <v>756</v>
      </c>
      <c r="BJ18" s="2">
        <v>-385</v>
      </c>
      <c r="BK18" s="2">
        <v>0</v>
      </c>
      <c r="BL18" s="2">
        <v>-76</v>
      </c>
      <c r="BM18" s="2">
        <v>0</v>
      </c>
      <c r="BN18" s="2">
        <v>0</v>
      </c>
      <c r="BO18" s="2">
        <v>0</v>
      </c>
      <c r="BP18" s="2">
        <v>-25</v>
      </c>
      <c r="BQ18" s="2">
        <v>-486</v>
      </c>
      <c r="BR18" s="2">
        <v>47</v>
      </c>
      <c r="BS18" s="2">
        <v>0</v>
      </c>
      <c r="BT18" s="2">
        <v>47</v>
      </c>
      <c r="BU18" s="2">
        <v>71</v>
      </c>
      <c r="BV18" s="2">
        <v>71</v>
      </c>
      <c r="BW18" s="2">
        <v>0</v>
      </c>
      <c r="BX18" s="2">
        <v>0</v>
      </c>
      <c r="BY18" s="2">
        <v>118</v>
      </c>
      <c r="BZ18" s="2">
        <v>377</v>
      </c>
      <c r="CA18" s="2">
        <v>199</v>
      </c>
      <c r="CB18" s="2">
        <v>0</v>
      </c>
      <c r="CC18" s="15"/>
      <c r="CD18" s="2">
        <v>1.0783</v>
      </c>
      <c r="CE18" s="2">
        <v>0.62180000000000002</v>
      </c>
      <c r="CF18" s="2">
        <v>1.9388000000000001</v>
      </c>
      <c r="CG18" s="2">
        <v>18.895800000000001</v>
      </c>
      <c r="CH18" s="2">
        <v>4.1409000000000002</v>
      </c>
      <c r="CI18" s="2">
        <v>4.1409000000000002</v>
      </c>
      <c r="CJ18" s="2"/>
      <c r="CK18" s="2">
        <v>2.7923</v>
      </c>
      <c r="CL18" s="2">
        <v>2.2688000000000001</v>
      </c>
      <c r="CM18" s="2">
        <v>0.19220000000000001</v>
      </c>
      <c r="CN18" s="2">
        <v>1.4275</v>
      </c>
      <c r="CO18" s="2">
        <v>5.5877999999999997</v>
      </c>
      <c r="CP18" s="2">
        <v>16.1066</v>
      </c>
      <c r="CQ18" s="2">
        <v>2.1796000000000002</v>
      </c>
      <c r="CR18" s="2">
        <v>2.3641000000000001</v>
      </c>
      <c r="CS18" s="2">
        <v>0.45739999999999997</v>
      </c>
      <c r="CT18" s="2">
        <v>0.82440000000000002</v>
      </c>
      <c r="CU18" s="2">
        <v>2.5489000000000002</v>
      </c>
      <c r="CV18" s="2">
        <v>0.26989999999999997</v>
      </c>
      <c r="CW18" s="2">
        <v>0.13880000000000001</v>
      </c>
    </row>
    <row r="19" spans="1:101" x14ac:dyDescent="0.25">
      <c r="A19" s="9">
        <v>43646</v>
      </c>
      <c r="B19" s="26" t="str">
        <f t="shared" si="0"/>
        <v>Q2 2019</v>
      </c>
      <c r="C19" s="15"/>
      <c r="D19" s="2">
        <v>6350</v>
      </c>
      <c r="E19" s="23">
        <f t="shared" si="1"/>
        <v>0.39837040299493509</v>
      </c>
      <c r="F19" s="2">
        <v>5429</v>
      </c>
      <c r="G19" s="2">
        <v>921</v>
      </c>
      <c r="H19" s="2">
        <v>324</v>
      </c>
      <c r="I19" s="2">
        <v>647</v>
      </c>
      <c r="J19" s="2"/>
      <c r="K19" s="2">
        <v>1088</v>
      </c>
      <c r="L19" s="2">
        <v>-167</v>
      </c>
      <c r="M19" s="2">
        <v>-203</v>
      </c>
      <c r="N19" s="2">
        <v>-370</v>
      </c>
      <c r="O19" s="2">
        <v>19</v>
      </c>
      <c r="P19" s="2">
        <v>-389</v>
      </c>
      <c r="Q19" s="2"/>
      <c r="R19" s="2">
        <v>-389</v>
      </c>
      <c r="S19" s="2"/>
      <c r="T19" s="2">
        <v>-408</v>
      </c>
      <c r="U19" s="2">
        <v>454</v>
      </c>
      <c r="V19" s="2">
        <v>-167</v>
      </c>
      <c r="W19" s="2">
        <v>2655</v>
      </c>
      <c r="X19" s="2">
        <v>2655</v>
      </c>
      <c r="Y19" s="2">
        <v>-0.154</v>
      </c>
      <c r="Z19" s="2">
        <v>-0.154</v>
      </c>
      <c r="AA19" s="5"/>
      <c r="AB19" s="2">
        <v>5082.7460000000001</v>
      </c>
      <c r="AC19" s="2">
        <v>1147.0999999999999</v>
      </c>
      <c r="AD19" s="2">
        <v>3382.3580000000002</v>
      </c>
      <c r="AE19" s="2">
        <v>569.74800000000005</v>
      </c>
      <c r="AF19" s="2"/>
      <c r="AG19" s="2">
        <v>10181.950000000001</v>
      </c>
      <c r="AH19" s="2">
        <v>10082.459999999999</v>
      </c>
      <c r="AI19" s="2"/>
      <c r="AJ19" s="2">
        <v>480.83300000000003</v>
      </c>
      <c r="AK19" s="2">
        <v>7409.2290000000003</v>
      </c>
      <c r="AL19" s="2">
        <v>21690.639999999999</v>
      </c>
      <c r="AM19" s="2">
        <v>31872.6</v>
      </c>
      <c r="AN19" s="2">
        <v>9588.7729999999992</v>
      </c>
      <c r="AO19" s="2">
        <v>11234.4</v>
      </c>
      <c r="AP19" s="2">
        <v>2716.92</v>
      </c>
      <c r="AQ19" s="2">
        <v>15713.59</v>
      </c>
      <c r="AR19" s="2">
        <v>25302.36</v>
      </c>
      <c r="AS19" s="2">
        <v>0.17899999999999999</v>
      </c>
      <c r="AT19" s="2">
        <v>-6331.6390000000001</v>
      </c>
      <c r="AU19" s="2">
        <v>-5.6050000000000004</v>
      </c>
      <c r="AV19" s="2"/>
      <c r="AW19" s="2">
        <v>6570.2340000000004</v>
      </c>
      <c r="AX19" s="2">
        <v>31872.6</v>
      </c>
      <c r="AY19" s="15"/>
      <c r="AZ19" s="2">
        <v>-389</v>
      </c>
      <c r="BA19" s="2">
        <v>621</v>
      </c>
      <c r="BB19" s="2">
        <v>344</v>
      </c>
      <c r="BC19" s="2">
        <v>965</v>
      </c>
      <c r="BD19" s="2">
        <v>-68</v>
      </c>
      <c r="BE19" s="2">
        <v>457</v>
      </c>
      <c r="BF19" s="2">
        <v>0</v>
      </c>
      <c r="BG19" s="2">
        <v>-229</v>
      </c>
      <c r="BH19" s="2">
        <v>288</v>
      </c>
      <c r="BI19" s="2">
        <v>864</v>
      </c>
      <c r="BJ19" s="2">
        <v>-250</v>
      </c>
      <c r="BK19" s="2">
        <v>-5</v>
      </c>
      <c r="BL19" s="2">
        <v>32</v>
      </c>
      <c r="BM19" s="2">
        <v>0</v>
      </c>
      <c r="BN19" s="2">
        <v>0</v>
      </c>
      <c r="BO19" s="2">
        <v>0</v>
      </c>
      <c r="BP19" s="2">
        <v>-18</v>
      </c>
      <c r="BQ19" s="2">
        <v>-241</v>
      </c>
      <c r="BR19" s="2">
        <v>1147</v>
      </c>
      <c r="BS19" s="2">
        <v>0</v>
      </c>
      <c r="BT19" s="2">
        <v>1147</v>
      </c>
      <c r="BU19" s="2">
        <v>1040</v>
      </c>
      <c r="BV19" s="2">
        <v>1040</v>
      </c>
      <c r="BW19" s="2">
        <v>0</v>
      </c>
      <c r="BX19" s="2">
        <v>-44</v>
      </c>
      <c r="BY19" s="2">
        <v>2143</v>
      </c>
      <c r="BZ19" s="2">
        <v>2766</v>
      </c>
      <c r="CA19" s="2">
        <v>210</v>
      </c>
      <c r="CB19" s="2">
        <v>0</v>
      </c>
      <c r="CC19" s="15"/>
      <c r="CD19" s="2">
        <v>1.0619000000000001</v>
      </c>
      <c r="CE19" s="2">
        <v>0.63100000000000001</v>
      </c>
      <c r="CF19" s="2">
        <v>1.9824999999999999</v>
      </c>
      <c r="CG19" s="2">
        <v>14.5039</v>
      </c>
      <c r="CH19" s="2">
        <v>-2.6299000000000001</v>
      </c>
      <c r="CI19" s="2">
        <v>-2.6299000000000001</v>
      </c>
      <c r="CJ19" s="2"/>
      <c r="CK19" s="2">
        <v>-5.8268000000000004</v>
      </c>
      <c r="CL19" s="2">
        <v>-6.4252000000000002</v>
      </c>
      <c r="CM19" s="2">
        <v>0.19919999999999999</v>
      </c>
      <c r="CN19" s="2">
        <v>1.6051</v>
      </c>
      <c r="CO19" s="2">
        <v>5.5357000000000003</v>
      </c>
      <c r="CP19" s="2">
        <v>16.258099999999999</v>
      </c>
      <c r="CQ19" s="2">
        <v>-5.9206000000000003</v>
      </c>
      <c r="CR19" s="2">
        <v>-6.3880999999999997</v>
      </c>
      <c r="CS19" s="2">
        <v>-1.2204999999999999</v>
      </c>
      <c r="CT19" s="2">
        <v>-2.1848000000000001</v>
      </c>
      <c r="CU19" s="2">
        <v>2.4453999999999998</v>
      </c>
      <c r="CV19" s="2">
        <v>0.33100000000000002</v>
      </c>
      <c r="CW19" s="2">
        <v>0.2392</v>
      </c>
    </row>
    <row r="20" spans="1:101" x14ac:dyDescent="0.25">
      <c r="A20" s="9">
        <v>43555</v>
      </c>
      <c r="B20" s="26" t="str">
        <f t="shared" si="0"/>
        <v>Q1 2019</v>
      </c>
      <c r="C20" s="15"/>
      <c r="D20" s="2">
        <v>4541</v>
      </c>
      <c r="E20" s="23">
        <f t="shared" si="1"/>
        <v>-0.37157652090314186</v>
      </c>
      <c r="F20" s="2">
        <v>3975</v>
      </c>
      <c r="G20" s="2">
        <v>566</v>
      </c>
      <c r="H20" s="2">
        <v>340</v>
      </c>
      <c r="I20" s="2">
        <v>704</v>
      </c>
      <c r="J20" s="2"/>
      <c r="K20" s="2">
        <v>1088</v>
      </c>
      <c r="L20" s="2">
        <v>-522</v>
      </c>
      <c r="M20" s="2">
        <v>-123</v>
      </c>
      <c r="N20" s="2">
        <v>-645</v>
      </c>
      <c r="O20" s="2">
        <v>23</v>
      </c>
      <c r="P20" s="2">
        <v>-668</v>
      </c>
      <c r="Q20" s="2"/>
      <c r="R20" s="2">
        <v>-668</v>
      </c>
      <c r="S20" s="2"/>
      <c r="T20" s="2">
        <v>-710</v>
      </c>
      <c r="U20" s="2">
        <v>-14</v>
      </c>
      <c r="V20" s="2">
        <v>-522</v>
      </c>
      <c r="W20" s="2">
        <v>2595</v>
      </c>
      <c r="X20" s="2">
        <v>2595</v>
      </c>
      <c r="Y20" s="2">
        <v>-0.27329999999999999</v>
      </c>
      <c r="Z20" s="2">
        <v>-0.27329999999999999</v>
      </c>
      <c r="AA20" s="5"/>
      <c r="AB20" s="2">
        <v>2329.1190000000001</v>
      </c>
      <c r="AC20" s="2">
        <v>1046.9449999999999</v>
      </c>
      <c r="AD20" s="2">
        <v>3836.85</v>
      </c>
      <c r="AE20" s="2">
        <v>464.90800000000002</v>
      </c>
      <c r="AF20" s="2"/>
      <c r="AG20" s="2">
        <v>7677.8220000000001</v>
      </c>
      <c r="AH20" s="2">
        <v>9850.9290000000001</v>
      </c>
      <c r="AI20" s="2"/>
      <c r="AJ20" s="2">
        <v>347.88</v>
      </c>
      <c r="AK20" s="2">
        <v>7397.183</v>
      </c>
      <c r="AL20" s="2">
        <v>21234.7</v>
      </c>
      <c r="AM20" s="2">
        <v>28912.52</v>
      </c>
      <c r="AN20" s="2">
        <v>9242.7999999999993</v>
      </c>
      <c r="AO20" s="2">
        <v>9787.9500000000007</v>
      </c>
      <c r="AP20" s="2">
        <v>2686.5250000000001</v>
      </c>
      <c r="AQ20" s="2">
        <v>14202.1</v>
      </c>
      <c r="AR20" s="2">
        <v>23444.9</v>
      </c>
      <c r="AS20" s="2">
        <v>0.17399999999999999</v>
      </c>
      <c r="AT20" s="2">
        <v>-5923.3050000000003</v>
      </c>
      <c r="AU20" s="2">
        <v>-35.018999999999998</v>
      </c>
      <c r="AV20" s="2"/>
      <c r="AW20" s="2">
        <v>5467.6260000000002</v>
      </c>
      <c r="AX20" s="2">
        <v>28912.52</v>
      </c>
      <c r="AY20" s="15"/>
      <c r="AZ20" s="2">
        <v>-668</v>
      </c>
      <c r="BA20" s="2">
        <v>508</v>
      </c>
      <c r="BB20" s="2">
        <v>196</v>
      </c>
      <c r="BC20" s="2">
        <v>704</v>
      </c>
      <c r="BD20" s="2">
        <v>-100</v>
      </c>
      <c r="BE20" s="2">
        <v>-809</v>
      </c>
      <c r="BF20" s="2"/>
      <c r="BG20" s="2">
        <v>274</v>
      </c>
      <c r="BH20" s="2">
        <v>-676</v>
      </c>
      <c r="BI20" s="2">
        <v>-640</v>
      </c>
      <c r="BJ20" s="2">
        <v>-280</v>
      </c>
      <c r="BK20" s="2"/>
      <c r="BL20" s="2">
        <v>-1</v>
      </c>
      <c r="BM20" s="2"/>
      <c r="BN20" s="2"/>
      <c r="BO20" s="2"/>
      <c r="BP20" s="2">
        <v>-25</v>
      </c>
      <c r="BQ20" s="2">
        <v>-306</v>
      </c>
      <c r="BR20" s="2">
        <v>-677</v>
      </c>
      <c r="BS20" s="2"/>
      <c r="BT20" s="2">
        <v>-677</v>
      </c>
      <c r="BU20" s="2">
        <v>78</v>
      </c>
      <c r="BV20" s="2">
        <v>78</v>
      </c>
      <c r="BW20" s="2"/>
      <c r="BX20" s="2">
        <v>-54</v>
      </c>
      <c r="BY20" s="2">
        <v>-653</v>
      </c>
      <c r="BZ20" s="2">
        <v>-1594</v>
      </c>
      <c r="CA20" s="2">
        <v>208</v>
      </c>
      <c r="CB20" s="2"/>
      <c r="CC20" s="15"/>
      <c r="CD20" s="2">
        <v>0.83069999999999999</v>
      </c>
      <c r="CE20" s="2">
        <v>0.64159999999999995</v>
      </c>
      <c r="CF20" s="2">
        <v>2.1021000000000001</v>
      </c>
      <c r="CG20" s="2">
        <v>12.4642</v>
      </c>
      <c r="CH20" s="2">
        <v>-11.4953</v>
      </c>
      <c r="CI20" s="2">
        <v>-11.4953</v>
      </c>
      <c r="CJ20" s="2"/>
      <c r="CK20" s="2">
        <v>-14.203900000000001</v>
      </c>
      <c r="CL20" s="2">
        <v>-15.635300000000001</v>
      </c>
      <c r="CM20" s="2">
        <v>0.15709999999999999</v>
      </c>
      <c r="CN20" s="2">
        <v>1.036</v>
      </c>
      <c r="CO20" s="2">
        <v>4.3373999999999997</v>
      </c>
      <c r="CP20" s="2">
        <v>20.7499</v>
      </c>
      <c r="CQ20" s="2">
        <v>-12.2174</v>
      </c>
      <c r="CR20" s="2">
        <v>-13.047499999999999</v>
      </c>
      <c r="CS20" s="2">
        <v>-2.3104</v>
      </c>
      <c r="CT20" s="2">
        <v>-4.3787000000000003</v>
      </c>
      <c r="CU20" s="2">
        <v>2.0987</v>
      </c>
      <c r="CV20" s="2">
        <v>-0.24660000000000001</v>
      </c>
      <c r="CW20" s="2">
        <v>-0.35449999999999998</v>
      </c>
    </row>
    <row r="21" spans="1:101" x14ac:dyDescent="0.25">
      <c r="A21" s="9">
        <v>43465</v>
      </c>
      <c r="B21" s="26" t="str">
        <f t="shared" si="0"/>
        <v>Q4 2018</v>
      </c>
      <c r="C21" s="15"/>
      <c r="D21" s="2">
        <v>7226.0190000000002</v>
      </c>
      <c r="E21" s="23">
        <f t="shared" si="1"/>
        <v>5.8912514654161807E-2</v>
      </c>
      <c r="F21" s="2">
        <v>5783.4740000000002</v>
      </c>
      <c r="G21" s="2">
        <v>1442.5440000000001</v>
      </c>
      <c r="H21" s="2">
        <v>355.77499999999998</v>
      </c>
      <c r="I21" s="2">
        <v>667.83699999999999</v>
      </c>
      <c r="J21" s="2"/>
      <c r="K21" s="2">
        <v>1028.1780000000001</v>
      </c>
      <c r="L21" s="2">
        <v>414.36669999999998</v>
      </c>
      <c r="M21" s="2">
        <v>-182.345</v>
      </c>
      <c r="N21" s="2">
        <v>232.02099999999999</v>
      </c>
      <c r="O21" s="2">
        <v>21.687999999999999</v>
      </c>
      <c r="P21" s="2">
        <v>210.3329</v>
      </c>
      <c r="Q21" s="2"/>
      <c r="R21" s="2">
        <v>210.3329</v>
      </c>
      <c r="S21" s="2"/>
      <c r="T21" s="2">
        <v>140.09</v>
      </c>
      <c r="U21" s="2">
        <v>949.36670000000004</v>
      </c>
      <c r="V21" s="2">
        <v>414.36619999999999</v>
      </c>
      <c r="W21" s="2">
        <v>2559</v>
      </c>
      <c r="X21" s="2">
        <v>2559</v>
      </c>
      <c r="Y21" s="2">
        <v>5.9299999999999999E-2</v>
      </c>
      <c r="Z21" s="2">
        <v>6.4000000000000001E-2</v>
      </c>
      <c r="AA21" s="5"/>
      <c r="AB21" s="2">
        <v>3879</v>
      </c>
      <c r="AC21" s="2">
        <v>949</v>
      </c>
      <c r="AD21" s="2">
        <v>3113</v>
      </c>
      <c r="AE21" s="2">
        <v>366</v>
      </c>
      <c r="AF21" s="2"/>
      <c r="AG21" s="2">
        <v>8307</v>
      </c>
      <c r="AH21" s="2">
        <v>11330</v>
      </c>
      <c r="AI21" s="2"/>
      <c r="AJ21" s="2">
        <v>350</v>
      </c>
      <c r="AK21" s="2">
        <v>7241</v>
      </c>
      <c r="AL21" s="2">
        <v>21433</v>
      </c>
      <c r="AM21" s="2">
        <v>29740</v>
      </c>
      <c r="AN21" s="2">
        <v>9993</v>
      </c>
      <c r="AO21" s="2">
        <v>9404</v>
      </c>
      <c r="AP21" s="2">
        <v>3039</v>
      </c>
      <c r="AQ21" s="2">
        <v>13990</v>
      </c>
      <c r="AR21" s="2">
        <v>23983</v>
      </c>
      <c r="AS21" s="2"/>
      <c r="AT21" s="2">
        <v>-5318</v>
      </c>
      <c r="AU21" s="2">
        <v>-8</v>
      </c>
      <c r="AV21" s="2"/>
      <c r="AW21" s="2">
        <v>5757</v>
      </c>
      <c r="AX21" s="2">
        <v>29740</v>
      </c>
      <c r="AY21" s="15"/>
      <c r="AZ21" s="2">
        <v>210</v>
      </c>
      <c r="BA21" s="2">
        <v>535</v>
      </c>
      <c r="BB21" s="2">
        <v>291</v>
      </c>
      <c r="BC21" s="2">
        <v>826</v>
      </c>
      <c r="BD21" s="2">
        <v>189</v>
      </c>
      <c r="BE21" s="2">
        <v>88</v>
      </c>
      <c r="BF21" s="2">
        <v>0</v>
      </c>
      <c r="BG21" s="2">
        <v>-247</v>
      </c>
      <c r="BH21" s="2">
        <v>199</v>
      </c>
      <c r="BI21" s="2">
        <v>1235</v>
      </c>
      <c r="BJ21" s="2">
        <v>-325</v>
      </c>
      <c r="BK21" s="2">
        <v>0</v>
      </c>
      <c r="BL21" s="2">
        <v>-11</v>
      </c>
      <c r="BM21" s="2">
        <v>0</v>
      </c>
      <c r="BN21" s="2">
        <v>0</v>
      </c>
      <c r="BO21" s="2">
        <v>0</v>
      </c>
      <c r="BP21" s="2">
        <v>-29</v>
      </c>
      <c r="BQ21" s="2">
        <v>-365</v>
      </c>
      <c r="BR21" s="2">
        <v>-198</v>
      </c>
      <c r="BS21" s="2">
        <v>0</v>
      </c>
      <c r="BT21" s="2">
        <v>-198</v>
      </c>
      <c r="BU21" s="2">
        <v>76</v>
      </c>
      <c r="BV21" s="2">
        <v>76</v>
      </c>
      <c r="BW21" s="2">
        <v>0</v>
      </c>
      <c r="BX21" s="2">
        <v>10</v>
      </c>
      <c r="BY21" s="2">
        <v>-112</v>
      </c>
      <c r="BZ21" s="2">
        <v>754</v>
      </c>
      <c r="CA21" s="2">
        <v>205</v>
      </c>
      <c r="CB21" s="2">
        <v>0</v>
      </c>
      <c r="CC21" s="15"/>
      <c r="CD21" s="2">
        <v>0.83130000000000004</v>
      </c>
      <c r="CE21" s="2">
        <v>0.62029999999999996</v>
      </c>
      <c r="CF21" s="2">
        <v>2.0796000000000001</v>
      </c>
      <c r="CG21" s="2">
        <v>19.963200000000001</v>
      </c>
      <c r="CH21" s="2">
        <v>5.7343999999999999</v>
      </c>
      <c r="CI21" s="2">
        <v>5.7343999999999999</v>
      </c>
      <c r="CJ21" s="2"/>
      <c r="CK21" s="2">
        <v>3.2109000000000001</v>
      </c>
      <c r="CL21" s="2">
        <v>1.9387000000000001</v>
      </c>
      <c r="CM21" s="2">
        <v>0.24299999999999999</v>
      </c>
      <c r="CN21" s="2">
        <v>1.8577999999999999</v>
      </c>
      <c r="CO21" s="2">
        <v>7.6143999999999998</v>
      </c>
      <c r="CP21" s="2">
        <v>11.819800000000001</v>
      </c>
      <c r="CQ21" s="2">
        <v>3.6535000000000002</v>
      </c>
      <c r="CR21" s="2">
        <v>3.89</v>
      </c>
      <c r="CS21" s="2">
        <v>0.70720000000000005</v>
      </c>
      <c r="CT21" s="2">
        <v>1.3873</v>
      </c>
      <c r="CU21" s="2">
        <v>2.2185000000000001</v>
      </c>
      <c r="CV21" s="2">
        <v>0.49669999999999997</v>
      </c>
      <c r="CW21" s="2">
        <v>0.3407</v>
      </c>
    </row>
    <row r="22" spans="1:101" x14ac:dyDescent="0.25">
      <c r="A22" s="9">
        <v>43373</v>
      </c>
      <c r="B22" s="26" t="str">
        <f t="shared" si="0"/>
        <v>Q3 2018</v>
      </c>
      <c r="C22" s="15"/>
      <c r="D22" s="2">
        <v>6824</v>
      </c>
      <c r="E22" s="23">
        <f t="shared" si="1"/>
        <v>0.70504900891527744</v>
      </c>
      <c r="F22" s="2">
        <v>5300</v>
      </c>
      <c r="G22" s="2">
        <v>1524</v>
      </c>
      <c r="H22" s="2">
        <v>351</v>
      </c>
      <c r="I22" s="2">
        <v>730</v>
      </c>
      <c r="J22" s="2"/>
      <c r="K22" s="2">
        <v>1108</v>
      </c>
      <c r="L22" s="2">
        <v>416</v>
      </c>
      <c r="M22" s="2">
        <v>-145</v>
      </c>
      <c r="N22" s="2">
        <v>271</v>
      </c>
      <c r="O22" s="2">
        <v>17</v>
      </c>
      <c r="P22" s="2">
        <v>254</v>
      </c>
      <c r="Q22" s="2"/>
      <c r="R22" s="2">
        <v>254</v>
      </c>
      <c r="S22" s="2"/>
      <c r="T22" s="2">
        <v>311</v>
      </c>
      <c r="U22" s="2">
        <v>965.09299999999996</v>
      </c>
      <c r="V22" s="2">
        <v>416</v>
      </c>
      <c r="W22" s="2">
        <v>2565</v>
      </c>
      <c r="X22" s="2">
        <v>2670</v>
      </c>
      <c r="Y22" s="2">
        <v>0.12130000000000001</v>
      </c>
      <c r="Z22" s="2">
        <v>0.1167</v>
      </c>
      <c r="AA22" s="5"/>
      <c r="AB22" s="2">
        <v>3126.1309999999999</v>
      </c>
      <c r="AC22" s="2">
        <v>1155.001</v>
      </c>
      <c r="AD22" s="2">
        <v>3314.127</v>
      </c>
      <c r="AE22" s="2">
        <v>325.23200000000003</v>
      </c>
      <c r="AF22" s="2"/>
      <c r="AG22" s="2">
        <v>7920.491</v>
      </c>
      <c r="AH22" s="2">
        <v>11246.29</v>
      </c>
      <c r="AI22" s="2"/>
      <c r="AJ22" s="2">
        <v>356.702</v>
      </c>
      <c r="AK22" s="2">
        <v>7130.1909999999998</v>
      </c>
      <c r="AL22" s="2">
        <v>21342.22</v>
      </c>
      <c r="AM22" s="2">
        <v>29262.71</v>
      </c>
      <c r="AN22" s="2">
        <v>9775.3240000000005</v>
      </c>
      <c r="AO22" s="2">
        <v>9672.5130000000008</v>
      </c>
      <c r="AP22" s="2">
        <v>3011.181</v>
      </c>
      <c r="AQ22" s="2">
        <v>14185.08</v>
      </c>
      <c r="AR22" s="2">
        <v>23960.41</v>
      </c>
      <c r="AS22" s="2">
        <v>0.17100000000000001</v>
      </c>
      <c r="AT22" s="2">
        <v>-5457.3149999999996</v>
      </c>
      <c r="AU22" s="2">
        <v>8.2710000000000008</v>
      </c>
      <c r="AV22" s="2"/>
      <c r="AW22" s="2">
        <v>5302.3050000000003</v>
      </c>
      <c r="AX22" s="2">
        <v>29262.71</v>
      </c>
      <c r="AY22" s="15"/>
      <c r="AZ22" s="2">
        <v>254.333</v>
      </c>
      <c r="BA22" s="2">
        <v>549.09299999999996</v>
      </c>
      <c r="BB22" s="2">
        <v>236.19900000000001</v>
      </c>
      <c r="BC22" s="2">
        <v>785.29200000000003</v>
      </c>
      <c r="BD22" s="2">
        <v>-587.49099999999999</v>
      </c>
      <c r="BE22" s="2">
        <v>-55.444000000000003</v>
      </c>
      <c r="BF22" s="2">
        <v>0</v>
      </c>
      <c r="BG22" s="2">
        <v>276.07</v>
      </c>
      <c r="BH22" s="2">
        <v>351.4151</v>
      </c>
      <c r="BI22" s="2">
        <v>1391.04</v>
      </c>
      <c r="BJ22" s="2">
        <v>-510.52499999999998</v>
      </c>
      <c r="BK22" s="2">
        <v>0</v>
      </c>
      <c r="BL22" s="2">
        <v>-1.3959999999999999</v>
      </c>
      <c r="BM22" s="2">
        <v>0</v>
      </c>
      <c r="BN22" s="2">
        <v>0</v>
      </c>
      <c r="BO22" s="2">
        <v>0</v>
      </c>
      <c r="BP22" s="2">
        <v>-48.625</v>
      </c>
      <c r="BQ22" s="2">
        <v>-560.54600000000005</v>
      </c>
      <c r="BR22" s="2">
        <v>-221.31100000000001</v>
      </c>
      <c r="BS22" s="2">
        <v>0</v>
      </c>
      <c r="BT22" s="2">
        <v>-221.31100000000001</v>
      </c>
      <c r="BU22" s="2">
        <v>94.929000000000002</v>
      </c>
      <c r="BV22" s="2">
        <v>94.929000000000002</v>
      </c>
      <c r="BW22" s="2">
        <v>0</v>
      </c>
      <c r="BX22" s="2">
        <v>42.1</v>
      </c>
      <c r="BY22" s="2">
        <v>-84.281999999999996</v>
      </c>
      <c r="BZ22" s="2">
        <v>739.721</v>
      </c>
      <c r="CA22" s="2">
        <v>205.017</v>
      </c>
      <c r="CB22" s="2">
        <v>0</v>
      </c>
      <c r="CC22" s="15"/>
      <c r="CD22" s="2">
        <v>0.81030000000000002</v>
      </c>
      <c r="CE22" s="2">
        <v>0.64590000000000003</v>
      </c>
      <c r="CF22" s="2">
        <v>2.2214999999999998</v>
      </c>
      <c r="CG22" s="2">
        <v>22.332899999999999</v>
      </c>
      <c r="CH22" s="2">
        <v>6.0960999999999999</v>
      </c>
      <c r="CI22" s="2">
        <v>6.0960999999999999</v>
      </c>
      <c r="CJ22" s="2"/>
      <c r="CK22" s="2">
        <v>3.9712999999999998</v>
      </c>
      <c r="CL22" s="2">
        <v>4.5574000000000003</v>
      </c>
      <c r="CM22" s="2">
        <v>0.23319999999999999</v>
      </c>
      <c r="CN22" s="2">
        <v>1.5992</v>
      </c>
      <c r="CO22" s="2">
        <v>5.9081999999999999</v>
      </c>
      <c r="CP22" s="2">
        <v>15.233000000000001</v>
      </c>
      <c r="CQ22" s="2">
        <v>4.7904</v>
      </c>
      <c r="CR22" s="2">
        <v>5.1359000000000004</v>
      </c>
      <c r="CS22" s="2">
        <v>0.86799999999999999</v>
      </c>
      <c r="CT22" s="2">
        <v>1.6961999999999999</v>
      </c>
      <c r="CU22" s="2">
        <v>2.0602</v>
      </c>
      <c r="CV22" s="2">
        <v>0.53029999999999999</v>
      </c>
      <c r="CW22" s="2">
        <v>0.36149999999999999</v>
      </c>
    </row>
    <row r="23" spans="1:101" x14ac:dyDescent="0.25">
      <c r="A23" s="9">
        <v>43281</v>
      </c>
      <c r="B23" s="26" t="str">
        <f t="shared" si="0"/>
        <v>Q2 2018</v>
      </c>
      <c r="C23" s="15"/>
      <c r="D23" s="2">
        <v>4002.2310000000002</v>
      </c>
      <c r="E23" s="23">
        <f t="shared" si="1"/>
        <v>0.17410482607852562</v>
      </c>
      <c r="F23" s="2">
        <v>3383.3009999999999</v>
      </c>
      <c r="G23" s="2">
        <v>618.92989999999998</v>
      </c>
      <c r="H23" s="2">
        <v>386.12900000000002</v>
      </c>
      <c r="I23" s="2">
        <v>750.75900000000001</v>
      </c>
      <c r="J23" s="2"/>
      <c r="K23" s="2">
        <v>1240.3219999999999</v>
      </c>
      <c r="L23" s="2">
        <v>-621.39210000000003</v>
      </c>
      <c r="M23" s="2">
        <v>-107.607</v>
      </c>
      <c r="N23" s="2">
        <v>-728.99900000000002</v>
      </c>
      <c r="O23" s="2">
        <v>13.707000000000001</v>
      </c>
      <c r="P23" s="2">
        <v>-742.70600000000002</v>
      </c>
      <c r="Q23" s="2"/>
      <c r="R23" s="2">
        <v>-742.70600000000002</v>
      </c>
      <c r="S23" s="2"/>
      <c r="T23" s="2">
        <v>-717.53899999999999</v>
      </c>
      <c r="U23" s="2">
        <v>-101.06310000000001</v>
      </c>
      <c r="V23" s="2">
        <v>-621.39210000000003</v>
      </c>
      <c r="W23" s="2">
        <v>2549.9549999999999</v>
      </c>
      <c r="X23" s="2">
        <v>2549.9549999999999</v>
      </c>
      <c r="Y23" s="2">
        <v>-0.28129999999999999</v>
      </c>
      <c r="Z23" s="2">
        <v>-0.28129999999999999</v>
      </c>
      <c r="AA23" s="5"/>
      <c r="AB23" s="2">
        <v>2383.2460000000001</v>
      </c>
      <c r="AC23" s="2">
        <v>569.87400000000002</v>
      </c>
      <c r="AD23" s="2">
        <v>3324.643</v>
      </c>
      <c r="AE23" s="2">
        <v>422.03399999999999</v>
      </c>
      <c r="AF23" s="2"/>
      <c r="AG23" s="2">
        <v>6699.7969999999996</v>
      </c>
      <c r="AH23" s="2">
        <v>10969.35</v>
      </c>
      <c r="AI23" s="2"/>
      <c r="AJ23" s="2">
        <v>364.69</v>
      </c>
      <c r="AK23" s="2">
        <v>7159.277</v>
      </c>
      <c r="AL23" s="2">
        <v>21210.2</v>
      </c>
      <c r="AM23" s="2">
        <v>27910</v>
      </c>
      <c r="AN23" s="2">
        <v>9141.3619999999992</v>
      </c>
      <c r="AO23" s="2">
        <v>9513.2900000000009</v>
      </c>
      <c r="AP23" s="2">
        <v>3192.415</v>
      </c>
      <c r="AQ23" s="2">
        <v>14041.06</v>
      </c>
      <c r="AR23" s="2">
        <v>23182.42</v>
      </c>
      <c r="AS23" s="2">
        <v>0.17</v>
      </c>
      <c r="AT23" s="2">
        <v>-5768.8310000000001</v>
      </c>
      <c r="AU23" s="2">
        <v>18.545000000000002</v>
      </c>
      <c r="AV23" s="2"/>
      <c r="AW23" s="2">
        <v>4727.5770000000002</v>
      </c>
      <c r="AX23" s="2">
        <v>27910</v>
      </c>
      <c r="AY23" s="15"/>
      <c r="AZ23" s="2">
        <v>-742.70600000000002</v>
      </c>
      <c r="BA23" s="2">
        <v>520.32899999999995</v>
      </c>
      <c r="BB23" s="2">
        <v>259.702</v>
      </c>
      <c r="BC23" s="2">
        <v>780.03089999999997</v>
      </c>
      <c r="BD23" s="2">
        <v>70.632999999999996</v>
      </c>
      <c r="BE23" s="2">
        <v>-733.47500000000002</v>
      </c>
      <c r="BF23" s="2">
        <v>0</v>
      </c>
      <c r="BG23" s="2">
        <v>-95.884</v>
      </c>
      <c r="BH23" s="2">
        <v>-166.98910000000001</v>
      </c>
      <c r="BI23" s="2">
        <v>-129.66399999999999</v>
      </c>
      <c r="BJ23" s="2">
        <v>-609.81299999999999</v>
      </c>
      <c r="BK23" s="2">
        <v>0</v>
      </c>
      <c r="BL23" s="2">
        <v>-5.6040000000000001</v>
      </c>
      <c r="BM23" s="2">
        <v>0</v>
      </c>
      <c r="BN23" s="2">
        <v>0</v>
      </c>
      <c r="BO23" s="2">
        <v>0</v>
      </c>
      <c r="BP23" s="2">
        <v>-67.400000000000006</v>
      </c>
      <c r="BQ23" s="2">
        <v>-682.81700000000001</v>
      </c>
      <c r="BR23" s="2">
        <v>245.59710000000001</v>
      </c>
      <c r="BS23" s="2">
        <v>0</v>
      </c>
      <c r="BT23" s="2">
        <v>245.59710000000001</v>
      </c>
      <c r="BU23" s="2">
        <v>31.053000000000001</v>
      </c>
      <c r="BV23" s="2">
        <v>31.053000000000001</v>
      </c>
      <c r="BW23" s="2">
        <v>0</v>
      </c>
      <c r="BX23" s="2">
        <v>121.97199999999999</v>
      </c>
      <c r="BY23" s="2">
        <v>398.62200000000001</v>
      </c>
      <c r="BZ23" s="2">
        <v>-436.47</v>
      </c>
      <c r="CA23" s="2">
        <v>197.34399999999999</v>
      </c>
      <c r="CB23" s="2">
        <v>0</v>
      </c>
      <c r="CC23" s="15"/>
      <c r="CD23" s="2">
        <v>0.7329</v>
      </c>
      <c r="CE23" s="2">
        <v>0.66800000000000004</v>
      </c>
      <c r="CF23" s="2">
        <v>2.4571999999999998</v>
      </c>
      <c r="CG23" s="2">
        <v>15.464600000000001</v>
      </c>
      <c r="CH23" s="2">
        <v>-15.5261</v>
      </c>
      <c r="CI23" s="2">
        <v>-15.5261</v>
      </c>
      <c r="CJ23" s="2"/>
      <c r="CK23" s="2">
        <v>-18.2148</v>
      </c>
      <c r="CL23" s="2">
        <v>-17.9285</v>
      </c>
      <c r="CM23" s="2">
        <v>0.1434</v>
      </c>
      <c r="CN23" s="2">
        <v>1.0176000000000001</v>
      </c>
      <c r="CO23" s="2">
        <v>7.0229999999999997</v>
      </c>
      <c r="CP23" s="2">
        <v>12.815</v>
      </c>
      <c r="CQ23" s="2">
        <v>-15.710100000000001</v>
      </c>
      <c r="CR23" s="2">
        <v>-17.023299999999999</v>
      </c>
      <c r="CS23" s="2">
        <v>-2.6610999999999998</v>
      </c>
      <c r="CT23" s="2">
        <v>-5.2153</v>
      </c>
      <c r="CU23" s="2">
        <v>1.8483000000000001</v>
      </c>
      <c r="CV23" s="2">
        <v>-5.0099999999999999E-2</v>
      </c>
      <c r="CW23" s="2">
        <v>-0.28799999999999998</v>
      </c>
    </row>
    <row r="24" spans="1:101" x14ac:dyDescent="0.25">
      <c r="A24" s="9">
        <v>43190</v>
      </c>
      <c r="B24" s="26" t="str">
        <f t="shared" si="0"/>
        <v>Q1 2018</v>
      </c>
      <c r="C24" s="15"/>
      <c r="D24" s="2">
        <v>3408.7510000000002</v>
      </c>
      <c r="E24" s="23">
        <f t="shared" si="1"/>
        <v>3.6567443079654316E-2</v>
      </c>
      <c r="F24" s="2">
        <v>2952.2249999999999</v>
      </c>
      <c r="G24" s="2">
        <v>456.52589999999998</v>
      </c>
      <c r="H24" s="2">
        <v>367.096</v>
      </c>
      <c r="I24" s="2">
        <v>686.404</v>
      </c>
      <c r="J24" s="2"/>
      <c r="K24" s="2">
        <v>1053.5</v>
      </c>
      <c r="L24" s="2">
        <v>-596.97410000000002</v>
      </c>
      <c r="M24" s="2">
        <v>-182.048</v>
      </c>
      <c r="N24" s="2">
        <v>-779.02200000000005</v>
      </c>
      <c r="O24" s="2">
        <v>5.6050000000000004</v>
      </c>
      <c r="P24" s="2">
        <v>-784.62699999999995</v>
      </c>
      <c r="Q24" s="2"/>
      <c r="R24" s="2">
        <v>-784.62699999999995</v>
      </c>
      <c r="S24" s="2"/>
      <c r="T24" s="2">
        <v>-709.55100000000004</v>
      </c>
      <c r="U24" s="2">
        <v>-141.39609999999999</v>
      </c>
      <c r="V24" s="2">
        <v>-596.97410000000002</v>
      </c>
      <c r="W24" s="2">
        <v>2537.19</v>
      </c>
      <c r="X24" s="2">
        <v>2537.19</v>
      </c>
      <c r="Y24" s="2">
        <v>-0.27929999999999999</v>
      </c>
      <c r="Z24" s="2">
        <v>-0.27929999999999999</v>
      </c>
      <c r="AA24" s="5"/>
      <c r="AB24" s="2">
        <v>2785.8670000000002</v>
      </c>
      <c r="AC24" s="2">
        <v>652.84799999999996</v>
      </c>
      <c r="AD24" s="2">
        <v>2565.826</v>
      </c>
      <c r="AE24" s="2">
        <v>379.37900000000002</v>
      </c>
      <c r="AF24" s="2"/>
      <c r="AG24" s="2">
        <v>6383.92</v>
      </c>
      <c r="AH24" s="2">
        <v>10519.23</v>
      </c>
      <c r="AI24" s="2"/>
      <c r="AJ24" s="2">
        <v>407.71199999999999</v>
      </c>
      <c r="AK24" s="2">
        <v>7195.6930000000002</v>
      </c>
      <c r="AL24" s="2">
        <v>20887.509999999998</v>
      </c>
      <c r="AM24" s="2">
        <v>27271.43</v>
      </c>
      <c r="AN24" s="2">
        <v>8650.3590000000004</v>
      </c>
      <c r="AO24" s="2">
        <v>8763.6280000000006</v>
      </c>
      <c r="AP24" s="2">
        <v>3318.7860000000001</v>
      </c>
      <c r="AQ24" s="2">
        <v>13306.5</v>
      </c>
      <c r="AR24" s="2">
        <v>21956.86</v>
      </c>
      <c r="AS24" s="2">
        <v>0.17</v>
      </c>
      <c r="AT24" s="2">
        <v>-5051.2920000000004</v>
      </c>
      <c r="AU24" s="2">
        <v>82.921000000000006</v>
      </c>
      <c r="AV24" s="2"/>
      <c r="AW24" s="2">
        <v>5314.5709999999999</v>
      </c>
      <c r="AX24" s="2">
        <v>27271.43</v>
      </c>
      <c r="AY24" s="15"/>
      <c r="AZ24" s="2">
        <v>-784.62699999999995</v>
      </c>
      <c r="BA24" s="2">
        <v>455.57799999999997</v>
      </c>
      <c r="BB24" s="2">
        <v>256.09899999999999</v>
      </c>
      <c r="BC24" s="2">
        <v>711.6771</v>
      </c>
      <c r="BD24" s="2">
        <v>-169.142</v>
      </c>
      <c r="BE24" s="2">
        <v>-322.08100000000002</v>
      </c>
      <c r="BF24" s="2"/>
      <c r="BG24" s="2">
        <v>-152.18600000000001</v>
      </c>
      <c r="BH24" s="2">
        <v>-325.42599999999999</v>
      </c>
      <c r="BI24" s="2">
        <v>-398.37599999999998</v>
      </c>
      <c r="BJ24" s="2">
        <v>-655.66200000000003</v>
      </c>
      <c r="BK24" s="2"/>
      <c r="BL24" s="2"/>
      <c r="BM24" s="2"/>
      <c r="BN24" s="2"/>
      <c r="BO24" s="2"/>
      <c r="BP24" s="2">
        <v>-72.974999999999994</v>
      </c>
      <c r="BQ24" s="2">
        <v>-728.63699999999994</v>
      </c>
      <c r="BR24" s="2">
        <v>262.71390000000002</v>
      </c>
      <c r="BS24" s="2"/>
      <c r="BT24" s="2">
        <v>262.71390000000002</v>
      </c>
      <c r="BU24" s="2">
        <v>94.018000000000001</v>
      </c>
      <c r="BV24" s="2">
        <v>94.018000000000001</v>
      </c>
      <c r="BW24" s="2"/>
      <c r="BX24" s="2">
        <v>14.928000000000001</v>
      </c>
      <c r="BY24" s="2">
        <v>371.66</v>
      </c>
      <c r="BZ24" s="2">
        <v>-745.25099999999998</v>
      </c>
      <c r="CA24" s="2">
        <v>141.63900000000001</v>
      </c>
      <c r="CB24" s="2"/>
      <c r="CC24" s="15"/>
      <c r="CD24" s="2">
        <v>0.73799999999999999</v>
      </c>
      <c r="CE24" s="2">
        <v>0.62250000000000005</v>
      </c>
      <c r="CF24" s="2">
        <v>2.0249000000000001</v>
      </c>
      <c r="CG24" s="2">
        <v>13.392799999999999</v>
      </c>
      <c r="CH24" s="2">
        <v>-17.513000000000002</v>
      </c>
      <c r="CI24" s="2">
        <v>-17.513000000000002</v>
      </c>
      <c r="CJ24" s="2"/>
      <c r="CK24" s="2">
        <v>-22.8536</v>
      </c>
      <c r="CL24" s="2">
        <v>-20.8156</v>
      </c>
      <c r="CM24" s="2">
        <v>0.125</v>
      </c>
      <c r="CN24" s="2">
        <v>1.1506000000000001</v>
      </c>
      <c r="CO24" s="2">
        <v>5.2214</v>
      </c>
      <c r="CP24" s="2">
        <v>17.236899999999999</v>
      </c>
      <c r="CQ24" s="2">
        <v>-14.7637</v>
      </c>
      <c r="CR24" s="2">
        <v>-15.990399999999999</v>
      </c>
      <c r="CS24" s="2">
        <v>-2.8771</v>
      </c>
      <c r="CT24" s="2">
        <v>-5.5732999999999997</v>
      </c>
      <c r="CU24" s="2">
        <v>2.0872000000000002</v>
      </c>
      <c r="CV24" s="2">
        <v>-0.157</v>
      </c>
      <c r="CW24" s="2">
        <v>-0.41539999999999999</v>
      </c>
    </row>
    <row r="25" spans="1:101" x14ac:dyDescent="0.25">
      <c r="A25" s="9">
        <v>43100</v>
      </c>
      <c r="B25" s="26" t="str">
        <f t="shared" si="0"/>
        <v>Q4 2017</v>
      </c>
      <c r="C25" s="15"/>
      <c r="D25" s="2">
        <v>3288.4989999999998</v>
      </c>
      <c r="E25" s="23">
        <f t="shared" si="1"/>
        <v>0.10179466776114632</v>
      </c>
      <c r="F25" s="2">
        <v>2849.1990000000001</v>
      </c>
      <c r="G25" s="2">
        <v>439.2996</v>
      </c>
      <c r="H25" s="2">
        <v>354.56389999999999</v>
      </c>
      <c r="I25" s="2">
        <v>682.78989999999999</v>
      </c>
      <c r="J25" s="2"/>
      <c r="K25" s="2">
        <v>1037.354</v>
      </c>
      <c r="L25" s="2">
        <v>-598.05439999999999</v>
      </c>
      <c r="M25" s="2">
        <v>-181.81399999999999</v>
      </c>
      <c r="N25" s="2">
        <v>-779.86900000000003</v>
      </c>
      <c r="O25" s="2">
        <v>-8.64</v>
      </c>
      <c r="P25" s="2">
        <v>-771.22889999999995</v>
      </c>
      <c r="Q25" s="2"/>
      <c r="R25" s="2">
        <v>-771.22889999999995</v>
      </c>
      <c r="S25" s="2"/>
      <c r="T25" s="2">
        <v>-675.95010000000002</v>
      </c>
      <c r="U25" s="2">
        <v>-98.064499999999995</v>
      </c>
      <c r="V25" s="2">
        <v>-598.05470000000003</v>
      </c>
      <c r="W25" s="2">
        <v>2490</v>
      </c>
      <c r="X25" s="2">
        <v>2490</v>
      </c>
      <c r="Y25" s="2">
        <v>-0.27</v>
      </c>
      <c r="Z25" s="2">
        <v>-0.27</v>
      </c>
      <c r="AA25" s="5"/>
      <c r="AB25" s="2">
        <v>3523.2370000000001</v>
      </c>
      <c r="AC25" s="2">
        <v>515.38099999999997</v>
      </c>
      <c r="AD25" s="2">
        <v>2263.5369999999998</v>
      </c>
      <c r="AE25" s="2">
        <v>268.36500000000001</v>
      </c>
      <c r="AF25" s="2"/>
      <c r="AG25" s="2">
        <v>6570.52</v>
      </c>
      <c r="AH25" s="2">
        <v>10027.52</v>
      </c>
      <c r="AI25" s="2"/>
      <c r="AJ25" s="2">
        <v>421.73899999999998</v>
      </c>
      <c r="AK25" s="2">
        <v>7062.335</v>
      </c>
      <c r="AL25" s="2">
        <v>22084.85</v>
      </c>
      <c r="AM25" s="2">
        <v>28655.37</v>
      </c>
      <c r="AN25" s="2">
        <v>7674.67</v>
      </c>
      <c r="AO25" s="2">
        <v>9418.39</v>
      </c>
      <c r="AP25" s="2">
        <v>4752.192</v>
      </c>
      <c r="AQ25" s="2">
        <v>15746.12</v>
      </c>
      <c r="AR25" s="2">
        <v>23420.78</v>
      </c>
      <c r="AS25" s="2">
        <v>0.16900000000000001</v>
      </c>
      <c r="AT25" s="2">
        <v>-4974.299</v>
      </c>
      <c r="AU25" s="2">
        <v>33.347999999999999</v>
      </c>
      <c r="AV25" s="2"/>
      <c r="AW25" s="2">
        <v>5234.5879999999997</v>
      </c>
      <c r="AX25" s="2">
        <v>28655.37</v>
      </c>
      <c r="AY25" s="15"/>
      <c r="AZ25" s="2">
        <v>-771.22900000000004</v>
      </c>
      <c r="BA25" s="2">
        <v>499.99</v>
      </c>
      <c r="BB25" s="2">
        <v>284.14299999999997</v>
      </c>
      <c r="BC25" s="2">
        <v>784.13300000000004</v>
      </c>
      <c r="BD25" s="2">
        <v>80.643000000000001</v>
      </c>
      <c r="BE25" s="2">
        <v>239.97</v>
      </c>
      <c r="BF25" s="2">
        <v>0</v>
      </c>
      <c r="BG25" s="2">
        <v>-41.646000000000001</v>
      </c>
      <c r="BH25" s="2">
        <v>496.64100000000002</v>
      </c>
      <c r="BI25" s="2">
        <v>509.54500000000002</v>
      </c>
      <c r="BJ25" s="2">
        <v>-786.87400000000002</v>
      </c>
      <c r="BK25" s="2">
        <v>0</v>
      </c>
      <c r="BL25" s="2">
        <v>-5.8529999999999998</v>
      </c>
      <c r="BM25" s="2">
        <v>0</v>
      </c>
      <c r="BN25" s="2">
        <v>0</v>
      </c>
      <c r="BO25" s="2">
        <v>0</v>
      </c>
      <c r="BP25" s="2">
        <v>-118.91500000000001</v>
      </c>
      <c r="BQ25" s="2">
        <v>-911.64200000000005</v>
      </c>
      <c r="BR25" s="2">
        <v>58.396999999999998</v>
      </c>
      <c r="BS25" s="2">
        <v>0</v>
      </c>
      <c r="BT25" s="2">
        <v>58.396999999999998</v>
      </c>
      <c r="BU25" s="2">
        <v>9.1519999999999992</v>
      </c>
      <c r="BV25" s="2">
        <v>9.1519999999999992</v>
      </c>
      <c r="BW25" s="2">
        <v>0</v>
      </c>
      <c r="BX25" s="2">
        <v>218.429</v>
      </c>
      <c r="BY25" s="2">
        <v>285.97800000000001</v>
      </c>
      <c r="BZ25" s="2">
        <v>-111.855</v>
      </c>
      <c r="CA25" s="2">
        <v>134.58799999999999</v>
      </c>
      <c r="CB25" s="2">
        <v>0</v>
      </c>
      <c r="CC25" s="15"/>
      <c r="CD25" s="2">
        <v>0.85609999999999997</v>
      </c>
      <c r="CE25" s="2">
        <v>0.64280000000000004</v>
      </c>
      <c r="CF25" s="2">
        <v>1.9704999999999999</v>
      </c>
      <c r="CG25" s="2">
        <v>13.358700000000001</v>
      </c>
      <c r="CH25" s="2">
        <v>-18.186199999999999</v>
      </c>
      <c r="CI25" s="2">
        <v>-18.186299999999999</v>
      </c>
      <c r="CJ25" s="2"/>
      <c r="CK25" s="2">
        <v>-23.7151</v>
      </c>
      <c r="CL25" s="2">
        <v>-20.555</v>
      </c>
      <c r="CM25" s="2">
        <v>0.1148</v>
      </c>
      <c r="CN25" s="2">
        <v>1.2586999999999999</v>
      </c>
      <c r="CO25" s="2">
        <v>6.3807</v>
      </c>
      <c r="CP25" s="2">
        <v>14.105</v>
      </c>
      <c r="CQ25" s="2">
        <v>-14.7333</v>
      </c>
      <c r="CR25" s="2">
        <v>-16.0244</v>
      </c>
      <c r="CS25" s="2">
        <v>-2.6913999999999998</v>
      </c>
      <c r="CT25" s="2">
        <v>-5.2633000000000001</v>
      </c>
      <c r="CU25" s="2">
        <v>2.0674000000000001</v>
      </c>
      <c r="CV25" s="2">
        <v>0.2029</v>
      </c>
      <c r="CW25" s="2">
        <v>-0.12130000000000001</v>
      </c>
    </row>
    <row r="26" spans="1:101" x14ac:dyDescent="0.25">
      <c r="A26" s="9">
        <v>43008</v>
      </c>
      <c r="B26" s="26" t="str">
        <f t="shared" si="0"/>
        <v>Q3 2017</v>
      </c>
      <c r="C26" s="15"/>
      <c r="D26" s="2">
        <v>2984.6750000000002</v>
      </c>
      <c r="E26" s="23">
        <f t="shared" si="1"/>
        <v>6.9945873126091573E-2</v>
      </c>
      <c r="F26" s="2">
        <v>2535.5349999999999</v>
      </c>
      <c r="G26" s="2">
        <v>449.13990000000001</v>
      </c>
      <c r="H26" s="2">
        <v>331.62200000000001</v>
      </c>
      <c r="I26" s="2">
        <v>652.99800000000005</v>
      </c>
      <c r="J26" s="2"/>
      <c r="K26" s="2">
        <v>984.62</v>
      </c>
      <c r="L26" s="2">
        <v>-535.48019999999997</v>
      </c>
      <c r="M26" s="2">
        <v>-135.96799999999999</v>
      </c>
      <c r="N26" s="2">
        <v>-671.44799999999998</v>
      </c>
      <c r="O26" s="2">
        <v>-0.28499999999999998</v>
      </c>
      <c r="P26" s="2">
        <v>-671.16300000000001</v>
      </c>
      <c r="Q26" s="2"/>
      <c r="R26" s="2">
        <v>-671.16300000000001</v>
      </c>
      <c r="S26" s="2"/>
      <c r="T26" s="2">
        <v>-619.37599999999998</v>
      </c>
      <c r="U26" s="2">
        <v>-141.6482</v>
      </c>
      <c r="V26" s="2">
        <v>-535.48019999999997</v>
      </c>
      <c r="W26" s="2">
        <v>2509.41</v>
      </c>
      <c r="X26" s="2">
        <v>2509.41</v>
      </c>
      <c r="Y26" s="2">
        <v>-0.2467</v>
      </c>
      <c r="Z26" s="2">
        <v>-0.2467</v>
      </c>
      <c r="AA26" s="5"/>
      <c r="AB26" s="2">
        <v>3668.2109999999998</v>
      </c>
      <c r="AC26" s="2">
        <v>607.73400000000004</v>
      </c>
      <c r="AD26" s="2">
        <v>2471.3820000000001</v>
      </c>
      <c r="AE26" s="2">
        <v>321.40600000000001</v>
      </c>
      <c r="AF26" s="2"/>
      <c r="AG26" s="2">
        <v>7068.7330000000002</v>
      </c>
      <c r="AH26" s="2">
        <v>9394.3970000000008</v>
      </c>
      <c r="AI26" s="2"/>
      <c r="AJ26" s="2">
        <v>417.47399999999999</v>
      </c>
      <c r="AK26" s="2">
        <v>6928.3580000000002</v>
      </c>
      <c r="AL26" s="2">
        <v>21038.34</v>
      </c>
      <c r="AM26" s="2">
        <v>28107.07</v>
      </c>
      <c r="AN26" s="2">
        <v>6468.94</v>
      </c>
      <c r="AO26" s="2">
        <v>9584.4539999999997</v>
      </c>
      <c r="AP26" s="2">
        <v>4793.1499999999996</v>
      </c>
      <c r="AQ26" s="2">
        <v>15863.42</v>
      </c>
      <c r="AR26" s="2">
        <v>22332.36</v>
      </c>
      <c r="AS26" s="2">
        <v>0.16800000000000001</v>
      </c>
      <c r="AT26" s="2">
        <v>-4298.96</v>
      </c>
      <c r="AU26" s="2">
        <v>21.25</v>
      </c>
      <c r="AV26" s="2"/>
      <c r="AW26" s="2">
        <v>5774.7169999999996</v>
      </c>
      <c r="AX26" s="2">
        <v>28107.07</v>
      </c>
      <c r="AY26" s="15"/>
      <c r="AZ26" s="2">
        <v>-671.16300000000001</v>
      </c>
      <c r="BA26" s="2">
        <v>393.83199999999999</v>
      </c>
      <c r="BB26" s="2">
        <v>226.53700000000001</v>
      </c>
      <c r="BC26" s="2">
        <v>620.36900000000003</v>
      </c>
      <c r="BD26" s="2">
        <v>-182.68600000000001</v>
      </c>
      <c r="BE26" s="2">
        <v>-25.268000000000001</v>
      </c>
      <c r="BF26" s="2">
        <v>0</v>
      </c>
      <c r="BG26" s="2">
        <v>-198.90600000000001</v>
      </c>
      <c r="BH26" s="2">
        <v>-249.768</v>
      </c>
      <c r="BI26" s="2">
        <v>-300.56200000000001</v>
      </c>
      <c r="BJ26" s="2">
        <v>-1116.434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-128.29300000000001</v>
      </c>
      <c r="BQ26" s="2">
        <v>-1244.7270000000001</v>
      </c>
      <c r="BR26" s="2">
        <v>2231.7370000000001</v>
      </c>
      <c r="BS26" s="2">
        <v>0</v>
      </c>
      <c r="BT26" s="2">
        <v>2231.7370000000001</v>
      </c>
      <c r="BU26" s="2">
        <v>69.069999999999993</v>
      </c>
      <c r="BV26" s="2">
        <v>69.069999999999993</v>
      </c>
      <c r="BW26" s="2">
        <v>0</v>
      </c>
      <c r="BX26" s="2">
        <v>-199.30099999999999</v>
      </c>
      <c r="BY26" s="2">
        <v>2101.5059999999999</v>
      </c>
      <c r="BZ26" s="2">
        <v>564.01700000000005</v>
      </c>
      <c r="CA26" s="2">
        <v>112.65300000000001</v>
      </c>
      <c r="CB26" s="2">
        <v>0</v>
      </c>
      <c r="CC26" s="15"/>
      <c r="CD26" s="2">
        <v>1.0927</v>
      </c>
      <c r="CE26" s="2">
        <v>0.624</v>
      </c>
      <c r="CF26" s="2">
        <v>1.7332000000000001</v>
      </c>
      <c r="CG26" s="2">
        <v>15.0482</v>
      </c>
      <c r="CH26" s="2">
        <v>-17.940999999999999</v>
      </c>
      <c r="CI26" s="2">
        <v>-17.940999999999999</v>
      </c>
      <c r="CJ26" s="2"/>
      <c r="CK26" s="2">
        <v>-22.496500000000001</v>
      </c>
      <c r="CL26" s="2">
        <v>-20.751899999999999</v>
      </c>
      <c r="CM26" s="2">
        <v>0.1062</v>
      </c>
      <c r="CN26" s="2">
        <v>1.026</v>
      </c>
      <c r="CO26" s="2">
        <v>4.9112</v>
      </c>
      <c r="CP26" s="2">
        <v>18.325600000000001</v>
      </c>
      <c r="CQ26" s="2">
        <v>-11.622400000000001</v>
      </c>
      <c r="CR26" s="2">
        <v>-12.5281</v>
      </c>
      <c r="CS26" s="2">
        <v>-2.3879000000000001</v>
      </c>
      <c r="CT26" s="2">
        <v>-4.3697999999999997</v>
      </c>
      <c r="CU26" s="2">
        <v>2.2913000000000001</v>
      </c>
      <c r="CV26" s="2">
        <v>-0.11849999999999999</v>
      </c>
      <c r="CW26" s="2">
        <v>-0.55579999999999996</v>
      </c>
    </row>
    <row r="27" spans="1:101" x14ac:dyDescent="0.25">
      <c r="A27" s="9">
        <v>42916</v>
      </c>
      <c r="B27" s="26" t="str">
        <f t="shared" si="0"/>
        <v>Q2 2017</v>
      </c>
      <c r="C27" s="15"/>
      <c r="D27" s="2">
        <v>2789.5569999999998</v>
      </c>
      <c r="E27" s="23">
        <f t="shared" si="1"/>
        <v>3.4598537980246702E-2</v>
      </c>
      <c r="F27" s="2">
        <v>2122.942</v>
      </c>
      <c r="G27" s="2">
        <v>666.61500000000001</v>
      </c>
      <c r="H27" s="2">
        <v>369.774</v>
      </c>
      <c r="I27" s="2">
        <v>537.75699999999995</v>
      </c>
      <c r="J27" s="2"/>
      <c r="K27" s="2">
        <v>907.53099999999995</v>
      </c>
      <c r="L27" s="2">
        <v>-240.916</v>
      </c>
      <c r="M27" s="2">
        <v>-144.864</v>
      </c>
      <c r="N27" s="2">
        <v>-385.78</v>
      </c>
      <c r="O27" s="2">
        <v>15.647</v>
      </c>
      <c r="P27" s="2">
        <v>-401.42700000000002</v>
      </c>
      <c r="Q27" s="2"/>
      <c r="R27" s="2">
        <v>-401.42700000000002</v>
      </c>
      <c r="S27" s="2"/>
      <c r="T27" s="2">
        <v>-336.39699999999999</v>
      </c>
      <c r="U27" s="2">
        <v>183.91300000000001</v>
      </c>
      <c r="V27" s="2">
        <v>-240.916</v>
      </c>
      <c r="W27" s="2">
        <v>2478.1799999999998</v>
      </c>
      <c r="X27" s="2">
        <v>2478.1799999999998</v>
      </c>
      <c r="Y27" s="2">
        <v>-0.13600000000000001</v>
      </c>
      <c r="Z27" s="2">
        <v>-0.13600000000000001</v>
      </c>
      <c r="AA27" s="5"/>
      <c r="AB27" s="2">
        <v>3154.2930000000001</v>
      </c>
      <c r="AC27" s="2">
        <v>453.53899999999999</v>
      </c>
      <c r="AD27" s="2">
        <v>2438.1109999999999</v>
      </c>
      <c r="AE27" s="2">
        <v>313.50099999999998</v>
      </c>
      <c r="AF27" s="2"/>
      <c r="AG27" s="2">
        <v>6359.4440000000004</v>
      </c>
      <c r="AH27" s="2">
        <v>8399.2289999999994</v>
      </c>
      <c r="AI27" s="2"/>
      <c r="AJ27" s="2">
        <v>424.613</v>
      </c>
      <c r="AK27" s="2">
        <v>6786.9350000000004</v>
      </c>
      <c r="AL27" s="2">
        <v>19684.259999999998</v>
      </c>
      <c r="AM27" s="2">
        <v>26043.71</v>
      </c>
      <c r="AN27" s="2">
        <v>6546.3549999999996</v>
      </c>
      <c r="AO27" s="2">
        <v>7126.9939999999997</v>
      </c>
      <c r="AP27" s="2">
        <v>4752.6620000000003</v>
      </c>
      <c r="AQ27" s="2">
        <v>13282.61</v>
      </c>
      <c r="AR27" s="2">
        <v>19828.97</v>
      </c>
      <c r="AS27" s="2">
        <v>0.16300000000000001</v>
      </c>
      <c r="AT27" s="2">
        <v>-3679.5839999999998</v>
      </c>
      <c r="AU27" s="2">
        <v>10.961</v>
      </c>
      <c r="AV27" s="2"/>
      <c r="AW27" s="2">
        <v>6214.7380000000003</v>
      </c>
      <c r="AX27" s="2">
        <v>26043.71</v>
      </c>
      <c r="AY27" s="15"/>
      <c r="AZ27" s="2">
        <v>-401.42700000000002</v>
      </c>
      <c r="BA27" s="2">
        <v>424.82900000000001</v>
      </c>
      <c r="BB27" s="2">
        <v>257.51900000000001</v>
      </c>
      <c r="BC27" s="2">
        <v>682.34799999999996</v>
      </c>
      <c r="BD27" s="2">
        <v>-14.497999999999999</v>
      </c>
      <c r="BE27" s="2">
        <v>-269.18799999999999</v>
      </c>
      <c r="BF27" s="2">
        <v>0</v>
      </c>
      <c r="BG27" s="2">
        <v>-208.11</v>
      </c>
      <c r="BH27" s="2">
        <v>-481.09300000000002</v>
      </c>
      <c r="BI27" s="2">
        <v>-200.172</v>
      </c>
      <c r="BJ27" s="2">
        <v>-959.06799999999998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-198.84399999999999</v>
      </c>
      <c r="BQ27" s="2">
        <v>-1157.912</v>
      </c>
      <c r="BR27" s="2">
        <v>156.69499999999999</v>
      </c>
      <c r="BS27" s="2">
        <v>0</v>
      </c>
      <c r="BT27" s="2">
        <v>156.69499999999999</v>
      </c>
      <c r="BU27" s="2">
        <v>-106.587</v>
      </c>
      <c r="BV27" s="2">
        <v>-106.587</v>
      </c>
      <c r="BW27" s="2">
        <v>0</v>
      </c>
      <c r="BX27" s="2">
        <v>378.65899999999999</v>
      </c>
      <c r="BY27" s="2">
        <v>428.767</v>
      </c>
      <c r="BZ27" s="2">
        <v>-913.024</v>
      </c>
      <c r="CA27" s="2">
        <v>116.042</v>
      </c>
      <c r="CB27" s="2">
        <v>0</v>
      </c>
      <c r="CC27" s="15"/>
      <c r="CD27" s="2">
        <v>0.97140000000000004</v>
      </c>
      <c r="CE27" s="2">
        <v>0.53420000000000001</v>
      </c>
      <c r="CF27" s="2">
        <v>1.2782</v>
      </c>
      <c r="CG27" s="2">
        <v>23.896799999999999</v>
      </c>
      <c r="CH27" s="2">
        <v>-8.6364000000000001</v>
      </c>
      <c r="CI27" s="2">
        <v>-8.6364000000000001</v>
      </c>
      <c r="CJ27" s="2"/>
      <c r="CK27" s="2">
        <v>-13.8294</v>
      </c>
      <c r="CL27" s="2">
        <v>-12.059200000000001</v>
      </c>
      <c r="CM27" s="2">
        <v>0.1071</v>
      </c>
      <c r="CN27" s="2">
        <v>0.87070000000000003</v>
      </c>
      <c r="CO27" s="2">
        <v>6.1505999999999998</v>
      </c>
      <c r="CP27" s="2">
        <v>14.6326</v>
      </c>
      <c r="CQ27" s="2">
        <v>-6.4592999999999998</v>
      </c>
      <c r="CR27" s="2">
        <v>-6.9329999999999998</v>
      </c>
      <c r="CS27" s="2">
        <v>-1.5414000000000001</v>
      </c>
      <c r="CT27" s="2">
        <v>-3.0087999999999999</v>
      </c>
      <c r="CU27" s="2">
        <v>2.4830000000000001</v>
      </c>
      <c r="CV27" s="2">
        <v>-8.0199999999999994E-2</v>
      </c>
      <c r="CW27" s="2">
        <v>-0.46300000000000002</v>
      </c>
    </row>
    <row r="28" spans="1:101" x14ac:dyDescent="0.25">
      <c r="A28" s="9">
        <v>42825</v>
      </c>
      <c r="B28" s="26" t="str">
        <f t="shared" si="0"/>
        <v>Q1 2017</v>
      </c>
      <c r="C28" s="15"/>
      <c r="D28" s="2">
        <v>2696.27</v>
      </c>
      <c r="E28" s="23">
        <f t="shared" si="1"/>
        <v>0.18017745535274621</v>
      </c>
      <c r="F28" s="2">
        <v>2028.3240000000001</v>
      </c>
      <c r="G28" s="2">
        <v>667.94600000000003</v>
      </c>
      <c r="H28" s="2">
        <v>322.04000000000002</v>
      </c>
      <c r="I28" s="2">
        <v>603.45500000000004</v>
      </c>
      <c r="J28" s="2"/>
      <c r="K28" s="2">
        <v>925.495</v>
      </c>
      <c r="L28" s="2">
        <v>-257.54910000000001</v>
      </c>
      <c r="M28" s="2">
        <v>-114.354</v>
      </c>
      <c r="N28" s="2">
        <v>-371.90300000000002</v>
      </c>
      <c r="O28" s="2">
        <v>25.277999999999999</v>
      </c>
      <c r="P28" s="2">
        <v>-397.18099999999998</v>
      </c>
      <c r="Q28" s="2"/>
      <c r="R28" s="2">
        <v>-397.18099999999998</v>
      </c>
      <c r="S28" s="2"/>
      <c r="T28" s="2">
        <v>-330.27699999999999</v>
      </c>
      <c r="U28" s="2">
        <v>150.79990000000001</v>
      </c>
      <c r="V28" s="2">
        <v>-257.54910000000001</v>
      </c>
      <c r="W28" s="2">
        <v>2431.9349999999999</v>
      </c>
      <c r="X28" s="2">
        <v>2431.9349999999999</v>
      </c>
      <c r="Y28" s="2">
        <v>-0.13600000000000001</v>
      </c>
      <c r="Z28" s="2">
        <v>-0.13600000000000001</v>
      </c>
      <c r="AA28" s="5"/>
      <c r="AB28" s="2">
        <v>4095.5390000000002</v>
      </c>
      <c r="AC28" s="2">
        <v>440.34899999999999</v>
      </c>
      <c r="AD28" s="2">
        <v>2220.3359999999998</v>
      </c>
      <c r="AE28" s="2">
        <v>271.66500000000002</v>
      </c>
      <c r="AF28" s="2"/>
      <c r="AG28" s="2">
        <v>7027.8890000000001</v>
      </c>
      <c r="AH28" s="2">
        <v>7016.5510000000004</v>
      </c>
      <c r="AI28" s="2"/>
      <c r="AJ28" s="2">
        <v>429.59199999999998</v>
      </c>
      <c r="AK28" s="2">
        <v>6640.7489999999998</v>
      </c>
      <c r="AL28" s="2">
        <v>18025.84</v>
      </c>
      <c r="AM28" s="2">
        <v>25053.73</v>
      </c>
      <c r="AN28" s="2">
        <v>6245.4390000000003</v>
      </c>
      <c r="AO28" s="2">
        <v>7166.1390000000001</v>
      </c>
      <c r="AP28" s="2">
        <v>4525.9799999999996</v>
      </c>
      <c r="AQ28" s="2">
        <v>13011.49</v>
      </c>
      <c r="AR28" s="2">
        <v>19256.93</v>
      </c>
      <c r="AS28" s="2">
        <v>0.161</v>
      </c>
      <c r="AT28" s="2">
        <v>-3343.1869999999999</v>
      </c>
      <c r="AU28" s="2">
        <v>-20.768999999999998</v>
      </c>
      <c r="AV28" s="2"/>
      <c r="AW28" s="2">
        <v>5796.7939999999999</v>
      </c>
      <c r="AX28" s="2">
        <v>25053.73</v>
      </c>
      <c r="AY28" s="15"/>
      <c r="AZ28" s="2">
        <v>-397.18099999999998</v>
      </c>
      <c r="BA28" s="2">
        <v>408.34899999999999</v>
      </c>
      <c r="BB28" s="2">
        <v>181.80099999999999</v>
      </c>
      <c r="BC28" s="2">
        <v>590.15</v>
      </c>
      <c r="BD28" s="2">
        <v>91.540999999999997</v>
      </c>
      <c r="BE28" s="2">
        <v>-124.514</v>
      </c>
      <c r="BF28" s="2"/>
      <c r="BG28" s="2">
        <v>-232.33799999999999</v>
      </c>
      <c r="BH28" s="2">
        <v>-262.77999999999997</v>
      </c>
      <c r="BI28" s="2">
        <v>-69.811000000000007</v>
      </c>
      <c r="BJ28" s="2">
        <v>-552.62400000000002</v>
      </c>
      <c r="BK28" s="2"/>
      <c r="BL28" s="2">
        <v>-109.14700000000001</v>
      </c>
      <c r="BM28" s="2"/>
      <c r="BN28" s="2"/>
      <c r="BO28" s="2"/>
      <c r="BP28" s="2">
        <v>-219.94800000000001</v>
      </c>
      <c r="BQ28" s="2">
        <v>-881.71900000000005</v>
      </c>
      <c r="BR28" s="2">
        <v>1021.171</v>
      </c>
      <c r="BS28" s="2"/>
      <c r="BT28" s="2">
        <v>1021.171</v>
      </c>
      <c r="BU28" s="2">
        <v>510.36500000000001</v>
      </c>
      <c r="BV28" s="2">
        <v>510.36500000000001</v>
      </c>
      <c r="BW28" s="2"/>
      <c r="BX28" s="2">
        <v>67.212999999999994</v>
      </c>
      <c r="BY28" s="2">
        <v>1598.749</v>
      </c>
      <c r="BZ28" s="2">
        <v>658.86199999999997</v>
      </c>
      <c r="CA28" s="2">
        <v>103.717</v>
      </c>
      <c r="CB28" s="2"/>
      <c r="CC28" s="15"/>
      <c r="CD28" s="2">
        <v>1.1253</v>
      </c>
      <c r="CE28" s="2">
        <v>0.55279999999999996</v>
      </c>
      <c r="CF28" s="2">
        <v>1.4093</v>
      </c>
      <c r="CG28" s="2">
        <v>24.773</v>
      </c>
      <c r="CH28" s="2">
        <v>-9.5520999999999994</v>
      </c>
      <c r="CI28" s="2">
        <v>-9.5520999999999994</v>
      </c>
      <c r="CJ28" s="2"/>
      <c r="CK28" s="2">
        <v>-13.793200000000001</v>
      </c>
      <c r="CL28" s="2">
        <v>-12.2494</v>
      </c>
      <c r="CM28" s="2">
        <v>0.1076</v>
      </c>
      <c r="CN28" s="2">
        <v>0.91349999999999998</v>
      </c>
      <c r="CO28" s="2">
        <v>6.1230000000000002</v>
      </c>
      <c r="CP28" s="2">
        <v>14.698600000000001</v>
      </c>
      <c r="CQ28" s="2">
        <v>-6.8517000000000001</v>
      </c>
      <c r="CR28" s="2">
        <v>-7.4001000000000001</v>
      </c>
      <c r="CS28" s="2">
        <v>-1.5852999999999999</v>
      </c>
      <c r="CT28" s="2">
        <v>-3.0640000000000001</v>
      </c>
      <c r="CU28" s="2">
        <v>2.3540999999999999</v>
      </c>
      <c r="CV28" s="2">
        <v>-2.87E-2</v>
      </c>
      <c r="CW28" s="2">
        <v>-0.25590000000000002</v>
      </c>
    </row>
    <row r="29" spans="1:101" x14ac:dyDescent="0.25">
      <c r="A29" s="9">
        <v>42735</v>
      </c>
      <c r="B29" s="26" t="str">
        <f t="shared" si="0"/>
        <v>Q4 2016</v>
      </c>
      <c r="C29" s="15"/>
      <c r="D29" s="2">
        <v>2284.6309999999999</v>
      </c>
      <c r="E29" s="23">
        <f t="shared" si="1"/>
        <v>-6.006258168598233E-3</v>
      </c>
      <c r="F29" s="2">
        <v>1849.3530000000001</v>
      </c>
      <c r="G29" s="2">
        <v>435.27800000000002</v>
      </c>
      <c r="H29" s="2">
        <v>245.96</v>
      </c>
      <c r="I29" s="2">
        <v>456.01600000000002</v>
      </c>
      <c r="J29" s="2"/>
      <c r="K29" s="2">
        <v>701.976</v>
      </c>
      <c r="L29" s="2">
        <v>-266.69819999999999</v>
      </c>
      <c r="M29" s="2">
        <v>58.298999999999999</v>
      </c>
      <c r="N29" s="2">
        <v>-208.399</v>
      </c>
      <c r="O29" s="2">
        <v>11.07</v>
      </c>
      <c r="P29" s="2">
        <v>-219.46899999999999</v>
      </c>
      <c r="Q29" s="2"/>
      <c r="R29" s="2">
        <v>-219.46899999999999</v>
      </c>
      <c r="S29" s="2"/>
      <c r="T29" s="2">
        <v>-121.337</v>
      </c>
      <c r="U29" s="2">
        <v>85.069800000000001</v>
      </c>
      <c r="V29" s="2">
        <v>-266.69839999999999</v>
      </c>
      <c r="W29" s="2">
        <v>2163.1799999999998</v>
      </c>
      <c r="X29" s="2">
        <v>2163.1799999999998</v>
      </c>
      <c r="Y29" s="2">
        <v>-4.07E-2</v>
      </c>
      <c r="Z29" s="2">
        <v>-0.04</v>
      </c>
      <c r="AA29" s="5"/>
      <c r="AB29" s="2">
        <v>3498.7350000000001</v>
      </c>
      <c r="AC29" s="2">
        <v>499.142</v>
      </c>
      <c r="AD29" s="2">
        <v>2067.4540000000002</v>
      </c>
      <c r="AE29" s="2">
        <v>194.465</v>
      </c>
      <c r="AF29" s="2"/>
      <c r="AG29" s="2">
        <v>6259.7960000000003</v>
      </c>
      <c r="AH29" s="2">
        <v>5982.9570000000003</v>
      </c>
      <c r="AI29" s="2"/>
      <c r="AJ29" s="2">
        <v>376.14499999999998</v>
      </c>
      <c r="AK29" s="2">
        <v>6404.7960000000003</v>
      </c>
      <c r="AL29" s="2">
        <v>16404.28</v>
      </c>
      <c r="AM29" s="2">
        <v>22664.080000000002</v>
      </c>
      <c r="AN29" s="2">
        <v>5827.0050000000001</v>
      </c>
      <c r="AO29" s="2">
        <v>5879.12</v>
      </c>
      <c r="AP29" s="2">
        <v>4201.0360000000001</v>
      </c>
      <c r="AQ29" s="2">
        <v>11298.98</v>
      </c>
      <c r="AR29" s="2">
        <v>17125.990000000002</v>
      </c>
      <c r="AS29" s="2">
        <v>0.161</v>
      </c>
      <c r="AT29" s="2">
        <v>-2997.2370000000001</v>
      </c>
      <c r="AU29" s="2">
        <v>-23.74</v>
      </c>
      <c r="AV29" s="2"/>
      <c r="AW29" s="2">
        <v>5538.0860000000002</v>
      </c>
      <c r="AX29" s="2">
        <v>22664.080000000002</v>
      </c>
      <c r="AY29" s="15"/>
      <c r="AZ29" s="2">
        <v>-219.46899999999999</v>
      </c>
      <c r="BA29" s="2">
        <v>351.76799999999997</v>
      </c>
      <c r="BB29" s="2">
        <v>-33.912999999999997</v>
      </c>
      <c r="BC29" s="2">
        <v>317.85500000000002</v>
      </c>
      <c r="BD29" s="2">
        <v>-106.05500000000001</v>
      </c>
      <c r="BE29" s="2">
        <v>-287.536</v>
      </c>
      <c r="BF29" s="2">
        <v>0</v>
      </c>
      <c r="BG29" s="2">
        <v>-206.11600000000001</v>
      </c>
      <c r="BH29" s="2">
        <v>-546.59500000000003</v>
      </c>
      <c r="BI29" s="2">
        <v>-448.209</v>
      </c>
      <c r="BJ29" s="2">
        <v>-521.61199999999997</v>
      </c>
      <c r="BK29" s="2">
        <v>0</v>
      </c>
      <c r="BL29" s="2">
        <v>342.71899999999999</v>
      </c>
      <c r="BM29" s="2">
        <v>0</v>
      </c>
      <c r="BN29" s="2">
        <v>0</v>
      </c>
      <c r="BO29" s="2">
        <v>0</v>
      </c>
      <c r="BP29" s="2">
        <v>-80.513000000000005</v>
      </c>
      <c r="BQ29" s="2">
        <v>-259.40600000000001</v>
      </c>
      <c r="BR29" s="2">
        <v>1184.164</v>
      </c>
      <c r="BS29" s="2">
        <v>0</v>
      </c>
      <c r="BT29" s="2">
        <v>1184.164</v>
      </c>
      <c r="BU29" s="2">
        <v>10.356</v>
      </c>
      <c r="BV29" s="2">
        <v>10.356</v>
      </c>
      <c r="BW29" s="2">
        <v>0</v>
      </c>
      <c r="BX29" s="2">
        <v>178.30699999999999</v>
      </c>
      <c r="BY29" s="2">
        <v>1372.827</v>
      </c>
      <c r="BZ29" s="2">
        <v>645.16</v>
      </c>
      <c r="CA29" s="2">
        <v>87.712999999999994</v>
      </c>
      <c r="CB29" s="2">
        <v>0</v>
      </c>
      <c r="CC29" s="15"/>
      <c r="CD29" s="2">
        <v>1.0743</v>
      </c>
      <c r="CE29" s="2">
        <v>0.51490000000000002</v>
      </c>
      <c r="CF29" s="2">
        <v>1.2693000000000001</v>
      </c>
      <c r="CG29" s="2">
        <v>19.052399999999999</v>
      </c>
      <c r="CH29" s="2">
        <v>-11.6736</v>
      </c>
      <c r="CI29" s="2">
        <v>-11.6736</v>
      </c>
      <c r="CJ29" s="2"/>
      <c r="CK29" s="2">
        <v>-9.1218000000000004</v>
      </c>
      <c r="CL29" s="2">
        <v>-5.3109999999999999</v>
      </c>
      <c r="CM29" s="2">
        <v>0.1008</v>
      </c>
      <c r="CN29" s="2">
        <v>0.89449999999999996</v>
      </c>
      <c r="CO29" s="2">
        <v>4.5770999999999997</v>
      </c>
      <c r="CP29" s="2">
        <v>19.663</v>
      </c>
      <c r="CQ29" s="2">
        <v>-3.9628999999999999</v>
      </c>
      <c r="CR29" s="2">
        <v>-4.2516999999999996</v>
      </c>
      <c r="CS29" s="2">
        <v>-0.96840000000000004</v>
      </c>
      <c r="CT29" s="2">
        <v>-1.9222999999999999</v>
      </c>
      <c r="CU29" s="2">
        <v>2.2852000000000001</v>
      </c>
      <c r="CV29" s="2">
        <v>-0.19500000000000001</v>
      </c>
      <c r="CW29" s="2">
        <v>-0.46460000000000001</v>
      </c>
    </row>
    <row r="30" spans="1:101" x14ac:dyDescent="0.25">
      <c r="A30" s="9">
        <v>42643</v>
      </c>
      <c r="B30" s="26" t="str">
        <f t="shared" si="0"/>
        <v>Q3 2016</v>
      </c>
      <c r="C30" s="15"/>
      <c r="D30" s="2">
        <v>2298.4360000000001</v>
      </c>
      <c r="E30" s="23">
        <f t="shared" si="1"/>
        <v>0.80976790074463567</v>
      </c>
      <c r="F30" s="2">
        <v>1661.701</v>
      </c>
      <c r="G30" s="2">
        <v>636.73500000000001</v>
      </c>
      <c r="H30" s="2">
        <v>214.30199999999999</v>
      </c>
      <c r="I30" s="2">
        <v>336.81099999999998</v>
      </c>
      <c r="J30" s="2"/>
      <c r="K30" s="2">
        <v>551.11300000000006</v>
      </c>
      <c r="L30" s="2">
        <v>85.622100000000003</v>
      </c>
      <c r="M30" s="2">
        <v>-55.610999999999997</v>
      </c>
      <c r="N30" s="2">
        <v>30.010999999999999</v>
      </c>
      <c r="O30" s="2">
        <v>8.1329999999999991</v>
      </c>
      <c r="P30" s="2">
        <v>21.878</v>
      </c>
      <c r="Q30" s="2"/>
      <c r="R30" s="2">
        <v>21.878</v>
      </c>
      <c r="S30" s="2"/>
      <c r="T30" s="2">
        <v>21.878</v>
      </c>
      <c r="U30" s="2">
        <v>394.25510000000003</v>
      </c>
      <c r="V30" s="2">
        <v>85.622100000000003</v>
      </c>
      <c r="W30" s="2">
        <v>2234.8649999999998</v>
      </c>
      <c r="X30" s="2">
        <v>2354.0250000000001</v>
      </c>
      <c r="Y30" s="2">
        <v>0.01</v>
      </c>
      <c r="Z30" s="2">
        <v>9.2999999999999992E-3</v>
      </c>
      <c r="AA30" s="5"/>
      <c r="AB30" s="2">
        <v>3107.9679999999998</v>
      </c>
      <c r="AC30" s="2">
        <v>326.89499999999998</v>
      </c>
      <c r="AD30" s="2">
        <v>1604.5709999999999</v>
      </c>
      <c r="AE30" s="2">
        <v>132.97800000000001</v>
      </c>
      <c r="AF30" s="2"/>
      <c r="AG30" s="2">
        <v>5172.4120000000003</v>
      </c>
      <c r="AH30" s="2">
        <v>4309.0479999999998</v>
      </c>
      <c r="AI30" s="2"/>
      <c r="AJ30" s="2"/>
      <c r="AK30" s="2">
        <v>161.63999999999999</v>
      </c>
      <c r="AL30" s="2">
        <v>7419.9849999999997</v>
      </c>
      <c r="AM30" s="2">
        <v>12592.4</v>
      </c>
      <c r="AN30" s="2">
        <v>4082.39</v>
      </c>
      <c r="AO30" s="2">
        <v>2454.69</v>
      </c>
      <c r="AP30" s="2">
        <v>2793.627</v>
      </c>
      <c r="AQ30" s="2">
        <v>5829.5190000000002</v>
      </c>
      <c r="AR30" s="2">
        <v>9911.9089999999997</v>
      </c>
      <c r="AS30" s="2">
        <v>0.15</v>
      </c>
      <c r="AT30" s="2">
        <v>-2875.9</v>
      </c>
      <c r="AU30" s="2">
        <v>25.31</v>
      </c>
      <c r="AV30" s="2"/>
      <c r="AW30" s="2">
        <v>2680.4879999999998</v>
      </c>
      <c r="AX30" s="2">
        <v>12592.4</v>
      </c>
      <c r="AY30" s="15"/>
      <c r="AZ30" s="2">
        <v>21.878</v>
      </c>
      <c r="BA30" s="2">
        <v>308.63299999999998</v>
      </c>
      <c r="BB30" s="2">
        <v>128.85900000000001</v>
      </c>
      <c r="BC30" s="2">
        <v>437.49200000000002</v>
      </c>
      <c r="BD30" s="2">
        <v>-109.084</v>
      </c>
      <c r="BE30" s="2">
        <v>872.6</v>
      </c>
      <c r="BF30" s="2">
        <v>0</v>
      </c>
      <c r="BG30" s="2">
        <v>-1283.816</v>
      </c>
      <c r="BH30" s="2">
        <v>-35.7209</v>
      </c>
      <c r="BI30" s="2">
        <v>423.649</v>
      </c>
      <c r="BJ30" s="2">
        <v>-247.61099999999999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-20.395</v>
      </c>
      <c r="BQ30" s="2">
        <v>-268.00599999999997</v>
      </c>
      <c r="BR30" s="2">
        <v>-361.54599999999999</v>
      </c>
      <c r="BS30" s="2">
        <v>0</v>
      </c>
      <c r="BT30" s="2">
        <v>-361.54599999999999</v>
      </c>
      <c r="BU30" s="2">
        <v>42.982999999999997</v>
      </c>
      <c r="BV30" s="2">
        <v>42.982999999999997</v>
      </c>
      <c r="BW30" s="2">
        <v>0</v>
      </c>
      <c r="BX30" s="2">
        <v>-2.3069999999999999</v>
      </c>
      <c r="BY30" s="2">
        <v>-320.87</v>
      </c>
      <c r="BZ30" s="2">
        <v>-162.04400000000001</v>
      </c>
      <c r="CA30" s="2">
        <v>89.543000000000006</v>
      </c>
      <c r="CB30" s="2">
        <v>0</v>
      </c>
      <c r="CC30" s="15"/>
      <c r="CD30" s="2">
        <v>1.2669999999999999</v>
      </c>
      <c r="CE30" s="2">
        <v>0.47799999999999998</v>
      </c>
      <c r="CF30" s="2">
        <v>1.0129999999999999</v>
      </c>
      <c r="CG30" s="2">
        <v>27.702999999999999</v>
      </c>
      <c r="CH30" s="2">
        <v>3.7252000000000001</v>
      </c>
      <c r="CI30" s="2">
        <v>3.7252000000000001</v>
      </c>
      <c r="CJ30" s="2"/>
      <c r="CK30" s="2">
        <v>1.3057000000000001</v>
      </c>
      <c r="CL30" s="2">
        <v>0.95189999999999997</v>
      </c>
      <c r="CM30" s="2">
        <v>0.1825</v>
      </c>
      <c r="CN30" s="2">
        <v>1.0356000000000001</v>
      </c>
      <c r="CO30" s="2">
        <v>7.0311000000000003</v>
      </c>
      <c r="CP30" s="2">
        <v>12.8003</v>
      </c>
      <c r="CQ30" s="2">
        <v>0.81620000000000004</v>
      </c>
      <c r="CR30" s="2">
        <v>0.81620000000000004</v>
      </c>
      <c r="CS30" s="2">
        <v>0.17369999999999999</v>
      </c>
      <c r="CT30" s="2">
        <v>0.42599999999999999</v>
      </c>
      <c r="CU30" s="2">
        <v>1.1927000000000001</v>
      </c>
      <c r="CV30" s="2">
        <v>0.18509999999999999</v>
      </c>
      <c r="CW30" s="2">
        <v>0.1062</v>
      </c>
    </row>
    <row r="31" spans="1:101" x14ac:dyDescent="0.25">
      <c r="A31" s="9">
        <v>42551</v>
      </c>
      <c r="B31" s="26" t="str">
        <f t="shared" si="0"/>
        <v>Q2 2016</v>
      </c>
      <c r="C31" s="15"/>
      <c r="D31" s="2">
        <v>1270.0170000000001</v>
      </c>
      <c r="E31" s="23">
        <f t="shared" si="1"/>
        <v>0.10720475516281791</v>
      </c>
      <c r="F31" s="2">
        <v>995.24099999999999</v>
      </c>
      <c r="G31" s="2">
        <v>274.77589999999998</v>
      </c>
      <c r="H31" s="2">
        <v>191.66399999999999</v>
      </c>
      <c r="I31" s="2">
        <v>321.15199999999999</v>
      </c>
      <c r="J31" s="2" t="s">
        <v>117</v>
      </c>
      <c r="K31" s="2" t="s">
        <v>118</v>
      </c>
      <c r="L31" s="2" t="s">
        <v>119</v>
      </c>
      <c r="M31" s="2">
        <v>-51.499000000000002</v>
      </c>
      <c r="N31" s="2">
        <v>-289.53899999999999</v>
      </c>
      <c r="O31" s="2">
        <v>3.649</v>
      </c>
      <c r="P31" s="2">
        <v>-293.18799999999999</v>
      </c>
      <c r="Q31" s="2"/>
      <c r="R31" s="2">
        <v>-293.18799999999999</v>
      </c>
      <c r="S31" s="2"/>
      <c r="T31" s="2">
        <v>-293.18799999999999</v>
      </c>
      <c r="U31" s="2">
        <v>-33.725099999999998</v>
      </c>
      <c r="V31" s="2">
        <v>-238.04</v>
      </c>
      <c r="W31" s="2">
        <v>2099.7449999999999</v>
      </c>
      <c r="X31" s="2">
        <v>2099.7449999999999</v>
      </c>
      <c r="Y31" s="2">
        <v>-0.13930000000000001</v>
      </c>
      <c r="Z31" s="2">
        <v>-0.13930000000000001</v>
      </c>
      <c r="AA31" s="5"/>
      <c r="AB31" s="2">
        <v>3270.826</v>
      </c>
      <c r="AC31" s="2">
        <v>178.59399999999999</v>
      </c>
      <c r="AD31" s="2">
        <v>1609.607</v>
      </c>
      <c r="AE31" s="2">
        <v>144.678</v>
      </c>
      <c r="AF31" s="2"/>
      <c r="AG31" s="2">
        <v>5203.7049999999999</v>
      </c>
      <c r="AH31" s="2">
        <v>3993.25</v>
      </c>
      <c r="AI31" s="2"/>
      <c r="AJ31" s="2"/>
      <c r="AK31" s="2">
        <v>138.27099999999999</v>
      </c>
      <c r="AL31" s="2">
        <v>6665.2470000000003</v>
      </c>
      <c r="AM31" s="2">
        <v>11868.95</v>
      </c>
      <c r="AN31" s="2">
        <v>3766.404</v>
      </c>
      <c r="AO31" s="2">
        <v>2657.1480000000001</v>
      </c>
      <c r="AP31" s="2">
        <v>2391.8530000000001</v>
      </c>
      <c r="AQ31" s="2">
        <v>5582.2539999999999</v>
      </c>
      <c r="AR31" s="2">
        <v>9348.6579999999994</v>
      </c>
      <c r="AS31" s="2">
        <v>0.14799999999999999</v>
      </c>
      <c r="AT31" s="2">
        <v>-2897.7779999999998</v>
      </c>
      <c r="AU31" s="2">
        <v>34.192999999999998</v>
      </c>
      <c r="AV31" s="2"/>
      <c r="AW31" s="2">
        <v>2520.2939999999999</v>
      </c>
      <c r="AX31" s="2">
        <v>11868.95</v>
      </c>
      <c r="AY31" s="15"/>
      <c r="AZ31" s="2">
        <v>-293.18799999999999</v>
      </c>
      <c r="BA31" s="2">
        <v>204.315</v>
      </c>
      <c r="BB31" s="2">
        <v>79.724999999999994</v>
      </c>
      <c r="BC31" s="2">
        <v>284.04000000000002</v>
      </c>
      <c r="BD31" s="2">
        <v>157.90100000000001</v>
      </c>
      <c r="BE31" s="2">
        <v>-705.26</v>
      </c>
      <c r="BF31" s="2">
        <v>0</v>
      </c>
      <c r="BG31" s="2">
        <v>554.48699999999997</v>
      </c>
      <c r="BH31" s="2">
        <v>159.48390000000001</v>
      </c>
      <c r="BI31" s="2">
        <v>150.33600000000001</v>
      </c>
      <c r="BJ31" s="2">
        <v>-294.72000000000003</v>
      </c>
      <c r="BK31" s="2">
        <v>0</v>
      </c>
      <c r="BL31" s="2">
        <v>0</v>
      </c>
      <c r="BM31" s="2">
        <v>16.667000000000002</v>
      </c>
      <c r="BN31" s="2">
        <v>0</v>
      </c>
      <c r="BO31" s="2">
        <v>16.667000000000002</v>
      </c>
      <c r="BP31" s="2">
        <v>-41.801000000000002</v>
      </c>
      <c r="BQ31" s="2">
        <v>-319.85399999999998</v>
      </c>
      <c r="BR31" s="2">
        <v>231.93700000000001</v>
      </c>
      <c r="BS31" s="2">
        <v>0</v>
      </c>
      <c r="BT31" s="2">
        <v>231.93700000000001</v>
      </c>
      <c r="BU31" s="2">
        <v>1759.374</v>
      </c>
      <c r="BV31" s="2">
        <v>1759.374</v>
      </c>
      <c r="BW31" s="2">
        <v>0</v>
      </c>
      <c r="BX31" s="2">
        <v>-14.727</v>
      </c>
      <c r="BY31" s="2">
        <v>1976.5840000000001</v>
      </c>
      <c r="BZ31" s="2">
        <v>1804.5119999999999</v>
      </c>
      <c r="CA31" s="2">
        <v>67.311000000000007</v>
      </c>
      <c r="CB31" s="2">
        <v>0</v>
      </c>
      <c r="CC31" s="15"/>
      <c r="CD31" s="2">
        <v>1.3815999999999999</v>
      </c>
      <c r="CE31" s="2">
        <v>0.51319999999999999</v>
      </c>
      <c r="CF31" s="2">
        <v>1.3029999999999999</v>
      </c>
      <c r="CG31" s="2">
        <v>21.6356</v>
      </c>
      <c r="CH31" s="2">
        <v>-18.743099999999998</v>
      </c>
      <c r="CI31" s="2">
        <v>-18.743099999999998</v>
      </c>
      <c r="CJ31" s="2"/>
      <c r="CK31" s="2">
        <v>-22.797999999999998</v>
      </c>
      <c r="CL31" s="2">
        <v>-23.0854</v>
      </c>
      <c r="CM31" s="2">
        <v>0.107</v>
      </c>
      <c r="CN31" s="2">
        <v>0.61829999999999996</v>
      </c>
      <c r="CO31" s="2">
        <v>7.1112000000000002</v>
      </c>
      <c r="CP31" s="2">
        <v>12.6561</v>
      </c>
      <c r="CQ31" s="2">
        <v>-11.633100000000001</v>
      </c>
      <c r="CR31" s="2">
        <v>-11.633100000000001</v>
      </c>
      <c r="CS31" s="2">
        <v>-2.4702000000000002</v>
      </c>
      <c r="CT31" s="2">
        <v>-5.6627999999999998</v>
      </c>
      <c r="CU31" s="2">
        <v>1.1352</v>
      </c>
      <c r="CV31" s="2">
        <v>7.8100000000000003E-2</v>
      </c>
      <c r="CW31" s="2">
        <v>-5.6500000000000002E-2</v>
      </c>
    </row>
    <row r="32" spans="1:101" x14ac:dyDescent="0.25">
      <c r="A32" s="9">
        <v>42460</v>
      </c>
      <c r="B32" s="26" t="str">
        <f t="shared" si="0"/>
        <v>Q1 2016</v>
      </c>
      <c r="C32" s="15"/>
      <c r="D32" s="2">
        <v>1147.048</v>
      </c>
      <c r="E32" s="23">
        <f t="shared" si="1"/>
        <v>-5.5445577166949422E-2</v>
      </c>
      <c r="F32" s="2">
        <v>894.58</v>
      </c>
      <c r="G32" s="2">
        <v>252.46799999999999</v>
      </c>
      <c r="H32" s="2">
        <v>182.482</v>
      </c>
      <c r="I32" s="2">
        <v>318.20999999999998</v>
      </c>
      <c r="J32" s="2"/>
      <c r="K32" s="2">
        <v>500.69200000000001</v>
      </c>
      <c r="L32" s="2">
        <v>-248.22399999999999</v>
      </c>
      <c r="M32" s="2">
        <v>-30.196999999999999</v>
      </c>
      <c r="N32" s="2">
        <v>-278.42099999999999</v>
      </c>
      <c r="O32" s="2">
        <v>3.8460000000000001</v>
      </c>
      <c r="P32" s="2">
        <v>-282.267</v>
      </c>
      <c r="Q32" s="2"/>
      <c r="R32" s="2">
        <v>-282.267</v>
      </c>
      <c r="S32" s="2"/>
      <c r="T32" s="2">
        <v>-282.267</v>
      </c>
      <c r="U32" s="2">
        <v>-71.150999999999996</v>
      </c>
      <c r="V32" s="2">
        <v>-248.22399999999999</v>
      </c>
      <c r="W32" s="2">
        <v>1990.14</v>
      </c>
      <c r="X32" s="2">
        <v>1990.14</v>
      </c>
      <c r="Y32" s="2">
        <v>-0.14199999999999999</v>
      </c>
      <c r="Z32" s="2">
        <v>-0.14199999999999999</v>
      </c>
      <c r="AA32" s="5"/>
      <c r="AB32" s="2">
        <v>1465.769</v>
      </c>
      <c r="AC32" s="2">
        <v>318.05599999999998</v>
      </c>
      <c r="AD32" s="2">
        <v>1301.961</v>
      </c>
      <c r="AE32" s="2">
        <v>153.75700000000001</v>
      </c>
      <c r="AF32" s="2"/>
      <c r="AG32" s="2">
        <v>3239.5430000000001</v>
      </c>
      <c r="AH32" s="2">
        <v>3593.0140000000001</v>
      </c>
      <c r="AI32" s="2"/>
      <c r="AJ32" s="2"/>
      <c r="AK32" s="2">
        <v>114.935</v>
      </c>
      <c r="AL32" s="2">
        <v>5952.1589999999997</v>
      </c>
      <c r="AM32" s="2">
        <v>9191.7019999999993</v>
      </c>
      <c r="AN32" s="2">
        <v>3187.6990000000001</v>
      </c>
      <c r="AO32" s="2">
        <v>2526.9549999999999</v>
      </c>
      <c r="AP32" s="2">
        <v>2009.6859999999999</v>
      </c>
      <c r="AQ32" s="2">
        <v>5033.6379999999999</v>
      </c>
      <c r="AR32" s="2">
        <v>8221.3369999999995</v>
      </c>
      <c r="AS32" s="2">
        <v>0.13400000000000001</v>
      </c>
      <c r="AT32" s="2">
        <v>-2604.59</v>
      </c>
      <c r="AU32" s="2">
        <v>13.565</v>
      </c>
      <c r="AV32" s="2"/>
      <c r="AW32" s="2">
        <v>970.36500000000001</v>
      </c>
      <c r="AX32" s="2">
        <v>9191.7019999999993</v>
      </c>
      <c r="AY32" s="15"/>
      <c r="AZ32" s="2">
        <v>-282.267</v>
      </c>
      <c r="BA32" s="2">
        <v>177.07300000000001</v>
      </c>
      <c r="BB32" s="2">
        <v>126.61799999999999</v>
      </c>
      <c r="BC32" s="2">
        <v>303.69099999999997</v>
      </c>
      <c r="BD32" s="2">
        <v>-159.327</v>
      </c>
      <c r="BE32" s="2">
        <v>-512.67100000000005</v>
      </c>
      <c r="BF32" s="2"/>
      <c r="BG32" s="2">
        <v>340.37599999999998</v>
      </c>
      <c r="BH32" s="2">
        <v>-271.029</v>
      </c>
      <c r="BI32" s="2">
        <v>-249.60499999999999</v>
      </c>
      <c r="BJ32" s="2">
        <v>-216.85900000000001</v>
      </c>
      <c r="BK32" s="2"/>
      <c r="BL32" s="2"/>
      <c r="BM32" s="2"/>
      <c r="BN32" s="2"/>
      <c r="BO32" s="2"/>
      <c r="BP32" s="2">
        <v>-16.96</v>
      </c>
      <c r="BQ32" s="2">
        <v>-233.81899999999999</v>
      </c>
      <c r="BR32" s="2">
        <v>663.63499999999999</v>
      </c>
      <c r="BS32" s="2"/>
      <c r="BT32" s="2">
        <v>663.63499999999999</v>
      </c>
      <c r="BU32" s="2">
        <v>52.838000000000001</v>
      </c>
      <c r="BV32" s="2">
        <v>52.838000000000001</v>
      </c>
      <c r="BW32" s="2"/>
      <c r="BX32" s="2">
        <v>-1.038</v>
      </c>
      <c r="BY32" s="2">
        <v>715.43499999999995</v>
      </c>
      <c r="BZ32" s="2">
        <v>244.881</v>
      </c>
      <c r="CA32" s="2">
        <v>89.658000000000001</v>
      </c>
      <c r="CB32" s="2"/>
      <c r="CC32" s="15"/>
      <c r="CD32" s="2">
        <v>1.0163</v>
      </c>
      <c r="CE32" s="2">
        <v>0.72250000000000003</v>
      </c>
      <c r="CF32" s="2">
        <v>3.2587999999999999</v>
      </c>
      <c r="CG32" s="2">
        <v>22.010200000000001</v>
      </c>
      <c r="CH32" s="2">
        <v>-21.6403</v>
      </c>
      <c r="CI32" s="2">
        <v>-21.6403</v>
      </c>
      <c r="CJ32" s="2"/>
      <c r="CK32" s="2">
        <v>-24.2728</v>
      </c>
      <c r="CL32" s="2">
        <v>-24.6081</v>
      </c>
      <c r="CM32" s="2">
        <v>0.12479999999999999</v>
      </c>
      <c r="CN32" s="2">
        <v>0.68710000000000004</v>
      </c>
      <c r="CO32" s="2">
        <v>3.6063999999999998</v>
      </c>
      <c r="CP32" s="2">
        <v>24.955400000000001</v>
      </c>
      <c r="CQ32" s="2">
        <v>-29.088799999999999</v>
      </c>
      <c r="CR32" s="2">
        <v>-29.088699999999999</v>
      </c>
      <c r="CS32" s="2">
        <v>-3.0709</v>
      </c>
      <c r="CT32" s="2">
        <v>-8.0709999999999997</v>
      </c>
      <c r="CU32" s="2">
        <v>0.48330000000000001</v>
      </c>
      <c r="CV32" s="2">
        <v>-0.12540000000000001</v>
      </c>
      <c r="CW32" s="2">
        <v>-0.2344</v>
      </c>
    </row>
    <row r="33" spans="1:101" x14ac:dyDescent="0.25">
      <c r="A33" s="9">
        <v>42369</v>
      </c>
      <c r="B33" s="26" t="str">
        <f t="shared" si="0"/>
        <v>Q4 2015</v>
      </c>
      <c r="C33" s="15"/>
      <c r="D33" s="2">
        <v>1214.3800000000001</v>
      </c>
      <c r="E33" s="23">
        <f t="shared" si="1"/>
        <v>0.29632179711760087</v>
      </c>
      <c r="F33" s="2">
        <v>995.81629999999996</v>
      </c>
      <c r="G33" s="2">
        <v>218.5635</v>
      </c>
      <c r="H33" s="2">
        <v>190.24299999999999</v>
      </c>
      <c r="I33" s="2">
        <v>288.654</v>
      </c>
      <c r="J33" s="2"/>
      <c r="K33" s="2">
        <v>478.89670000000001</v>
      </c>
      <c r="L33" s="2">
        <v>-260.33330000000001</v>
      </c>
      <c r="M33" s="2">
        <v>-55.015999999999998</v>
      </c>
      <c r="N33" s="2">
        <v>-315.34910000000002</v>
      </c>
      <c r="O33" s="2">
        <v>5.048</v>
      </c>
      <c r="P33" s="2">
        <v>-320.39710000000002</v>
      </c>
      <c r="Q33" s="2"/>
      <c r="R33" s="2">
        <v>-320.39710000000002</v>
      </c>
      <c r="S33" s="2"/>
      <c r="T33" s="2">
        <v>-320.39710000000002</v>
      </c>
      <c r="U33" s="2">
        <v>-89.932299999999998</v>
      </c>
      <c r="V33" s="2">
        <v>-260.33339999999998</v>
      </c>
      <c r="W33" s="2">
        <v>1923.03</v>
      </c>
      <c r="X33" s="2">
        <v>1923.03</v>
      </c>
      <c r="Y33" s="2">
        <v>-0.1653</v>
      </c>
      <c r="Z33" s="2">
        <v>-0.1653</v>
      </c>
      <c r="AA33" s="5"/>
      <c r="AB33" s="2">
        <v>1219.5360000000001</v>
      </c>
      <c r="AC33" s="2">
        <v>168.965</v>
      </c>
      <c r="AD33" s="2">
        <v>1277.838</v>
      </c>
      <c r="AE33" s="2">
        <v>115.667</v>
      </c>
      <c r="AF33" s="2"/>
      <c r="AG33" s="2">
        <v>2782.0059999999999</v>
      </c>
      <c r="AH33" s="2">
        <v>3403.3339999999998</v>
      </c>
      <c r="AI33" s="2"/>
      <c r="AJ33" s="2">
        <v>12.816000000000001</v>
      </c>
      <c r="AK33" s="2">
        <v>78.38</v>
      </c>
      <c r="AL33" s="2">
        <v>5285.933</v>
      </c>
      <c r="AM33" s="2">
        <v>8067.9390000000003</v>
      </c>
      <c r="AN33" s="2">
        <v>2811.0349999999999</v>
      </c>
      <c r="AO33" s="2">
        <v>2068.3780000000002</v>
      </c>
      <c r="AP33" s="2">
        <v>1658.7170000000001</v>
      </c>
      <c r="AQ33" s="2">
        <v>4173.2</v>
      </c>
      <c r="AR33" s="2">
        <v>6984.2349999999997</v>
      </c>
      <c r="AS33" s="2">
        <v>0.13100000000000001</v>
      </c>
      <c r="AT33" s="2">
        <v>-2322.3229999999999</v>
      </c>
      <c r="AU33" s="2">
        <v>-3.556</v>
      </c>
      <c r="AV33" s="2"/>
      <c r="AW33" s="2">
        <v>1083.704</v>
      </c>
      <c r="AX33" s="2">
        <v>8067.9390000000003</v>
      </c>
      <c r="AY33" s="15"/>
      <c r="AZ33" s="2">
        <v>-320.39699999999999</v>
      </c>
      <c r="BA33" s="2">
        <v>170.40100000000001</v>
      </c>
      <c r="BB33" s="2">
        <v>135.75299999999999</v>
      </c>
      <c r="BC33" s="2">
        <v>306.154</v>
      </c>
      <c r="BD33" s="2">
        <v>-32.106000000000002</v>
      </c>
      <c r="BE33" s="2">
        <v>722.01800000000003</v>
      </c>
      <c r="BF33" s="2">
        <v>0</v>
      </c>
      <c r="BG33" s="2">
        <v>-879.625</v>
      </c>
      <c r="BH33" s="2">
        <v>-15.606</v>
      </c>
      <c r="BI33" s="2">
        <v>-29.849</v>
      </c>
      <c r="BJ33" s="2">
        <v>-411.22199999999998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-3.0579999999999998</v>
      </c>
      <c r="BQ33" s="2">
        <v>-414.28</v>
      </c>
      <c r="BR33" s="2">
        <v>212.92</v>
      </c>
      <c r="BS33" s="2">
        <v>0</v>
      </c>
      <c r="BT33" s="2">
        <v>212.92</v>
      </c>
      <c r="BU33" s="2">
        <v>12.585000000000001</v>
      </c>
      <c r="BV33" s="2">
        <v>12.585000000000001</v>
      </c>
      <c r="BW33" s="2">
        <v>0</v>
      </c>
      <c r="BX33" s="2">
        <v>-0.46700000000000003</v>
      </c>
      <c r="BY33" s="2">
        <v>225.03800000000001</v>
      </c>
      <c r="BZ33" s="2">
        <v>-229.12799999999999</v>
      </c>
      <c r="CA33" s="2">
        <v>55.64</v>
      </c>
      <c r="CB33" s="2">
        <v>0</v>
      </c>
      <c r="CC33" s="15"/>
      <c r="CD33" s="2">
        <v>0.98970000000000002</v>
      </c>
      <c r="CE33" s="2">
        <v>0.65620000000000001</v>
      </c>
      <c r="CF33" s="2">
        <v>2.488</v>
      </c>
      <c r="CG33" s="2">
        <v>17.998000000000001</v>
      </c>
      <c r="CH33" s="2">
        <v>-21.4376</v>
      </c>
      <c r="CI33" s="2">
        <v>-21.4376</v>
      </c>
      <c r="CJ33" s="2"/>
      <c r="CK33" s="2">
        <v>-25.9679</v>
      </c>
      <c r="CL33" s="2">
        <v>-26.383600000000001</v>
      </c>
      <c r="CM33" s="2">
        <v>0.15049999999999999</v>
      </c>
      <c r="CN33" s="2">
        <v>0.77929999999999999</v>
      </c>
      <c r="CO33" s="2">
        <v>7.1871999999999998</v>
      </c>
      <c r="CP33" s="2">
        <v>12.5223</v>
      </c>
      <c r="CQ33" s="2">
        <v>-29.565000000000001</v>
      </c>
      <c r="CR33" s="2">
        <v>-29.918800000000001</v>
      </c>
      <c r="CS33" s="2">
        <v>-3.9712000000000001</v>
      </c>
      <c r="CT33" s="2">
        <v>-10.1646</v>
      </c>
      <c r="CU33" s="2">
        <v>0.54969999999999997</v>
      </c>
      <c r="CV33" s="2">
        <v>-1.7100000000000001E-2</v>
      </c>
      <c r="CW33" s="2">
        <v>-0.2349</v>
      </c>
    </row>
    <row r="34" spans="1:101" x14ac:dyDescent="0.25">
      <c r="A34" s="9">
        <v>42277</v>
      </c>
      <c r="B34" s="26" t="str">
        <f t="shared" si="0"/>
        <v>Q3 2015</v>
      </c>
      <c r="C34" s="15"/>
      <c r="D34" s="2">
        <v>936.78899999999999</v>
      </c>
      <c r="E34" s="23">
        <f t="shared" si="1"/>
        <v>-1.9044457661763214E-2</v>
      </c>
      <c r="F34" s="2">
        <v>705.29300000000001</v>
      </c>
      <c r="G34" s="2">
        <v>231.49600000000001</v>
      </c>
      <c r="H34" s="2">
        <v>178.791</v>
      </c>
      <c r="I34" s="2">
        <v>236.36699999999999</v>
      </c>
      <c r="J34" s="2"/>
      <c r="K34" s="2">
        <v>415.15800000000002</v>
      </c>
      <c r="L34" s="2">
        <v>-183.66200000000001</v>
      </c>
      <c r="M34" s="2">
        <v>-44.411999999999999</v>
      </c>
      <c r="N34" s="2">
        <v>-228.07400000000001</v>
      </c>
      <c r="O34" s="2">
        <v>1.784</v>
      </c>
      <c r="P34" s="2">
        <v>-229.858</v>
      </c>
      <c r="Q34" s="2"/>
      <c r="R34" s="2">
        <v>-229.858</v>
      </c>
      <c r="S34" s="2"/>
      <c r="T34" s="2">
        <v>-229.858</v>
      </c>
      <c r="U34" s="2">
        <v>-55.632100000000001</v>
      </c>
      <c r="V34" s="2">
        <v>-183.66200000000001</v>
      </c>
      <c r="W34" s="2">
        <v>1935.09</v>
      </c>
      <c r="X34" s="2">
        <v>1935.09</v>
      </c>
      <c r="Y34" s="2">
        <v>-0.1187</v>
      </c>
      <c r="Z34" s="2">
        <v>-0.1187</v>
      </c>
      <c r="AA34" s="5"/>
      <c r="AB34" s="2">
        <v>1451.259</v>
      </c>
      <c r="AC34" s="2">
        <v>119.964</v>
      </c>
      <c r="AD34" s="2">
        <v>1293.7170000000001</v>
      </c>
      <c r="AE34" s="2">
        <v>133.85499999999999</v>
      </c>
      <c r="AF34" s="2"/>
      <c r="AG34" s="2">
        <v>2998.7950000000001</v>
      </c>
      <c r="AH34" s="2">
        <v>3103.8110000000001</v>
      </c>
      <c r="AI34" s="2"/>
      <c r="AJ34" s="2"/>
      <c r="AK34" s="2">
        <v>84.165999999999997</v>
      </c>
      <c r="AL34" s="2">
        <v>4548.7020000000002</v>
      </c>
      <c r="AM34" s="2">
        <v>7547.4970000000003</v>
      </c>
      <c r="AN34" s="2">
        <v>2553.7710000000002</v>
      </c>
      <c r="AO34" s="2">
        <v>2027.575</v>
      </c>
      <c r="AP34" s="2">
        <v>1289.2339999999999</v>
      </c>
      <c r="AQ34" s="2">
        <v>3679.07</v>
      </c>
      <c r="AR34" s="2">
        <v>6232.8410000000003</v>
      </c>
      <c r="AS34" s="2">
        <v>0.13100000000000001</v>
      </c>
      <c r="AT34" s="2">
        <v>-2001.9259999999999</v>
      </c>
      <c r="AU34" s="2">
        <v>-23.984999999999999</v>
      </c>
      <c r="AV34" s="2"/>
      <c r="AW34" s="2">
        <v>1314.6559999999999</v>
      </c>
      <c r="AX34" s="2">
        <v>7547.4970000000003</v>
      </c>
      <c r="AY34" s="15"/>
      <c r="AZ34" s="2">
        <v>-229.858</v>
      </c>
      <c r="BA34" s="2">
        <v>128.03</v>
      </c>
      <c r="BB34" s="2">
        <v>90.935000000000002</v>
      </c>
      <c r="BC34" s="2">
        <v>218.965</v>
      </c>
      <c r="BD34" s="2">
        <v>15.541</v>
      </c>
      <c r="BE34" s="2">
        <v>-385.16199999999998</v>
      </c>
      <c r="BF34" s="2">
        <v>0</v>
      </c>
      <c r="BG34" s="2">
        <v>149.197</v>
      </c>
      <c r="BH34" s="2">
        <v>-192.447</v>
      </c>
      <c r="BI34" s="2">
        <v>-203.34</v>
      </c>
      <c r="BJ34" s="2">
        <v>-392.40300000000002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-11.686999999999999</v>
      </c>
      <c r="BQ34" s="2">
        <v>-404.09</v>
      </c>
      <c r="BR34" s="2">
        <v>120.137</v>
      </c>
      <c r="BS34" s="2">
        <v>0</v>
      </c>
      <c r="BT34" s="2">
        <v>120.137</v>
      </c>
      <c r="BU34" s="2">
        <v>785.15499999999997</v>
      </c>
      <c r="BV34" s="2">
        <v>785.15499999999997</v>
      </c>
      <c r="BW34" s="2">
        <v>0</v>
      </c>
      <c r="BX34" s="2">
        <v>-11.314</v>
      </c>
      <c r="BY34" s="2">
        <v>893.97799999999995</v>
      </c>
      <c r="BZ34" s="2">
        <v>275.363</v>
      </c>
      <c r="CA34" s="2">
        <v>55.997999999999998</v>
      </c>
      <c r="CB34" s="2">
        <v>0</v>
      </c>
      <c r="CC34" s="15"/>
      <c r="CD34" s="2">
        <v>1.1742999999999999</v>
      </c>
      <c r="CE34" s="2">
        <v>0.60670000000000002</v>
      </c>
      <c r="CF34" s="2">
        <v>2.0381</v>
      </c>
      <c r="CG34" s="2">
        <v>24.7117</v>
      </c>
      <c r="CH34" s="2">
        <v>-19.605499999999999</v>
      </c>
      <c r="CI34" s="2">
        <v>-19.605499999999999</v>
      </c>
      <c r="CJ34" s="2"/>
      <c r="CK34" s="2">
        <v>-24.346399999999999</v>
      </c>
      <c r="CL34" s="2">
        <v>-24.536799999999999</v>
      </c>
      <c r="CM34" s="2">
        <v>0.1241</v>
      </c>
      <c r="CN34" s="2">
        <v>0.54520000000000002</v>
      </c>
      <c r="CO34" s="2">
        <v>7.8089000000000004</v>
      </c>
      <c r="CP34" s="2">
        <v>11.5253</v>
      </c>
      <c r="CQ34" s="2">
        <v>-17.484300000000001</v>
      </c>
      <c r="CR34" s="2">
        <v>-17.484300000000001</v>
      </c>
      <c r="CS34" s="2">
        <v>-3.0455000000000001</v>
      </c>
      <c r="CT34" s="2">
        <v>-6.8773999999999997</v>
      </c>
      <c r="CU34" s="2">
        <v>0.66949999999999998</v>
      </c>
      <c r="CV34" s="2">
        <v>-0.1023</v>
      </c>
      <c r="CW34" s="2">
        <v>-0.29730000000000001</v>
      </c>
    </row>
    <row r="35" spans="1:101" x14ac:dyDescent="0.25">
      <c r="A35" s="9">
        <v>42185</v>
      </c>
      <c r="B35" s="26" t="str">
        <f t="shared" si="0"/>
        <v>Q2 2015</v>
      </c>
      <c r="C35" s="15"/>
      <c r="D35" s="2">
        <v>954.976</v>
      </c>
      <c r="E35" s="23">
        <f t="shared" si="1"/>
        <v>1.6061624888283665E-2</v>
      </c>
      <c r="F35" s="2">
        <v>741.60599999999999</v>
      </c>
      <c r="G35" s="2">
        <v>213.37010000000001</v>
      </c>
      <c r="H35" s="2">
        <v>181.71199999999999</v>
      </c>
      <c r="I35" s="2">
        <v>201.846</v>
      </c>
      <c r="J35" s="2"/>
      <c r="K35" s="2">
        <v>383.55799999999999</v>
      </c>
      <c r="L35" s="2">
        <v>-170.18790000000001</v>
      </c>
      <c r="M35" s="2">
        <v>-10.872</v>
      </c>
      <c r="N35" s="2">
        <v>-181.06</v>
      </c>
      <c r="O35" s="2">
        <v>3.1669999999999998</v>
      </c>
      <c r="P35" s="2">
        <v>-184.227</v>
      </c>
      <c r="Q35" s="2"/>
      <c r="R35" s="2">
        <v>-184.227</v>
      </c>
      <c r="S35" s="2"/>
      <c r="T35" s="2">
        <v>-184.227</v>
      </c>
      <c r="U35" s="2">
        <v>-63.027900000000002</v>
      </c>
      <c r="V35" s="2">
        <v>-170.18790000000001</v>
      </c>
      <c r="W35" s="2">
        <v>1900.335</v>
      </c>
      <c r="X35" s="2">
        <v>1900.335</v>
      </c>
      <c r="Y35" s="2">
        <v>-9.6699999999999994E-2</v>
      </c>
      <c r="Z35" s="2">
        <v>-9.6699999999999994E-2</v>
      </c>
      <c r="AA35" s="5"/>
      <c r="AB35" s="2">
        <v>1171.2639999999999</v>
      </c>
      <c r="AC35" s="2">
        <v>138.648</v>
      </c>
      <c r="AD35" s="2">
        <v>1212.279</v>
      </c>
      <c r="AE35" s="2">
        <v>106.43</v>
      </c>
      <c r="AF35" s="2"/>
      <c r="AG35" s="2">
        <v>2628.6210000000001</v>
      </c>
      <c r="AH35" s="2">
        <v>2646.0169999999998</v>
      </c>
      <c r="AI35" s="2"/>
      <c r="AJ35" s="2"/>
      <c r="AK35" s="2">
        <v>73.301000000000002</v>
      </c>
      <c r="AL35" s="2">
        <v>3839.5639999999999</v>
      </c>
      <c r="AM35" s="2">
        <v>6468.1850000000004</v>
      </c>
      <c r="AN35" s="2">
        <v>2384.3879999999999</v>
      </c>
      <c r="AO35" s="2">
        <v>2049.616</v>
      </c>
      <c r="AP35" s="2">
        <v>983.61900000000003</v>
      </c>
      <c r="AQ35" s="2">
        <v>3367.8629999999998</v>
      </c>
      <c r="AR35" s="2">
        <v>5752.2510000000002</v>
      </c>
      <c r="AS35" s="2">
        <v>0.127</v>
      </c>
      <c r="AT35" s="2">
        <v>-1772.068</v>
      </c>
      <c r="AU35" s="2">
        <v>-14.804</v>
      </c>
      <c r="AV35" s="2"/>
      <c r="AW35" s="2">
        <v>715.93399999999997</v>
      </c>
      <c r="AX35" s="2">
        <v>6468.1850000000004</v>
      </c>
      <c r="AY35" s="15"/>
      <c r="AZ35" s="2">
        <v>-184.227</v>
      </c>
      <c r="BA35" s="2">
        <v>107.16</v>
      </c>
      <c r="BB35" s="2">
        <v>47.601999999999997</v>
      </c>
      <c r="BC35" s="2">
        <v>154.762</v>
      </c>
      <c r="BD35" s="2">
        <v>60.656999999999996</v>
      </c>
      <c r="BE35" s="2">
        <v>-399.01100000000002</v>
      </c>
      <c r="BF35" s="2">
        <v>0</v>
      </c>
      <c r="BG35" s="2">
        <v>194.535</v>
      </c>
      <c r="BH35" s="2">
        <v>-130.05099999999999</v>
      </c>
      <c r="BI35" s="2">
        <v>-159.51599999999999</v>
      </c>
      <c r="BJ35" s="2">
        <v>-405.16500000000002</v>
      </c>
      <c r="BK35" s="2">
        <v>0</v>
      </c>
      <c r="BL35" s="2">
        <v>-12.26</v>
      </c>
      <c r="BM35" s="2">
        <v>0</v>
      </c>
      <c r="BN35" s="2">
        <v>0</v>
      </c>
      <c r="BO35" s="2">
        <v>0</v>
      </c>
      <c r="BP35" s="2">
        <v>-5.4119999999999999</v>
      </c>
      <c r="BQ35" s="2">
        <v>-422.83699999999999</v>
      </c>
      <c r="BR35" s="2">
        <v>198.98400000000001</v>
      </c>
      <c r="BS35" s="2">
        <v>0</v>
      </c>
      <c r="BT35" s="2">
        <v>198.98400000000001</v>
      </c>
      <c r="BU35" s="2">
        <v>23.652999999999999</v>
      </c>
      <c r="BV35" s="2">
        <v>23.652999999999999</v>
      </c>
      <c r="BW35" s="2">
        <v>0</v>
      </c>
      <c r="BX35" s="2">
        <v>-4.2859999999999996</v>
      </c>
      <c r="BY35" s="2">
        <v>218.351</v>
      </c>
      <c r="BZ35" s="2">
        <v>-359.40300000000002</v>
      </c>
      <c r="CA35" s="2">
        <v>43.335000000000001</v>
      </c>
      <c r="CB35" s="2">
        <v>0</v>
      </c>
      <c r="CC35" s="15"/>
      <c r="CD35" s="2">
        <v>1.1024</v>
      </c>
      <c r="CE35" s="2">
        <v>0.74109999999999998</v>
      </c>
      <c r="CF35" s="2">
        <v>3.7544</v>
      </c>
      <c r="CG35" s="2">
        <v>22.343</v>
      </c>
      <c r="CH35" s="2">
        <v>-17.821200000000001</v>
      </c>
      <c r="CI35" s="2">
        <v>-17.821200000000001</v>
      </c>
      <c r="CJ35" s="2"/>
      <c r="CK35" s="2">
        <v>-18.959599999999998</v>
      </c>
      <c r="CL35" s="2">
        <v>-19.2913</v>
      </c>
      <c r="CM35" s="2">
        <v>0.14760000000000001</v>
      </c>
      <c r="CN35" s="2">
        <v>0.61170000000000002</v>
      </c>
      <c r="CO35" s="2">
        <v>6.8878000000000004</v>
      </c>
      <c r="CP35" s="2">
        <v>13.066599999999999</v>
      </c>
      <c r="CQ35" s="2">
        <v>-25.732399999999998</v>
      </c>
      <c r="CR35" s="2">
        <v>-25.732399999999998</v>
      </c>
      <c r="CS35" s="2">
        <v>-2.8481999999999998</v>
      </c>
      <c r="CT35" s="2">
        <v>-6.6615000000000002</v>
      </c>
      <c r="CU35" s="2">
        <v>0.3755</v>
      </c>
      <c r="CV35" s="2">
        <v>-8.3500000000000005E-2</v>
      </c>
      <c r="CW35" s="2">
        <v>-0.2954</v>
      </c>
    </row>
    <row r="36" spans="1:101" x14ac:dyDescent="0.25">
      <c r="A36" s="9">
        <v>42094</v>
      </c>
      <c r="B36" s="26" t="str">
        <f t="shared" si="0"/>
        <v>Q1 2015</v>
      </c>
      <c r="C36" s="15"/>
      <c r="D36" s="2">
        <v>939.88</v>
      </c>
      <c r="E36" s="23">
        <f t="shared" si="1"/>
        <v>-1.7541218885268606E-2</v>
      </c>
      <c r="F36" s="2">
        <v>679.80700000000002</v>
      </c>
      <c r="G36" s="2">
        <v>260.07299999999998</v>
      </c>
      <c r="H36" s="2">
        <v>167.154</v>
      </c>
      <c r="I36" s="2">
        <v>195.36500000000001</v>
      </c>
      <c r="J36" s="2"/>
      <c r="K36" s="2">
        <v>362.51900000000001</v>
      </c>
      <c r="L36" s="2">
        <v>-102.446</v>
      </c>
      <c r="M36" s="2">
        <v>-48.695</v>
      </c>
      <c r="N36" s="2">
        <v>-151.14099999999999</v>
      </c>
      <c r="O36" s="2">
        <v>3.04</v>
      </c>
      <c r="P36" s="2">
        <v>-154.18100000000001</v>
      </c>
      <c r="Q36" s="2"/>
      <c r="R36" s="2">
        <v>-154.18100000000001</v>
      </c>
      <c r="S36" s="2"/>
      <c r="T36" s="2">
        <v>-154.18100000000001</v>
      </c>
      <c r="U36" s="2">
        <v>-7.3929999999999998</v>
      </c>
      <c r="V36" s="2">
        <v>-102.446</v>
      </c>
      <c r="W36" s="2">
        <v>1889.2049999999999</v>
      </c>
      <c r="X36" s="2">
        <v>1889.2049999999999</v>
      </c>
      <c r="Y36" s="2">
        <v>-8.1299999999999997E-2</v>
      </c>
      <c r="Z36" s="2">
        <v>-8.1299999999999997E-2</v>
      </c>
      <c r="AA36" s="5"/>
      <c r="AB36" s="2">
        <v>1530.769</v>
      </c>
      <c r="AC36" s="2">
        <v>200.05199999999999</v>
      </c>
      <c r="AD36" s="2">
        <v>1054.8399999999999</v>
      </c>
      <c r="AE36" s="2">
        <v>135.756</v>
      </c>
      <c r="AF36" s="2"/>
      <c r="AG36" s="2">
        <v>2921.4169999999999</v>
      </c>
      <c r="AH36" s="2">
        <v>2224.1909999999998</v>
      </c>
      <c r="AI36" s="2"/>
      <c r="AJ36" s="2"/>
      <c r="AK36" s="2">
        <v>62.360999999999997</v>
      </c>
      <c r="AL36" s="2">
        <v>3198.6129999999998</v>
      </c>
      <c r="AM36" s="2">
        <v>6120.03</v>
      </c>
      <c r="AN36" s="2">
        <v>2192.3809999999999</v>
      </c>
      <c r="AO36" s="2">
        <v>1954.2139999999999</v>
      </c>
      <c r="AP36" s="2">
        <v>834.58799999999997</v>
      </c>
      <c r="AQ36" s="2">
        <v>3101.652</v>
      </c>
      <c r="AR36" s="2">
        <v>5294.0330000000004</v>
      </c>
      <c r="AS36" s="2">
        <v>0.126</v>
      </c>
      <c r="AT36" s="2">
        <v>-1587.8409999999999</v>
      </c>
      <c r="AU36" s="2">
        <v>-15.965</v>
      </c>
      <c r="AV36" s="2"/>
      <c r="AW36" s="2">
        <v>825.99699999999996</v>
      </c>
      <c r="AX36" s="2">
        <v>6120.03</v>
      </c>
      <c r="AY36" s="15"/>
      <c r="AZ36" s="2">
        <v>-154.18100000000001</v>
      </c>
      <c r="BA36" s="2">
        <v>95.052999999999997</v>
      </c>
      <c r="BB36" s="2">
        <v>82.519000000000005</v>
      </c>
      <c r="BC36" s="2">
        <v>177.572</v>
      </c>
      <c r="BD36" s="2">
        <v>2.1749999999999998</v>
      </c>
      <c r="BE36" s="2">
        <v>-307.209</v>
      </c>
      <c r="BF36" s="2"/>
      <c r="BG36" s="2">
        <v>102.35599999999999</v>
      </c>
      <c r="BH36" s="2">
        <v>-155.185</v>
      </c>
      <c r="BI36" s="2">
        <v>-131.79400000000001</v>
      </c>
      <c r="BJ36" s="2">
        <v>-426.06</v>
      </c>
      <c r="BK36" s="2"/>
      <c r="BL36" s="2"/>
      <c r="BM36" s="2"/>
      <c r="BN36" s="2"/>
      <c r="BO36" s="2"/>
      <c r="BP36" s="2">
        <v>-6.2839999999999998</v>
      </c>
      <c r="BQ36" s="2">
        <v>-432.34399999999999</v>
      </c>
      <c r="BR36" s="2">
        <v>151.89599999999999</v>
      </c>
      <c r="BS36" s="2"/>
      <c r="BT36" s="2">
        <v>151.89599999999999</v>
      </c>
      <c r="BU36" s="2">
        <v>35.218000000000004</v>
      </c>
      <c r="BV36" s="2">
        <v>35.218000000000004</v>
      </c>
      <c r="BW36" s="2"/>
      <c r="BX36" s="2">
        <v>-0.95799999999999996</v>
      </c>
      <c r="BY36" s="2">
        <v>186.15600000000001</v>
      </c>
      <c r="BZ36" s="2">
        <v>-395.637</v>
      </c>
      <c r="CA36" s="2">
        <v>43.026000000000003</v>
      </c>
      <c r="CB36" s="2"/>
      <c r="CC36" s="15"/>
      <c r="CD36" s="2">
        <v>1.3325</v>
      </c>
      <c r="CE36" s="2">
        <v>0.70289999999999997</v>
      </c>
      <c r="CF36" s="2">
        <v>3.129</v>
      </c>
      <c r="CG36" s="2">
        <v>27.6709</v>
      </c>
      <c r="CH36" s="2">
        <v>-10.899900000000001</v>
      </c>
      <c r="CI36" s="2">
        <v>-10.899900000000001</v>
      </c>
      <c r="CJ36" s="2"/>
      <c r="CK36" s="2">
        <v>-16.0809</v>
      </c>
      <c r="CL36" s="2">
        <v>-16.404299999999999</v>
      </c>
      <c r="CM36" s="2">
        <v>0.15359999999999999</v>
      </c>
      <c r="CN36" s="2">
        <v>0.64449999999999996</v>
      </c>
      <c r="CO36" s="2">
        <v>4.6981999999999999</v>
      </c>
      <c r="CP36" s="2">
        <v>19.156400000000001</v>
      </c>
      <c r="CQ36" s="2">
        <v>-18.6661</v>
      </c>
      <c r="CR36" s="2">
        <v>-18.6661</v>
      </c>
      <c r="CS36" s="2">
        <v>-2.5192999999999999</v>
      </c>
      <c r="CT36" s="2">
        <v>-5.5457000000000001</v>
      </c>
      <c r="CU36" s="2">
        <v>0.43580000000000002</v>
      </c>
      <c r="CV36" s="2">
        <v>-6.9800000000000001E-2</v>
      </c>
      <c r="CW36" s="2">
        <v>-0.29530000000000001</v>
      </c>
    </row>
    <row r="37" spans="1:101" x14ac:dyDescent="0.25">
      <c r="A37" s="9">
        <v>42004</v>
      </c>
      <c r="B37" s="26" t="str">
        <f t="shared" si="0"/>
        <v>Q4 2014</v>
      </c>
      <c r="C37" s="15"/>
      <c r="D37" s="2">
        <v>956.66099999999994</v>
      </c>
      <c r="E37" s="23">
        <f t="shared" si="1"/>
        <v>0.12309991500392115</v>
      </c>
      <c r="F37" s="2">
        <v>694.96379999999999</v>
      </c>
      <c r="G37" s="2">
        <v>261.69720000000001</v>
      </c>
      <c r="H37" s="2">
        <v>139.566</v>
      </c>
      <c r="I37" s="2">
        <v>196.971</v>
      </c>
      <c r="J37" s="2"/>
      <c r="K37" s="2">
        <v>336.53719999999998</v>
      </c>
      <c r="L37" s="2">
        <v>-74.839699999999993</v>
      </c>
      <c r="M37" s="2">
        <v>-29.074000000000002</v>
      </c>
      <c r="N37" s="2">
        <v>-103.914</v>
      </c>
      <c r="O37" s="2">
        <v>3.718</v>
      </c>
      <c r="P37" s="2">
        <v>-107.63200000000001</v>
      </c>
      <c r="Q37" s="2"/>
      <c r="R37" s="2">
        <v>-107.63200000000001</v>
      </c>
      <c r="S37" s="2"/>
      <c r="T37" s="2">
        <v>-107.63200000000001</v>
      </c>
      <c r="U37" s="2">
        <v>7.2363</v>
      </c>
      <c r="V37" s="2">
        <v>-74.839699999999993</v>
      </c>
      <c r="W37" s="2">
        <v>1868.085</v>
      </c>
      <c r="X37" s="2">
        <v>1868.085</v>
      </c>
      <c r="Y37" s="2">
        <v>-5.7299999999999997E-2</v>
      </c>
      <c r="Z37" s="2">
        <v>-5.7299999999999997E-2</v>
      </c>
      <c r="AA37" s="5"/>
      <c r="AB37" s="2">
        <v>1923.66</v>
      </c>
      <c r="AC37" s="2">
        <v>226.60400000000001</v>
      </c>
      <c r="AD37" s="2">
        <v>953.67499999999995</v>
      </c>
      <c r="AE37" s="2">
        <v>76.134</v>
      </c>
      <c r="AF37" s="2"/>
      <c r="AG37" s="2">
        <v>3180.0729999999999</v>
      </c>
      <c r="AH37" s="2">
        <v>1829.2670000000001</v>
      </c>
      <c r="AI37" s="2"/>
      <c r="AJ37" s="2"/>
      <c r="AK37" s="2">
        <v>54.582999999999998</v>
      </c>
      <c r="AL37" s="2">
        <v>2650.5940000000001</v>
      </c>
      <c r="AM37" s="2">
        <v>5830.6670000000004</v>
      </c>
      <c r="AN37" s="2">
        <v>2107.1660000000002</v>
      </c>
      <c r="AO37" s="2">
        <v>1876.981</v>
      </c>
      <c r="AP37" s="2">
        <v>642.53899999999999</v>
      </c>
      <c r="AQ37" s="2">
        <v>2811.7910000000002</v>
      </c>
      <c r="AR37" s="2">
        <v>4918.9570000000003</v>
      </c>
      <c r="AS37" s="2">
        <v>0.126</v>
      </c>
      <c r="AT37" s="2">
        <v>-1433.66</v>
      </c>
      <c r="AU37" s="2">
        <v>-2.1999999999999999E-2</v>
      </c>
      <c r="AV37" s="2"/>
      <c r="AW37" s="2">
        <v>911.71</v>
      </c>
      <c r="AX37" s="2">
        <v>5830.6670000000004</v>
      </c>
      <c r="AY37" s="15"/>
      <c r="AZ37" s="2">
        <v>-107.629</v>
      </c>
      <c r="BA37" s="2">
        <v>82.075999999999993</v>
      </c>
      <c r="BB37" s="2">
        <v>52.54</v>
      </c>
      <c r="BC37" s="2">
        <v>134.61600000000001</v>
      </c>
      <c r="BD37" s="2">
        <v>-74.486000000000004</v>
      </c>
      <c r="BE37" s="2">
        <v>-377.601</v>
      </c>
      <c r="BF37" s="2">
        <v>-253.89500000000001</v>
      </c>
      <c r="BG37" s="2">
        <v>177.73699999999999</v>
      </c>
      <c r="BH37" s="2">
        <v>-113.389</v>
      </c>
      <c r="BI37" s="2">
        <v>-86.402000000000001</v>
      </c>
      <c r="BJ37" s="2">
        <v>-368.661</v>
      </c>
      <c r="BK37" s="2">
        <v>0</v>
      </c>
      <c r="BL37" s="2">
        <v>0</v>
      </c>
      <c r="BM37" s="2">
        <v>-0.01</v>
      </c>
      <c r="BN37" s="2">
        <v>0</v>
      </c>
      <c r="BO37" s="2">
        <v>-0.01</v>
      </c>
      <c r="BP37" s="2">
        <v>-3.56</v>
      </c>
      <c r="BQ37" s="2">
        <v>-372.23099999999999</v>
      </c>
      <c r="BR37" s="2">
        <v>-388.36599999999999</v>
      </c>
      <c r="BS37" s="2">
        <v>0</v>
      </c>
      <c r="BT37" s="2">
        <v>-388.36599999999999</v>
      </c>
      <c r="BU37" s="2">
        <v>399.69</v>
      </c>
      <c r="BV37" s="2">
        <v>399.69</v>
      </c>
      <c r="BW37" s="2">
        <v>0</v>
      </c>
      <c r="BX37" s="2">
        <v>1E-3</v>
      </c>
      <c r="BY37" s="2">
        <v>11.324999999999999</v>
      </c>
      <c r="BZ37" s="2">
        <v>-482.83300000000003</v>
      </c>
      <c r="CA37" s="2">
        <v>44.515999999999998</v>
      </c>
      <c r="CB37" s="2">
        <v>0</v>
      </c>
      <c r="CC37" s="15"/>
      <c r="CD37" s="2">
        <v>1.5092000000000001</v>
      </c>
      <c r="CE37" s="2">
        <v>0.67310000000000003</v>
      </c>
      <c r="CF37" s="2">
        <v>2.7290000000000001</v>
      </c>
      <c r="CG37" s="2">
        <v>27.3553</v>
      </c>
      <c r="CH37" s="2">
        <v>-7.8230000000000004</v>
      </c>
      <c r="CI37" s="2">
        <v>-7.8230000000000004</v>
      </c>
      <c r="CJ37" s="2"/>
      <c r="CK37" s="2">
        <v>-10.8622</v>
      </c>
      <c r="CL37" s="2">
        <v>-11.2508</v>
      </c>
      <c r="CM37" s="2">
        <v>0.1641</v>
      </c>
      <c r="CN37" s="2">
        <v>0.72870000000000001</v>
      </c>
      <c r="CO37" s="2">
        <v>4.2217000000000002</v>
      </c>
      <c r="CP37" s="2">
        <v>21.318300000000001</v>
      </c>
      <c r="CQ37" s="2">
        <v>-11.8055</v>
      </c>
      <c r="CR37" s="2">
        <v>-11.8055</v>
      </c>
      <c r="CS37" s="2">
        <v>-1.8460000000000001</v>
      </c>
      <c r="CT37" s="2">
        <v>-3.8595999999999999</v>
      </c>
      <c r="CU37" s="2">
        <v>0.48359999999999997</v>
      </c>
      <c r="CV37" s="2">
        <v>-4.6199999999999998E-2</v>
      </c>
      <c r="CW37" s="2">
        <v>-0.2445</v>
      </c>
    </row>
    <row r="38" spans="1:101" x14ac:dyDescent="0.25">
      <c r="A38" s="9">
        <v>41912</v>
      </c>
      <c r="B38" s="26" t="str">
        <f t="shared" si="0"/>
        <v>Q3 2014</v>
      </c>
      <c r="C38" s="15"/>
      <c r="D38" s="2">
        <v>851.80399999999997</v>
      </c>
      <c r="E38" s="23">
        <f t="shared" si="1"/>
        <v>0.10717502719831962</v>
      </c>
      <c r="F38" s="2">
        <v>599.95299999999997</v>
      </c>
      <c r="G38" s="2">
        <v>251.851</v>
      </c>
      <c r="H38" s="2">
        <v>135.87299999999999</v>
      </c>
      <c r="I38" s="2">
        <v>155.107</v>
      </c>
      <c r="J38" s="2"/>
      <c r="K38" s="2">
        <v>290.98</v>
      </c>
      <c r="L38" s="2">
        <v>-39.128999999999998</v>
      </c>
      <c r="M38" s="2">
        <v>-31.852</v>
      </c>
      <c r="N38" s="2">
        <v>-70.980999999999995</v>
      </c>
      <c r="O38" s="2">
        <v>3.7269999999999999</v>
      </c>
      <c r="P38" s="2">
        <v>-74.707999999999998</v>
      </c>
      <c r="Q38" s="2"/>
      <c r="R38" s="2">
        <v>-74.707999999999998</v>
      </c>
      <c r="S38" s="2"/>
      <c r="T38" s="2">
        <v>-74.707999999999998</v>
      </c>
      <c r="U38" s="2">
        <v>49.375</v>
      </c>
      <c r="V38" s="2">
        <v>-39.128999999999998</v>
      </c>
      <c r="W38" s="2">
        <v>1873.665</v>
      </c>
      <c r="X38" s="2">
        <v>1873.665</v>
      </c>
      <c r="Y38" s="2">
        <v>-0.04</v>
      </c>
      <c r="Z38" s="2">
        <v>-0.04</v>
      </c>
      <c r="AA38" s="5"/>
      <c r="AB38" s="2">
        <v>2388.0659999999998</v>
      </c>
      <c r="AC38" s="2">
        <v>156.88900000000001</v>
      </c>
      <c r="AD38" s="2">
        <v>752.49199999999996</v>
      </c>
      <c r="AE38" s="2">
        <v>65.466999999999999</v>
      </c>
      <c r="AF38" s="2"/>
      <c r="AG38" s="2">
        <v>3362.9140000000002</v>
      </c>
      <c r="AH38" s="2">
        <v>1404.326</v>
      </c>
      <c r="AI38" s="2"/>
      <c r="AJ38" s="2"/>
      <c r="AK38" s="2">
        <v>52.55</v>
      </c>
      <c r="AL38" s="2">
        <v>2074.6190000000001</v>
      </c>
      <c r="AM38" s="2">
        <v>5437.5330000000004</v>
      </c>
      <c r="AN38" s="2">
        <v>1839.777</v>
      </c>
      <c r="AO38" s="2">
        <v>1861.6020000000001</v>
      </c>
      <c r="AP38" s="2">
        <v>523.73900000000003</v>
      </c>
      <c r="AQ38" s="2">
        <v>2639.6619999999998</v>
      </c>
      <c r="AR38" s="2">
        <v>4479.4390000000003</v>
      </c>
      <c r="AS38" s="2">
        <v>0.125</v>
      </c>
      <c r="AT38" s="2">
        <v>-1326.0409999999999</v>
      </c>
      <c r="AU38" s="2"/>
      <c r="AV38" s="2"/>
      <c r="AW38" s="2">
        <v>958.09400000000005</v>
      </c>
      <c r="AX38" s="2">
        <v>5437.5330000000004</v>
      </c>
      <c r="AY38" s="15"/>
      <c r="AZ38" s="2">
        <v>-74.709000000000003</v>
      </c>
      <c r="BA38" s="2">
        <v>88.504000000000005</v>
      </c>
      <c r="BB38" s="2">
        <v>52.893999999999998</v>
      </c>
      <c r="BC38" s="2">
        <v>141.398</v>
      </c>
      <c r="BD38" s="2">
        <v>-61.241</v>
      </c>
      <c r="BE38" s="2">
        <v>-214.53100000000001</v>
      </c>
      <c r="BF38" s="2">
        <v>68.183999999999997</v>
      </c>
      <c r="BG38" s="2">
        <v>112.90300000000001</v>
      </c>
      <c r="BH38" s="2">
        <v>-94.685000000000002</v>
      </c>
      <c r="BI38" s="2">
        <v>-27.995999999999999</v>
      </c>
      <c r="BJ38" s="2">
        <v>-284.17500000000001</v>
      </c>
      <c r="BK38" s="2">
        <v>0</v>
      </c>
      <c r="BL38" s="2">
        <v>0</v>
      </c>
      <c r="BM38" s="2">
        <v>-5.5629999999999997</v>
      </c>
      <c r="BN38" s="2">
        <v>0</v>
      </c>
      <c r="BO38" s="2">
        <v>-5.5629999999999997</v>
      </c>
      <c r="BP38" s="2">
        <v>-1.905</v>
      </c>
      <c r="BQ38" s="2">
        <v>-291.64299999999997</v>
      </c>
      <c r="BR38" s="2">
        <v>-217.32400000000001</v>
      </c>
      <c r="BS38" s="2">
        <v>0</v>
      </c>
      <c r="BT38" s="2">
        <v>-217.32400000000001</v>
      </c>
      <c r="BU38" s="2">
        <v>-352.35</v>
      </c>
      <c r="BV38" s="2">
        <v>-352.35</v>
      </c>
      <c r="BW38" s="2">
        <v>0</v>
      </c>
      <c r="BX38" s="2">
        <v>603.428</v>
      </c>
      <c r="BY38" s="2">
        <v>33.753999999999998</v>
      </c>
      <c r="BZ38" s="2">
        <v>-286.36399999999998</v>
      </c>
      <c r="CA38" s="2">
        <v>39.158000000000001</v>
      </c>
      <c r="CB38" s="2">
        <v>0</v>
      </c>
      <c r="CC38" s="15"/>
      <c r="CD38" s="2">
        <v>1.8279000000000001</v>
      </c>
      <c r="CE38" s="2">
        <v>0.66020000000000001</v>
      </c>
      <c r="CF38" s="2">
        <v>2.5768</v>
      </c>
      <c r="CG38" s="2">
        <v>29.566800000000001</v>
      </c>
      <c r="CH38" s="2">
        <v>-4.5937000000000001</v>
      </c>
      <c r="CI38" s="2">
        <v>-4.5937000000000001</v>
      </c>
      <c r="CJ38" s="2"/>
      <c r="CK38" s="2">
        <v>-8.3330000000000002</v>
      </c>
      <c r="CL38" s="2">
        <v>-8.7706</v>
      </c>
      <c r="CM38" s="2">
        <v>0.15670000000000001</v>
      </c>
      <c r="CN38" s="2">
        <v>0.79730000000000001</v>
      </c>
      <c r="CO38" s="2">
        <v>5.4292999999999996</v>
      </c>
      <c r="CP38" s="2">
        <v>16.576599999999999</v>
      </c>
      <c r="CQ38" s="2">
        <v>-7.7976000000000001</v>
      </c>
      <c r="CR38" s="2">
        <v>-7.7976000000000001</v>
      </c>
      <c r="CS38" s="2">
        <v>-1.3738999999999999</v>
      </c>
      <c r="CT38" s="2">
        <v>-2.6495000000000002</v>
      </c>
      <c r="CU38" s="2">
        <v>0.50949999999999995</v>
      </c>
      <c r="CV38" s="2">
        <v>-1.5100000000000001E-2</v>
      </c>
      <c r="CW38" s="2">
        <v>-0.16589999999999999</v>
      </c>
    </row>
    <row r="39" spans="1:101" x14ac:dyDescent="0.25">
      <c r="A39" s="9">
        <v>41820</v>
      </c>
      <c r="B39" s="26" t="str">
        <f t="shared" si="0"/>
        <v>Q2 2014</v>
      </c>
      <c r="C39" s="15"/>
      <c r="D39" s="2">
        <v>769.34900000000005</v>
      </c>
      <c r="E39" s="23">
        <f t="shared" si="1"/>
        <v>0.23980165726091074</v>
      </c>
      <c r="F39" s="2">
        <v>556.35400000000004</v>
      </c>
      <c r="G39" s="2">
        <v>212.995</v>
      </c>
      <c r="H39" s="2">
        <v>107.717</v>
      </c>
      <c r="I39" s="2">
        <v>134.03100000000001</v>
      </c>
      <c r="J39" s="2"/>
      <c r="K39" s="2">
        <v>241.74799999999999</v>
      </c>
      <c r="L39" s="2">
        <v>-28.753</v>
      </c>
      <c r="M39" s="2">
        <v>-31.997</v>
      </c>
      <c r="N39" s="2">
        <v>-60.75</v>
      </c>
      <c r="O39" s="2">
        <v>1.1499999999999999</v>
      </c>
      <c r="P39" s="2">
        <v>-61.9</v>
      </c>
      <c r="Q39" s="2"/>
      <c r="R39" s="2">
        <v>-61.9</v>
      </c>
      <c r="S39" s="2"/>
      <c r="T39" s="2">
        <v>-61.9</v>
      </c>
      <c r="U39" s="2">
        <v>49.570999999999998</v>
      </c>
      <c r="V39" s="2">
        <v>-28.753</v>
      </c>
      <c r="W39" s="2">
        <v>1863.75</v>
      </c>
      <c r="X39" s="2">
        <v>1863.75</v>
      </c>
      <c r="Y39" s="2">
        <v>-3.3300000000000003E-2</v>
      </c>
      <c r="Z39" s="2">
        <v>-3.3300000000000003E-2</v>
      </c>
      <c r="AA39" s="5"/>
      <c r="AB39" s="2">
        <v>2686.6239999999998</v>
      </c>
      <c r="AC39" s="2">
        <v>96.606999999999999</v>
      </c>
      <c r="AD39" s="2">
        <v>596.92700000000002</v>
      </c>
      <c r="AE39" s="2">
        <v>61.536000000000001</v>
      </c>
      <c r="AF39" s="2"/>
      <c r="AG39" s="2">
        <v>3441.694</v>
      </c>
      <c r="AH39" s="2">
        <v>1035.8219999999999</v>
      </c>
      <c r="AI39" s="2"/>
      <c r="AJ39" s="2"/>
      <c r="AK39" s="2">
        <v>45.720999999999997</v>
      </c>
      <c r="AL39" s="2">
        <v>1612.769</v>
      </c>
      <c r="AM39" s="2">
        <v>5054.4629999999997</v>
      </c>
      <c r="AN39" s="2">
        <v>1575.85</v>
      </c>
      <c r="AO39" s="2">
        <v>1847.2059999999999</v>
      </c>
      <c r="AP39" s="2">
        <v>444.09399999999999</v>
      </c>
      <c r="AQ39" s="2">
        <v>2526.2800000000002</v>
      </c>
      <c r="AR39" s="2">
        <v>4102.13</v>
      </c>
      <c r="AS39" s="2">
        <v>0.125</v>
      </c>
      <c r="AT39" s="2">
        <v>-1251.327</v>
      </c>
      <c r="AU39" s="2"/>
      <c r="AV39" s="2"/>
      <c r="AW39" s="2">
        <v>952.33299999999997</v>
      </c>
      <c r="AX39" s="2">
        <v>5054.4629999999997</v>
      </c>
      <c r="AY39" s="15"/>
      <c r="AZ39" s="2">
        <v>-61.902000000000001</v>
      </c>
      <c r="BA39" s="2">
        <v>78.323999999999998</v>
      </c>
      <c r="BB39" s="2">
        <v>47.161000000000001</v>
      </c>
      <c r="BC39" s="2">
        <v>125.485</v>
      </c>
      <c r="BD39" s="2">
        <v>-24.21</v>
      </c>
      <c r="BE39" s="2">
        <v>-259.53800000000001</v>
      </c>
      <c r="BF39" s="2">
        <v>107.45399999999999</v>
      </c>
      <c r="BG39" s="2">
        <v>130.32900000000001</v>
      </c>
      <c r="BH39" s="2">
        <v>-65.245000000000005</v>
      </c>
      <c r="BI39" s="2">
        <v>-1.6619999999999999</v>
      </c>
      <c r="BJ39" s="2">
        <v>-175.685</v>
      </c>
      <c r="BK39" s="2">
        <v>0</v>
      </c>
      <c r="BL39" s="2">
        <v>0</v>
      </c>
      <c r="BM39" s="2">
        <v>177.97399999999999</v>
      </c>
      <c r="BN39" s="2">
        <v>0</v>
      </c>
      <c r="BO39" s="2">
        <v>177.97399999999999</v>
      </c>
      <c r="BP39" s="2">
        <v>0.32100000000000001</v>
      </c>
      <c r="BQ39" s="2">
        <v>2.61</v>
      </c>
      <c r="BR39" s="2">
        <v>296.899</v>
      </c>
      <c r="BS39" s="2">
        <v>0</v>
      </c>
      <c r="BT39" s="2">
        <v>296.899</v>
      </c>
      <c r="BU39" s="2">
        <v>68.149000000000001</v>
      </c>
      <c r="BV39" s="2">
        <v>68.149000000000001</v>
      </c>
      <c r="BW39" s="2">
        <v>0</v>
      </c>
      <c r="BX39" s="2">
        <v>-83.555999999999997</v>
      </c>
      <c r="BY39" s="2">
        <v>281.49200000000002</v>
      </c>
      <c r="BZ39" s="2">
        <v>281.00200000000001</v>
      </c>
      <c r="CA39" s="2">
        <v>35.783999999999999</v>
      </c>
      <c r="CB39" s="2">
        <v>0</v>
      </c>
      <c r="CC39" s="15"/>
      <c r="CD39" s="2">
        <v>2.1840000000000002</v>
      </c>
      <c r="CE39" s="2">
        <v>0.65980000000000005</v>
      </c>
      <c r="CF39" s="2">
        <v>2.5733000000000001</v>
      </c>
      <c r="CG39" s="2">
        <v>27.685099999999998</v>
      </c>
      <c r="CH39" s="2">
        <v>-3.7372999999999998</v>
      </c>
      <c r="CI39" s="2">
        <v>-3.7372999999999998</v>
      </c>
      <c r="CJ39" s="2"/>
      <c r="CK39" s="2">
        <v>-7.8963000000000001</v>
      </c>
      <c r="CL39" s="2">
        <v>-8.0457999999999998</v>
      </c>
      <c r="CM39" s="2">
        <v>0.1522</v>
      </c>
      <c r="CN39" s="2">
        <v>0.93200000000000005</v>
      </c>
      <c r="CO39" s="2">
        <v>7.9637000000000002</v>
      </c>
      <c r="CP39" s="2">
        <v>11.301299999999999</v>
      </c>
      <c r="CQ39" s="2">
        <v>-6.4997999999999996</v>
      </c>
      <c r="CR39" s="2">
        <v>-6.4997999999999996</v>
      </c>
      <c r="CS39" s="2">
        <v>-1.2246999999999999</v>
      </c>
      <c r="CT39" s="2">
        <v>-2.2111000000000001</v>
      </c>
      <c r="CU39" s="2">
        <v>0.50960000000000005</v>
      </c>
      <c r="CV39" s="2">
        <v>-1.1000000000000001E-3</v>
      </c>
      <c r="CW39" s="2">
        <v>-9.4899999999999998E-2</v>
      </c>
    </row>
    <row r="40" spans="1:101" x14ac:dyDescent="0.25">
      <c r="A40" s="9">
        <v>41729</v>
      </c>
      <c r="B40" s="26" t="str">
        <f t="shared" si="0"/>
        <v>Q1 2014</v>
      </c>
      <c r="C40" s="15"/>
      <c r="D40" s="2">
        <v>620.54200000000003</v>
      </c>
      <c r="E40" s="23">
        <f t="shared" si="1"/>
        <v>8.6523674744063417E-3</v>
      </c>
      <c r="F40" s="2">
        <v>465.41399999999999</v>
      </c>
      <c r="G40" s="2">
        <v>155.12799999999999</v>
      </c>
      <c r="H40" s="2">
        <v>81.543999999999997</v>
      </c>
      <c r="I40" s="2">
        <v>117.551</v>
      </c>
      <c r="J40" s="2"/>
      <c r="K40" s="2">
        <v>199.095</v>
      </c>
      <c r="L40" s="2">
        <v>-43.966999999999999</v>
      </c>
      <c r="M40" s="2">
        <v>-5.024</v>
      </c>
      <c r="N40" s="2">
        <v>-48.991</v>
      </c>
      <c r="O40" s="2">
        <v>0.80900000000000005</v>
      </c>
      <c r="P40" s="2">
        <v>-49.8</v>
      </c>
      <c r="Q40" s="2"/>
      <c r="R40" s="2">
        <v>-49.8</v>
      </c>
      <c r="S40" s="2"/>
      <c r="T40" s="2">
        <v>-49.8</v>
      </c>
      <c r="U40" s="2">
        <v>8.7940000000000005</v>
      </c>
      <c r="V40" s="2">
        <v>-43.966999999999999</v>
      </c>
      <c r="W40" s="2">
        <v>1852.095</v>
      </c>
      <c r="X40" s="2">
        <v>1852.095</v>
      </c>
      <c r="Y40" s="2">
        <v>-2.6700000000000002E-2</v>
      </c>
      <c r="Z40" s="2">
        <v>-2.6700000000000002E-2</v>
      </c>
      <c r="AA40" s="5"/>
      <c r="AB40" s="2">
        <v>2584.0680000000002</v>
      </c>
      <c r="AC40" s="2">
        <v>72.38</v>
      </c>
      <c r="AD40" s="2">
        <v>450.73</v>
      </c>
      <c r="AE40" s="2">
        <v>48.869</v>
      </c>
      <c r="AF40" s="2"/>
      <c r="AG40" s="2">
        <v>3156.047</v>
      </c>
      <c r="AH40" s="2">
        <v>849.38900000000001</v>
      </c>
      <c r="AI40" s="2"/>
      <c r="AJ40" s="2"/>
      <c r="AK40" s="2">
        <v>43.244999999999997</v>
      </c>
      <c r="AL40" s="2">
        <v>1344.3630000000001</v>
      </c>
      <c r="AM40" s="2">
        <v>4500.41</v>
      </c>
      <c r="AN40" s="2">
        <v>1413.47</v>
      </c>
      <c r="AO40" s="2">
        <v>1602.481</v>
      </c>
      <c r="AP40" s="2">
        <v>361.58600000000001</v>
      </c>
      <c r="AQ40" s="2">
        <v>2174.884</v>
      </c>
      <c r="AR40" s="2">
        <v>3588.3539999999998</v>
      </c>
      <c r="AS40" s="2">
        <v>0.124</v>
      </c>
      <c r="AT40" s="2">
        <v>-1189.42</v>
      </c>
      <c r="AU40" s="2"/>
      <c r="AV40" s="2"/>
      <c r="AW40" s="2">
        <v>912.05600000000004</v>
      </c>
      <c r="AX40" s="2">
        <v>4500.41</v>
      </c>
      <c r="AY40" s="15"/>
      <c r="AZ40" s="2">
        <v>-49.8</v>
      </c>
      <c r="BA40" s="2">
        <v>52.761000000000003</v>
      </c>
      <c r="BB40" s="2">
        <v>39.268000000000001</v>
      </c>
      <c r="BC40" s="2">
        <v>92.028999999999996</v>
      </c>
      <c r="BD40" s="2">
        <v>-23.721</v>
      </c>
      <c r="BE40" s="2">
        <v>-198.59399999999999</v>
      </c>
      <c r="BF40" s="2">
        <v>78.257000000000005</v>
      </c>
      <c r="BG40" s="2">
        <v>141.27199999999999</v>
      </c>
      <c r="BH40" s="2">
        <v>16.494</v>
      </c>
      <c r="BI40" s="2">
        <v>58.722999999999999</v>
      </c>
      <c r="BJ40" s="2">
        <v>-141.364</v>
      </c>
      <c r="BK40" s="2"/>
      <c r="BL40" s="2"/>
      <c r="BM40" s="2">
        <v>-189.11099999999999</v>
      </c>
      <c r="BN40" s="2"/>
      <c r="BO40" s="2">
        <v>-189.11099999999999</v>
      </c>
      <c r="BP40" s="2">
        <v>1.2949999999999999</v>
      </c>
      <c r="BQ40" s="2">
        <v>-329.18</v>
      </c>
      <c r="BR40" s="2">
        <v>1997.4549999999999</v>
      </c>
      <c r="BS40" s="2"/>
      <c r="BT40" s="2">
        <v>1997.4549999999999</v>
      </c>
      <c r="BU40" s="2">
        <v>374.12599999999998</v>
      </c>
      <c r="BV40" s="2">
        <v>374.12599999999998</v>
      </c>
      <c r="BW40" s="2"/>
      <c r="BX40" s="2">
        <v>-555.02200000000005</v>
      </c>
      <c r="BY40" s="2">
        <v>1816.559</v>
      </c>
      <c r="BZ40" s="2">
        <v>1548.019</v>
      </c>
      <c r="CA40" s="2">
        <v>37.037999999999997</v>
      </c>
      <c r="CB40" s="2"/>
      <c r="CC40" s="15"/>
      <c r="CD40" s="2">
        <v>2.2328000000000001</v>
      </c>
      <c r="CE40" s="2">
        <v>0.63729999999999998</v>
      </c>
      <c r="CF40" s="2">
        <v>2.4129999999999998</v>
      </c>
      <c r="CG40" s="2">
        <v>24.998799999999999</v>
      </c>
      <c r="CH40" s="2">
        <v>-7.0853000000000002</v>
      </c>
      <c r="CI40" s="2">
        <v>-7.0853000000000002</v>
      </c>
      <c r="CJ40" s="2"/>
      <c r="CK40" s="2">
        <v>-7.8948999999999998</v>
      </c>
      <c r="CL40" s="2">
        <v>-8.0251999999999999</v>
      </c>
      <c r="CM40" s="2">
        <v>0.13789999999999999</v>
      </c>
      <c r="CN40" s="2">
        <v>1.0326</v>
      </c>
      <c r="CO40" s="2">
        <v>8.5733999999999995</v>
      </c>
      <c r="CP40" s="2">
        <v>10.4976</v>
      </c>
      <c r="CQ40" s="2">
        <v>-5.4602000000000004</v>
      </c>
      <c r="CR40" s="2">
        <v>-5.4602000000000004</v>
      </c>
      <c r="CS40" s="2">
        <v>-1.1066</v>
      </c>
      <c r="CT40" s="2">
        <v>-1.9804999999999999</v>
      </c>
      <c r="CU40" s="2">
        <v>0.49020000000000002</v>
      </c>
      <c r="CV40" s="2">
        <v>3.1699999999999999E-2</v>
      </c>
      <c r="CW40" s="2">
        <v>-4.4600000000000001E-2</v>
      </c>
    </row>
    <row r="41" spans="1:101" x14ac:dyDescent="0.25">
      <c r="A41" s="9">
        <v>41639</v>
      </c>
      <c r="B41" s="26" t="str">
        <f t="shared" si="0"/>
        <v>Q4 2013</v>
      </c>
      <c r="C41" s="15"/>
      <c r="D41" s="2">
        <v>615.21889999999996</v>
      </c>
      <c r="E41" s="23">
        <f t="shared" si="1"/>
        <v>0.42627704905110964</v>
      </c>
      <c r="F41" s="2">
        <v>458.62799999999999</v>
      </c>
      <c r="G41" s="2">
        <v>156.5909</v>
      </c>
      <c r="H41" s="2">
        <v>68.453999999999994</v>
      </c>
      <c r="I41" s="2">
        <v>101.49</v>
      </c>
      <c r="J41" s="2"/>
      <c r="K41" s="2">
        <v>169.94399999999999</v>
      </c>
      <c r="L41" s="2">
        <v>-13.353199999999999</v>
      </c>
      <c r="M41" s="2">
        <v>-1.5529999999999999</v>
      </c>
      <c r="N41" s="2">
        <v>-14.906000000000001</v>
      </c>
      <c r="O41" s="2">
        <v>1.3580000000000001</v>
      </c>
      <c r="P41" s="2">
        <v>-16.263999999999999</v>
      </c>
      <c r="Q41" s="2"/>
      <c r="R41" s="2">
        <v>-16.263999999999999</v>
      </c>
      <c r="S41" s="2"/>
      <c r="T41" s="2">
        <v>-16.263999999999999</v>
      </c>
      <c r="U41" s="2">
        <v>28.030899999999999</v>
      </c>
      <c r="V41" s="2">
        <v>-13.3531</v>
      </c>
      <c r="W41" s="2">
        <v>1791.3150000000001</v>
      </c>
      <c r="X41" s="2">
        <v>1791.3150000000001</v>
      </c>
      <c r="Y41" s="2">
        <v>-9.2999999999999992E-3</v>
      </c>
      <c r="Z41" s="2">
        <v>-2.7000000000000001E-3</v>
      </c>
      <c r="AA41" s="5"/>
      <c r="AB41" s="2">
        <v>848.90099999999995</v>
      </c>
      <c r="AC41" s="2">
        <v>49.109000000000002</v>
      </c>
      <c r="AD41" s="2">
        <v>340.35500000000002</v>
      </c>
      <c r="AE41" s="2">
        <v>27.574000000000002</v>
      </c>
      <c r="AF41" s="2"/>
      <c r="AG41" s="2">
        <v>1265.9390000000001</v>
      </c>
      <c r="AH41" s="2">
        <v>738.49400000000003</v>
      </c>
      <c r="AI41" s="2"/>
      <c r="AJ41" s="2"/>
      <c r="AK41" s="2">
        <v>30.071999999999999</v>
      </c>
      <c r="AL41" s="2">
        <v>1150.991</v>
      </c>
      <c r="AM41" s="2">
        <v>2416.9299999999998</v>
      </c>
      <c r="AN41" s="2">
        <v>675.16</v>
      </c>
      <c r="AO41" s="2">
        <v>598.97400000000005</v>
      </c>
      <c r="AP41" s="2">
        <v>294.49599999999998</v>
      </c>
      <c r="AQ41" s="2">
        <v>1074.6500000000001</v>
      </c>
      <c r="AR41" s="2">
        <v>1749.81</v>
      </c>
      <c r="AS41" s="2">
        <v>0.123</v>
      </c>
      <c r="AT41" s="2">
        <v>-1139.6199999999999</v>
      </c>
      <c r="AU41" s="2"/>
      <c r="AV41" s="2"/>
      <c r="AW41" s="2">
        <v>667.12</v>
      </c>
      <c r="AX41" s="2">
        <v>2416.9299999999998</v>
      </c>
      <c r="AY41" s="15"/>
      <c r="AZ41" s="2">
        <v>-16.263999999999999</v>
      </c>
      <c r="BA41" s="2">
        <v>41.384</v>
      </c>
      <c r="BB41" s="2">
        <v>11.430999999999999</v>
      </c>
      <c r="BC41" s="2">
        <v>52.814999999999998</v>
      </c>
      <c r="BD41" s="2">
        <v>-0.98899999999999999</v>
      </c>
      <c r="BE41" s="2">
        <v>-102.14400000000001</v>
      </c>
      <c r="BF41" s="2">
        <v>-25.420999999999999</v>
      </c>
      <c r="BG41" s="2">
        <v>172.91</v>
      </c>
      <c r="BH41" s="2">
        <v>97.436000000000007</v>
      </c>
      <c r="BI41" s="2">
        <v>133.98699999999999</v>
      </c>
      <c r="BJ41" s="2">
        <v>-89.433999999999997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-7.0999999999999994E-2</v>
      </c>
      <c r="BQ41" s="2">
        <v>-89.504999999999995</v>
      </c>
      <c r="BR41" s="2">
        <v>-2.0449999999999999</v>
      </c>
      <c r="BS41" s="2">
        <v>0</v>
      </c>
      <c r="BT41" s="2">
        <v>-2.0449999999999999</v>
      </c>
      <c r="BU41" s="2">
        <v>13.087999999999999</v>
      </c>
      <c r="BV41" s="2">
        <v>13.087999999999999</v>
      </c>
      <c r="BW41" s="2">
        <v>0</v>
      </c>
      <c r="BX41" s="2">
        <v>-0.52700000000000002</v>
      </c>
      <c r="BY41" s="2">
        <v>10.516</v>
      </c>
      <c r="BZ41" s="2">
        <v>50.773000000000003</v>
      </c>
      <c r="CA41" s="2">
        <v>25.170999999999999</v>
      </c>
      <c r="CB41" s="2">
        <v>0</v>
      </c>
      <c r="CC41" s="15"/>
      <c r="CD41" s="2">
        <v>1.875</v>
      </c>
      <c r="CE41" s="2">
        <v>0.47310000000000002</v>
      </c>
      <c r="CF41" s="2">
        <v>0.90969999999999995</v>
      </c>
      <c r="CG41" s="2">
        <v>25.4529</v>
      </c>
      <c r="CH41" s="2">
        <v>-2.1705000000000001</v>
      </c>
      <c r="CI41" s="2">
        <v>-2.1705000000000001</v>
      </c>
      <c r="CJ41" s="2"/>
      <c r="CK41" s="2">
        <v>-2.4228999999999998</v>
      </c>
      <c r="CL41" s="2">
        <v>-2.6436000000000002</v>
      </c>
      <c r="CM41" s="2">
        <v>0.2545</v>
      </c>
      <c r="CN41" s="2">
        <v>1.3474999999999999</v>
      </c>
      <c r="CO41" s="2">
        <v>12.5276</v>
      </c>
      <c r="CP41" s="2">
        <v>7.1840999999999999</v>
      </c>
      <c r="CQ41" s="2">
        <v>-2.4379</v>
      </c>
      <c r="CR41" s="2">
        <v>-2.4379</v>
      </c>
      <c r="CS41" s="2">
        <v>-0.67290000000000005</v>
      </c>
      <c r="CT41" s="2">
        <v>-1.2846</v>
      </c>
      <c r="CU41" s="2">
        <v>0.36130000000000001</v>
      </c>
      <c r="CV41" s="2">
        <v>7.6200000000000004E-2</v>
      </c>
      <c r="CW41" s="2">
        <v>2.4400000000000002E-2</v>
      </c>
    </row>
    <row r="42" spans="1:101" x14ac:dyDescent="0.25">
      <c r="A42" s="9">
        <v>41547</v>
      </c>
      <c r="B42" s="26" t="str">
        <f t="shared" si="0"/>
        <v>Q3 2013</v>
      </c>
      <c r="C42" s="15"/>
      <c r="D42" s="2">
        <v>431.346</v>
      </c>
      <c r="E42" s="23">
        <f t="shared" si="1"/>
        <v>6.4686440949896173E-2</v>
      </c>
      <c r="F42" s="2">
        <v>328.47800000000001</v>
      </c>
      <c r="G42" s="2">
        <v>102.86799999999999</v>
      </c>
      <c r="H42" s="2">
        <v>56.350999999999999</v>
      </c>
      <c r="I42" s="2">
        <v>77.070999999999998</v>
      </c>
      <c r="J42" s="2"/>
      <c r="K42" s="2">
        <v>133.422</v>
      </c>
      <c r="L42" s="2">
        <v>-30.553999999999998</v>
      </c>
      <c r="M42" s="2">
        <v>-7.1639999999999997</v>
      </c>
      <c r="N42" s="2">
        <v>-37.718000000000004</v>
      </c>
      <c r="O42" s="2">
        <v>0.77800000000000002</v>
      </c>
      <c r="P42" s="2">
        <v>-38.496000000000002</v>
      </c>
      <c r="Q42" s="2"/>
      <c r="R42" s="2">
        <v>-38.496000000000002</v>
      </c>
      <c r="S42" s="2"/>
      <c r="T42" s="2">
        <v>-38.496000000000002</v>
      </c>
      <c r="U42" s="2">
        <v>1.6579999999999999</v>
      </c>
      <c r="V42" s="2">
        <v>-30.553999999999998</v>
      </c>
      <c r="W42" s="2">
        <v>1827.93</v>
      </c>
      <c r="X42" s="2">
        <v>1827.93</v>
      </c>
      <c r="Y42" s="2">
        <v>-2.1299999999999999E-2</v>
      </c>
      <c r="Z42" s="2">
        <v>-2.1299999999999999E-2</v>
      </c>
      <c r="AA42" s="5"/>
      <c r="AB42" s="2">
        <v>796.38099999999997</v>
      </c>
      <c r="AC42" s="2">
        <v>47.58</v>
      </c>
      <c r="AD42" s="2">
        <v>347.54500000000002</v>
      </c>
      <c r="AE42" s="2">
        <v>27.26</v>
      </c>
      <c r="AF42" s="2"/>
      <c r="AG42" s="2">
        <v>1218.7660000000001</v>
      </c>
      <c r="AH42" s="2">
        <v>654.48199999999997</v>
      </c>
      <c r="AI42" s="2"/>
      <c r="AJ42" s="2"/>
      <c r="AK42" s="2">
        <v>24.137</v>
      </c>
      <c r="AL42" s="2">
        <v>947.44309999999996</v>
      </c>
      <c r="AM42" s="2">
        <v>2166.2089999999998</v>
      </c>
      <c r="AN42" s="2">
        <v>1169.4590000000001</v>
      </c>
      <c r="AO42" s="2">
        <v>88.429000000000002</v>
      </c>
      <c r="AP42" s="2">
        <v>212.858</v>
      </c>
      <c r="AQ42" s="2">
        <v>432.58499999999998</v>
      </c>
      <c r="AR42" s="2">
        <v>1602.0440000000001</v>
      </c>
      <c r="AS42" s="2">
        <v>0.123</v>
      </c>
      <c r="AT42" s="2">
        <v>-1123.355</v>
      </c>
      <c r="AU42" s="2"/>
      <c r="AV42" s="2"/>
      <c r="AW42" s="2">
        <v>564.16499999999996</v>
      </c>
      <c r="AX42" s="2">
        <v>2166.2089999999998</v>
      </c>
      <c r="AY42" s="15"/>
      <c r="AZ42" s="2">
        <v>-38.496000000000002</v>
      </c>
      <c r="BA42" s="2">
        <v>32.212000000000003</v>
      </c>
      <c r="BB42" s="2">
        <v>23.263999999999999</v>
      </c>
      <c r="BC42" s="2">
        <v>55.475999999999999</v>
      </c>
      <c r="BD42" s="2">
        <v>66.162000000000006</v>
      </c>
      <c r="BE42" s="2">
        <v>-229.17</v>
      </c>
      <c r="BF42" s="2">
        <v>33.795999999999999</v>
      </c>
      <c r="BG42" s="2">
        <v>194.911</v>
      </c>
      <c r="BH42" s="2">
        <v>85.055999999999997</v>
      </c>
      <c r="BI42" s="2">
        <v>102.036</v>
      </c>
      <c r="BJ42" s="2">
        <v>-76.548000000000002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-0.95399999999999996</v>
      </c>
      <c r="BQ42" s="2">
        <v>-77.501999999999995</v>
      </c>
      <c r="BR42" s="2">
        <v>-123.06399999999999</v>
      </c>
      <c r="BS42" s="2">
        <v>0</v>
      </c>
      <c r="BT42" s="2">
        <v>-123.06399999999999</v>
      </c>
      <c r="BU42" s="2">
        <v>147.446</v>
      </c>
      <c r="BV42" s="2">
        <v>147.446</v>
      </c>
      <c r="BW42" s="2">
        <v>0</v>
      </c>
      <c r="BX42" s="2">
        <v>-0.16700000000000001</v>
      </c>
      <c r="BY42" s="2">
        <v>24.215</v>
      </c>
      <c r="BZ42" s="2">
        <v>49.058999999999997</v>
      </c>
      <c r="CA42" s="2">
        <v>20.984000000000002</v>
      </c>
      <c r="CB42" s="2">
        <v>0</v>
      </c>
      <c r="CC42" s="15"/>
      <c r="CD42" s="2">
        <v>1.0422</v>
      </c>
      <c r="CE42" s="2">
        <v>0.13550000000000001</v>
      </c>
      <c r="CF42" s="2">
        <v>1.1998</v>
      </c>
      <c r="CG42" s="2">
        <v>23.848099999999999</v>
      </c>
      <c r="CH42" s="2">
        <v>-7.0834000000000001</v>
      </c>
      <c r="CI42" s="2">
        <v>-7.0834000000000001</v>
      </c>
      <c r="CJ42" s="2"/>
      <c r="CK42" s="2">
        <v>-8.7443000000000008</v>
      </c>
      <c r="CL42" s="2">
        <v>-8.9245999999999999</v>
      </c>
      <c r="CM42" s="2">
        <v>0.1991</v>
      </c>
      <c r="CN42" s="2">
        <v>0.94510000000000005</v>
      </c>
      <c r="CO42" s="2">
        <v>9.0656999999999996</v>
      </c>
      <c r="CP42" s="2">
        <v>9.9275000000000002</v>
      </c>
      <c r="CQ42" s="2">
        <v>-6.8235000000000001</v>
      </c>
      <c r="CR42" s="2">
        <v>-6.8235000000000001</v>
      </c>
      <c r="CS42" s="2">
        <v>-1.7770999999999999</v>
      </c>
      <c r="CT42" s="2">
        <v>-5.8989000000000003</v>
      </c>
      <c r="CU42" s="2">
        <v>0.30690000000000001</v>
      </c>
      <c r="CV42" s="2">
        <v>5.5399999999999998E-2</v>
      </c>
      <c r="CW42" s="2">
        <v>1.5100000000000001E-2</v>
      </c>
    </row>
    <row r="43" spans="1:101" x14ac:dyDescent="0.25">
      <c r="A43" s="9">
        <v>41455</v>
      </c>
      <c r="B43" s="26" t="str">
        <f t="shared" si="0"/>
        <v>Q2 2013</v>
      </c>
      <c r="C43" s="15"/>
      <c r="D43" s="2">
        <v>405.13900000000001</v>
      </c>
      <c r="E43" s="23">
        <f t="shared" si="1"/>
        <v>-0.27884519537480068</v>
      </c>
      <c r="F43" s="2">
        <v>304.65600000000001</v>
      </c>
      <c r="G43" s="2">
        <v>100.483</v>
      </c>
      <c r="H43" s="2">
        <v>52.311999999999998</v>
      </c>
      <c r="I43" s="2">
        <v>59.963000000000001</v>
      </c>
      <c r="J43" s="2"/>
      <c r="K43" s="2">
        <v>112.27500000000001</v>
      </c>
      <c r="L43" s="2">
        <v>-11.792</v>
      </c>
      <c r="M43" s="2">
        <v>-18.408999999999999</v>
      </c>
      <c r="N43" s="2">
        <v>-30.201000000000001</v>
      </c>
      <c r="O43" s="2">
        <v>0.30099999999999999</v>
      </c>
      <c r="P43" s="2">
        <v>-30.501999999999999</v>
      </c>
      <c r="Q43" s="2"/>
      <c r="R43" s="2">
        <v>-30.501999999999999</v>
      </c>
      <c r="S43" s="2"/>
      <c r="T43" s="2">
        <v>-30.501999999999999</v>
      </c>
      <c r="U43" s="2">
        <v>17.545999999999999</v>
      </c>
      <c r="V43" s="2">
        <v>-11.792</v>
      </c>
      <c r="W43" s="2">
        <v>1772.91</v>
      </c>
      <c r="X43" s="2">
        <v>1772.91</v>
      </c>
      <c r="Y43" s="2">
        <v>-1.7299999999999999E-2</v>
      </c>
      <c r="Z43" s="2">
        <v>-1.7299999999999999E-2</v>
      </c>
      <c r="AA43" s="5"/>
      <c r="AB43" s="2">
        <v>747.41899999999998</v>
      </c>
      <c r="AC43" s="2">
        <v>113.544</v>
      </c>
      <c r="AD43" s="2">
        <v>254.89099999999999</v>
      </c>
      <c r="AE43" s="2">
        <v>13.688000000000001</v>
      </c>
      <c r="AF43" s="2"/>
      <c r="AG43" s="2">
        <v>1129.5419999999999</v>
      </c>
      <c r="AH43" s="2">
        <v>595.57899999999995</v>
      </c>
      <c r="AI43" s="2"/>
      <c r="AJ43" s="2"/>
      <c r="AK43" s="2">
        <v>31.254999999999999</v>
      </c>
      <c r="AL43" s="2">
        <v>758.30200000000002</v>
      </c>
      <c r="AM43" s="2">
        <v>1887.8440000000001</v>
      </c>
      <c r="AN43" s="2">
        <v>486.54500000000002</v>
      </c>
      <c r="AO43" s="2">
        <v>587.98900000000003</v>
      </c>
      <c r="AP43" s="2">
        <v>115.59099999999999</v>
      </c>
      <c r="AQ43" s="2">
        <v>771.87300000000005</v>
      </c>
      <c r="AR43" s="2">
        <v>1258.4179999999999</v>
      </c>
      <c r="AS43" s="2">
        <v>0.121</v>
      </c>
      <c r="AT43" s="2">
        <v>-1084.8579999999999</v>
      </c>
      <c r="AU43" s="2"/>
      <c r="AV43" s="2"/>
      <c r="AW43" s="2">
        <v>629.42600000000004</v>
      </c>
      <c r="AX43" s="2">
        <v>1887.8440000000001</v>
      </c>
      <c r="AY43" s="15"/>
      <c r="AZ43" s="2">
        <v>-30.501999999999999</v>
      </c>
      <c r="BA43" s="2">
        <v>29.338000000000001</v>
      </c>
      <c r="BB43" s="2">
        <v>28.283000000000001</v>
      </c>
      <c r="BC43" s="2">
        <v>57.621000000000002</v>
      </c>
      <c r="BD43" s="2">
        <v>-67.581000000000003</v>
      </c>
      <c r="BE43" s="2">
        <v>-147.46700000000001</v>
      </c>
      <c r="BF43" s="2">
        <v>-34.036000000000001</v>
      </c>
      <c r="BG43" s="2">
        <v>172.61699999999999</v>
      </c>
      <c r="BH43" s="2">
        <v>-62.417000000000002</v>
      </c>
      <c r="BI43" s="2">
        <v>-35.298000000000002</v>
      </c>
      <c r="BJ43" s="2">
        <v>-40.515000000000001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13.340999999999999</v>
      </c>
      <c r="BQ43" s="2">
        <v>-27.173999999999999</v>
      </c>
      <c r="BR43" s="2">
        <v>161.02600000000001</v>
      </c>
      <c r="BS43" s="2">
        <v>0</v>
      </c>
      <c r="BT43" s="2">
        <v>161.02600000000001</v>
      </c>
      <c r="BU43" s="2">
        <v>452.18799999999999</v>
      </c>
      <c r="BV43" s="2">
        <v>452.18799999999999</v>
      </c>
      <c r="BW43" s="2">
        <v>0</v>
      </c>
      <c r="BX43" s="2">
        <v>-16.207000000000001</v>
      </c>
      <c r="BY43" s="2">
        <v>597.00699999999995</v>
      </c>
      <c r="BZ43" s="2">
        <v>531.64</v>
      </c>
      <c r="CA43" s="2">
        <v>19.713999999999999</v>
      </c>
      <c r="CB43" s="2">
        <v>0</v>
      </c>
      <c r="CC43" s="15"/>
      <c r="CD43" s="2">
        <v>2.3216000000000001</v>
      </c>
      <c r="CE43" s="2">
        <v>0.48299999999999998</v>
      </c>
      <c r="CF43" s="2">
        <v>0.94320000000000004</v>
      </c>
      <c r="CG43" s="2">
        <v>24.802099999999999</v>
      </c>
      <c r="CH43" s="2">
        <v>-2.9106000000000001</v>
      </c>
      <c r="CI43" s="2">
        <v>-2.9106000000000001</v>
      </c>
      <c r="CJ43" s="2"/>
      <c r="CK43" s="2">
        <v>-7.4545000000000003</v>
      </c>
      <c r="CL43" s="2">
        <v>-7.5288000000000004</v>
      </c>
      <c r="CM43" s="2">
        <v>0.21460000000000001</v>
      </c>
      <c r="CN43" s="2">
        <v>1.1952</v>
      </c>
      <c r="CO43" s="2">
        <v>3.5680999999999998</v>
      </c>
      <c r="CP43" s="2">
        <v>25.223299999999998</v>
      </c>
      <c r="CQ43" s="2">
        <v>-4.8460000000000001</v>
      </c>
      <c r="CR43" s="2">
        <v>-4.8460000000000001</v>
      </c>
      <c r="CS43" s="2">
        <v>-1.6156999999999999</v>
      </c>
      <c r="CT43" s="2">
        <v>-2.5055000000000001</v>
      </c>
      <c r="CU43" s="2">
        <v>0.34560000000000002</v>
      </c>
      <c r="CV43" s="2">
        <v>-1.8200000000000001E-2</v>
      </c>
      <c r="CW43" s="2">
        <v>-4.2599999999999999E-2</v>
      </c>
    </row>
    <row r="44" spans="1:101" x14ac:dyDescent="0.25">
      <c r="A44" s="9">
        <v>41364</v>
      </c>
      <c r="B44" s="26" t="str">
        <f t="shared" si="0"/>
        <v>Q1 2013</v>
      </c>
      <c r="C44" s="15"/>
      <c r="D44" s="2">
        <v>561.79200000000003</v>
      </c>
      <c r="E44" s="23">
        <f t="shared" si="1"/>
        <v>0.83393181254325377</v>
      </c>
      <c r="F44" s="2">
        <v>465.47199999999998</v>
      </c>
      <c r="G44" s="2">
        <v>96.32</v>
      </c>
      <c r="H44" s="2">
        <v>54.859000000000002</v>
      </c>
      <c r="I44" s="2">
        <v>47.045000000000002</v>
      </c>
      <c r="J44" s="2"/>
      <c r="K44" s="2">
        <v>101.904</v>
      </c>
      <c r="L44" s="2">
        <v>-5.5839999999999996</v>
      </c>
      <c r="M44" s="2">
        <v>16.983000000000001</v>
      </c>
      <c r="N44" s="2">
        <v>11.398999999999999</v>
      </c>
      <c r="O44" s="2">
        <v>0.151</v>
      </c>
      <c r="P44" s="2">
        <v>11.247999999999999</v>
      </c>
      <c r="Q44" s="2"/>
      <c r="R44" s="2">
        <v>11.247999999999999</v>
      </c>
      <c r="S44" s="2"/>
      <c r="T44" s="2">
        <v>11.247999999999999</v>
      </c>
      <c r="U44" s="2">
        <v>12.266</v>
      </c>
      <c r="V44" s="2">
        <v>-5.5839999999999996</v>
      </c>
      <c r="W44" s="2">
        <v>1720.68</v>
      </c>
      <c r="X44" s="2">
        <v>1863.9749999999999</v>
      </c>
      <c r="Y44" s="2">
        <v>6.7000000000000002E-3</v>
      </c>
      <c r="Z44" s="2">
        <v>0</v>
      </c>
      <c r="AA44" s="5"/>
      <c r="AB44" s="2">
        <v>231.136</v>
      </c>
      <c r="AC44" s="2">
        <v>46.139000000000003</v>
      </c>
      <c r="AD44" s="2">
        <v>237.61799999999999</v>
      </c>
      <c r="AE44" s="2">
        <v>11.1</v>
      </c>
      <c r="AF44" s="2"/>
      <c r="AG44" s="2">
        <v>525.99300000000005</v>
      </c>
      <c r="AH44" s="2">
        <v>581.99699999999996</v>
      </c>
      <c r="AI44" s="2"/>
      <c r="AJ44" s="2"/>
      <c r="AK44" s="2">
        <v>26.728000000000002</v>
      </c>
      <c r="AL44" s="2">
        <v>617.78499999999997</v>
      </c>
      <c r="AM44" s="2">
        <v>1143.778</v>
      </c>
      <c r="AN44" s="2">
        <v>535.62300000000005</v>
      </c>
      <c r="AO44" s="2">
        <v>399.245</v>
      </c>
      <c r="AP44" s="2">
        <v>35.003999999999998</v>
      </c>
      <c r="AQ44" s="2">
        <v>439.572</v>
      </c>
      <c r="AR44" s="2">
        <v>975.19500000000005</v>
      </c>
      <c r="AS44" s="2">
        <v>0.115</v>
      </c>
      <c r="AT44" s="2">
        <v>-1054.357</v>
      </c>
      <c r="AU44" s="2"/>
      <c r="AV44" s="2"/>
      <c r="AW44" s="2">
        <v>168.583</v>
      </c>
      <c r="AX44" s="2">
        <v>1143.778</v>
      </c>
      <c r="AY44" s="15"/>
      <c r="AZ44" s="2">
        <v>11.247999999999999</v>
      </c>
      <c r="BA44" s="2">
        <v>17.850000000000001</v>
      </c>
      <c r="BB44" s="2">
        <v>6.0979999999999999</v>
      </c>
      <c r="BC44" s="2">
        <v>23.948</v>
      </c>
      <c r="BD44" s="2">
        <v>-19.297000000000001</v>
      </c>
      <c r="BE44" s="2">
        <v>18.22</v>
      </c>
      <c r="BF44" s="2">
        <v>25.661000000000001</v>
      </c>
      <c r="BG44" s="2">
        <v>3.3730000000000002</v>
      </c>
      <c r="BH44" s="2">
        <v>28.882999999999999</v>
      </c>
      <c r="BI44" s="2">
        <v>64.078999999999994</v>
      </c>
      <c r="BJ44" s="2">
        <v>-57.726999999999997</v>
      </c>
      <c r="BK44" s="2"/>
      <c r="BL44" s="2"/>
      <c r="BM44" s="2"/>
      <c r="BN44" s="2"/>
      <c r="BO44" s="2"/>
      <c r="BP44" s="2">
        <v>2.4910000000000001</v>
      </c>
      <c r="BQ44" s="2">
        <v>-55.235999999999997</v>
      </c>
      <c r="BR44" s="2">
        <v>-14.218999999999999</v>
      </c>
      <c r="BS44" s="2"/>
      <c r="BT44" s="2">
        <v>-14.218999999999999</v>
      </c>
      <c r="BU44" s="2">
        <v>17.902999999999999</v>
      </c>
      <c r="BV44" s="2">
        <v>17.902999999999999</v>
      </c>
      <c r="BW44" s="2"/>
      <c r="BX44" s="2"/>
      <c r="BY44" s="2">
        <v>3.6840000000000002</v>
      </c>
      <c r="BZ44" s="2">
        <v>12.526999999999999</v>
      </c>
      <c r="CA44" s="2">
        <v>14.868</v>
      </c>
      <c r="CB44" s="2"/>
      <c r="CC44" s="15"/>
      <c r="CD44" s="2">
        <v>0.98199999999999998</v>
      </c>
      <c r="CE44" s="2">
        <v>0.70309999999999995</v>
      </c>
      <c r="CF44" s="2">
        <v>2.7021999999999999</v>
      </c>
      <c r="CG44" s="2">
        <v>17.145099999999999</v>
      </c>
      <c r="CH44" s="2">
        <v>-0.99399999999999999</v>
      </c>
      <c r="CI44" s="2">
        <v>-0.99399999999999999</v>
      </c>
      <c r="CJ44" s="2"/>
      <c r="CK44" s="2">
        <v>2.0289999999999999</v>
      </c>
      <c r="CL44" s="2">
        <v>2.0022000000000002</v>
      </c>
      <c r="CM44" s="2">
        <v>0.49120000000000003</v>
      </c>
      <c r="CN44" s="2">
        <v>1.9589000000000001</v>
      </c>
      <c r="CO44" s="2">
        <v>12.1761</v>
      </c>
      <c r="CP44" s="2">
        <v>7.3914999999999997</v>
      </c>
      <c r="CQ44" s="2">
        <v>6.6721000000000004</v>
      </c>
      <c r="CR44" s="2">
        <v>6.6721000000000004</v>
      </c>
      <c r="CS44" s="2">
        <v>0.98340000000000005</v>
      </c>
      <c r="CT44" s="2">
        <v>1.9809000000000001</v>
      </c>
      <c r="CU44" s="2">
        <v>9.7600000000000006E-2</v>
      </c>
      <c r="CV44" s="2">
        <v>3.44E-2</v>
      </c>
      <c r="CW44" s="2">
        <v>3.3999999999999998E-3</v>
      </c>
    </row>
    <row r="45" spans="1:101" x14ac:dyDescent="0.25">
      <c r="A45" s="9">
        <v>41274</v>
      </c>
      <c r="B45" s="26" t="str">
        <f t="shared" si="0"/>
        <v>Q4 2012</v>
      </c>
      <c r="C45" s="15"/>
      <c r="D45" s="2">
        <v>306.33199999999999</v>
      </c>
      <c r="E45" s="23">
        <f t="shared" si="1"/>
        <v>5.1139230400766404</v>
      </c>
      <c r="F45" s="2">
        <v>282.476</v>
      </c>
      <c r="G45" s="2">
        <v>23.856000000000002</v>
      </c>
      <c r="H45" s="2">
        <v>68.831999999999994</v>
      </c>
      <c r="I45" s="2">
        <v>45.908999999999999</v>
      </c>
      <c r="J45" s="2"/>
      <c r="K45" s="2">
        <v>114.741</v>
      </c>
      <c r="L45" s="2">
        <v>-90.885000000000005</v>
      </c>
      <c r="M45" s="2">
        <v>0.80400000000000005</v>
      </c>
      <c r="N45" s="2">
        <v>-90.081000000000003</v>
      </c>
      <c r="O45" s="2">
        <v>-0.14799999999999999</v>
      </c>
      <c r="P45" s="2">
        <v>-89.933000000000007</v>
      </c>
      <c r="Q45" s="2"/>
      <c r="R45" s="2">
        <v>-89.933000000000007</v>
      </c>
      <c r="S45" s="2"/>
      <c r="T45" s="2">
        <v>-89.933000000000007</v>
      </c>
      <c r="U45" s="2">
        <v>-78.093000000000004</v>
      </c>
      <c r="V45" s="2">
        <v>-90.885000000000005</v>
      </c>
      <c r="W45" s="2">
        <v>1610.2349999999999</v>
      </c>
      <c r="X45" s="2">
        <v>1610.2349999999999</v>
      </c>
      <c r="Y45" s="2">
        <v>-5.1999999999999998E-2</v>
      </c>
      <c r="Z45" s="2">
        <v>-5.1999999999999998E-2</v>
      </c>
      <c r="AA45" s="5"/>
      <c r="AB45" s="2">
        <v>220.98400000000001</v>
      </c>
      <c r="AC45" s="2">
        <v>26.841999999999999</v>
      </c>
      <c r="AD45" s="2">
        <v>268.50400000000002</v>
      </c>
      <c r="AE45" s="2">
        <v>8.4380000000000006</v>
      </c>
      <c r="AF45" s="2"/>
      <c r="AG45" s="2">
        <v>524.76800000000003</v>
      </c>
      <c r="AH45" s="2">
        <v>552.22900000000004</v>
      </c>
      <c r="AI45" s="2"/>
      <c r="AJ45" s="2"/>
      <c r="AK45" s="2">
        <v>27.122</v>
      </c>
      <c r="AL45" s="2">
        <v>589.42200000000003</v>
      </c>
      <c r="AM45" s="2">
        <v>1114.19</v>
      </c>
      <c r="AN45" s="2">
        <v>539.10799999999995</v>
      </c>
      <c r="AO45" s="2">
        <v>411.46</v>
      </c>
      <c r="AP45" s="2">
        <v>35.862000000000002</v>
      </c>
      <c r="AQ45" s="2">
        <v>450.38200000000001</v>
      </c>
      <c r="AR45" s="2">
        <v>989.49</v>
      </c>
      <c r="AS45" s="2">
        <v>0.115</v>
      </c>
      <c r="AT45" s="2">
        <v>-1065.606</v>
      </c>
      <c r="AU45" s="2"/>
      <c r="AV45" s="2"/>
      <c r="AW45" s="2">
        <v>124.7</v>
      </c>
      <c r="AX45" s="2">
        <v>1114.19</v>
      </c>
      <c r="AY45" s="15"/>
      <c r="AZ45" s="2">
        <v>-89.930999999999997</v>
      </c>
      <c r="BA45" s="2">
        <v>12.792</v>
      </c>
      <c r="BB45" s="2">
        <v>16.54</v>
      </c>
      <c r="BC45" s="2">
        <v>29.332000000000001</v>
      </c>
      <c r="BD45" s="2">
        <v>-17.678000000000001</v>
      </c>
      <c r="BE45" s="2">
        <v>-90.694000000000003</v>
      </c>
      <c r="BF45" s="2">
        <v>116.593</v>
      </c>
      <c r="BG45" s="2">
        <v>5.7160000000000002</v>
      </c>
      <c r="BH45" s="2">
        <v>25.373999999999999</v>
      </c>
      <c r="BI45" s="2">
        <v>-35.225000000000001</v>
      </c>
      <c r="BJ45" s="2">
        <v>-64.052999999999997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3.2959999999999998</v>
      </c>
      <c r="BQ45" s="2">
        <v>-60.756999999999998</v>
      </c>
      <c r="BR45" s="2">
        <v>-13.858000000000001</v>
      </c>
      <c r="BS45" s="2">
        <v>0</v>
      </c>
      <c r="BT45" s="2">
        <v>-13.858000000000001</v>
      </c>
      <c r="BU45" s="2">
        <v>228.303</v>
      </c>
      <c r="BV45" s="2">
        <v>228.303</v>
      </c>
      <c r="BW45" s="2">
        <v>0</v>
      </c>
      <c r="BX45" s="2">
        <v>0</v>
      </c>
      <c r="BY45" s="2">
        <v>214.44499999999999</v>
      </c>
      <c r="BZ45" s="2">
        <v>116.197</v>
      </c>
      <c r="CA45" s="2">
        <v>14.416</v>
      </c>
      <c r="CB45" s="2">
        <v>0</v>
      </c>
      <c r="CC45" s="15"/>
      <c r="CD45" s="2">
        <v>0.97340000000000004</v>
      </c>
      <c r="CE45" s="2">
        <v>0.76739999999999997</v>
      </c>
      <c r="CF45" s="2">
        <v>3.7423000000000002</v>
      </c>
      <c r="CG45" s="2">
        <v>7.7876000000000003</v>
      </c>
      <c r="CH45" s="2">
        <v>-29.668800000000001</v>
      </c>
      <c r="CI45" s="2">
        <v>-29.668800000000001</v>
      </c>
      <c r="CJ45" s="2"/>
      <c r="CK45" s="2">
        <v>-29.406300000000002</v>
      </c>
      <c r="CL45" s="2">
        <v>-29.358000000000001</v>
      </c>
      <c r="CM45" s="2">
        <v>0.27489999999999998</v>
      </c>
      <c r="CN45" s="2">
        <v>1.052</v>
      </c>
      <c r="CO45" s="2">
        <v>11.4124</v>
      </c>
      <c r="CP45" s="2">
        <v>7.8860999999999999</v>
      </c>
      <c r="CQ45" s="2">
        <v>-72.119500000000002</v>
      </c>
      <c r="CR45" s="2">
        <v>-72.119500000000002</v>
      </c>
      <c r="CS45" s="2">
        <v>-8.0716000000000001</v>
      </c>
      <c r="CT45" s="2">
        <v>-16.773499999999999</v>
      </c>
      <c r="CU45" s="2">
        <v>7.2800000000000004E-2</v>
      </c>
      <c r="CV45" s="2">
        <v>-1.9400000000000001E-2</v>
      </c>
      <c r="CW45" s="2">
        <v>-5.74E-2</v>
      </c>
    </row>
    <row r="46" spans="1:101" x14ac:dyDescent="0.25">
      <c r="A46" s="9">
        <v>41182</v>
      </c>
      <c r="B46" s="26" t="str">
        <f t="shared" si="0"/>
        <v>Q3 2012</v>
      </c>
      <c r="C46" s="15"/>
      <c r="D46" s="2">
        <v>50.103999999999999</v>
      </c>
      <c r="E46" s="23">
        <f t="shared" si="1"/>
        <v>0.87986343000787914</v>
      </c>
      <c r="F46" s="2">
        <v>58.865000000000002</v>
      </c>
      <c r="G46" s="2">
        <v>-8.7609999999999992</v>
      </c>
      <c r="H46" s="2">
        <v>61.901000000000003</v>
      </c>
      <c r="I46" s="2">
        <v>37.798000000000002</v>
      </c>
      <c r="J46" s="2"/>
      <c r="K46" s="2">
        <v>99.698999999999998</v>
      </c>
      <c r="L46" s="2">
        <v>-108.46</v>
      </c>
      <c r="M46" s="2">
        <v>-2.2280000000000002</v>
      </c>
      <c r="N46" s="2">
        <v>-110.688</v>
      </c>
      <c r="O46" s="2">
        <v>0.11600000000000001</v>
      </c>
      <c r="P46" s="2">
        <v>-110.804</v>
      </c>
      <c r="Q46" s="2"/>
      <c r="R46" s="2">
        <v>-110.804</v>
      </c>
      <c r="S46" s="2"/>
      <c r="T46" s="2">
        <v>-110.804</v>
      </c>
      <c r="U46" s="2">
        <v>-100.938</v>
      </c>
      <c r="V46" s="2">
        <v>-108.46</v>
      </c>
      <c r="W46" s="2">
        <v>1583.34</v>
      </c>
      <c r="X46" s="2">
        <v>1583.34</v>
      </c>
      <c r="Y46" s="2">
        <v>-7.0000000000000007E-2</v>
      </c>
      <c r="Z46" s="2">
        <v>-7.0000000000000007E-2</v>
      </c>
      <c r="AA46" s="5"/>
      <c r="AB46" s="2">
        <v>108.554</v>
      </c>
      <c r="AC46" s="2">
        <v>9.1639999999999997</v>
      </c>
      <c r="AD46" s="2">
        <v>159.048</v>
      </c>
      <c r="AE46" s="2">
        <v>7.7750000000000004</v>
      </c>
      <c r="AF46" s="2"/>
      <c r="AG46" s="2">
        <v>284.541</v>
      </c>
      <c r="AH46" s="2">
        <v>486.24799999999999</v>
      </c>
      <c r="AI46" s="2"/>
      <c r="AJ46" s="2"/>
      <c r="AK46" s="2">
        <v>26.599</v>
      </c>
      <c r="AL46" s="2">
        <v>524.63599999999997</v>
      </c>
      <c r="AM46" s="2">
        <v>809.17700000000002</v>
      </c>
      <c r="AN46" s="2">
        <v>385.80599999999998</v>
      </c>
      <c r="AO46" s="2">
        <v>420.48500000000001</v>
      </c>
      <c r="AP46" s="2">
        <v>28.283999999999999</v>
      </c>
      <c r="AQ46" s="2">
        <v>451.24599999999998</v>
      </c>
      <c r="AR46" s="2">
        <v>837.05200000000002</v>
      </c>
      <c r="AS46" s="2">
        <v>0.106</v>
      </c>
      <c r="AT46" s="2">
        <v>-975.67399999999998</v>
      </c>
      <c r="AU46" s="2">
        <v>0</v>
      </c>
      <c r="AV46" s="2"/>
      <c r="AW46" s="2">
        <v>-27.875</v>
      </c>
      <c r="AX46" s="2">
        <v>809.17700000000002</v>
      </c>
      <c r="AY46" s="15"/>
      <c r="AZ46" s="2">
        <v>-110.806</v>
      </c>
      <c r="BA46" s="2">
        <v>7.5220000000000002</v>
      </c>
      <c r="BB46" s="2">
        <v>14.391999999999999</v>
      </c>
      <c r="BC46" s="2">
        <v>21.914000000000001</v>
      </c>
      <c r="BD46" s="2">
        <v>1.8580000000000001</v>
      </c>
      <c r="BE46" s="2">
        <v>-85.593999999999994</v>
      </c>
      <c r="BF46" s="2">
        <v>69.878</v>
      </c>
      <c r="BG46" s="2">
        <v>6.4359999999999999</v>
      </c>
      <c r="BH46" s="2">
        <v>-12.134</v>
      </c>
      <c r="BI46" s="2">
        <v>-101.026</v>
      </c>
      <c r="BJ46" s="2">
        <v>-62.398000000000003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-1.6160000000000001</v>
      </c>
      <c r="BQ46" s="2">
        <v>-64.013999999999996</v>
      </c>
      <c r="BR46" s="2">
        <v>32.491999999999997</v>
      </c>
      <c r="BS46" s="2">
        <v>0</v>
      </c>
      <c r="BT46" s="2">
        <v>32.491999999999997</v>
      </c>
      <c r="BU46" s="2">
        <v>7.6870000000000003</v>
      </c>
      <c r="BV46" s="2">
        <v>7.6870000000000003</v>
      </c>
      <c r="BW46" s="2">
        <v>0</v>
      </c>
      <c r="BX46" s="2">
        <v>0</v>
      </c>
      <c r="BY46" s="2">
        <v>40.179000000000002</v>
      </c>
      <c r="BZ46" s="2">
        <v>-124.861</v>
      </c>
      <c r="CA46" s="2">
        <v>12.475</v>
      </c>
      <c r="CB46" s="2">
        <v>0</v>
      </c>
      <c r="CC46" s="15"/>
      <c r="CD46" s="2">
        <v>0.73750000000000004</v>
      </c>
      <c r="CE46" s="2">
        <v>1.071</v>
      </c>
      <c r="CF46" s="2">
        <v>-17.0229</v>
      </c>
      <c r="CG46" s="2">
        <v>-17.485600000000002</v>
      </c>
      <c r="CH46" s="2">
        <v>-216.46979999999999</v>
      </c>
      <c r="CI46" s="2">
        <v>-216.46979999999999</v>
      </c>
      <c r="CJ46" s="2"/>
      <c r="CK46" s="2">
        <v>-220.91650000000001</v>
      </c>
      <c r="CL46" s="2">
        <v>-221.148</v>
      </c>
      <c r="CM46" s="2">
        <v>6.1899999999999997E-2</v>
      </c>
      <c r="CN46" s="2">
        <v>0.37009999999999998</v>
      </c>
      <c r="CO46" s="2">
        <v>5.4675000000000002</v>
      </c>
      <c r="CP46" s="2">
        <v>16.460999999999999</v>
      </c>
      <c r="CQ46" s="2">
        <v>397.50310000000002</v>
      </c>
      <c r="CR46" s="2">
        <v>397.50310000000002</v>
      </c>
      <c r="CS46" s="2">
        <v>-13.6934</v>
      </c>
      <c r="CT46" s="2">
        <v>-28.2224</v>
      </c>
      <c r="CU46" s="2">
        <v>-1.7600000000000001E-2</v>
      </c>
      <c r="CV46" s="2">
        <v>-6.3600000000000004E-2</v>
      </c>
      <c r="CW46" s="2">
        <v>-0.1028</v>
      </c>
    </row>
    <row r="47" spans="1:101" x14ac:dyDescent="0.25">
      <c r="A47" s="9">
        <v>41090</v>
      </c>
      <c r="B47" s="26" t="str">
        <f t="shared" si="0"/>
        <v>Q2 2012</v>
      </c>
      <c r="C47" s="15"/>
      <c r="D47" s="2">
        <v>26.652999999999999</v>
      </c>
      <c r="E47" s="23">
        <f t="shared" si="1"/>
        <v>-0.11648490071932915</v>
      </c>
      <c r="F47" s="2">
        <v>21.890999999999998</v>
      </c>
      <c r="G47" s="2">
        <v>4.7619999999999996</v>
      </c>
      <c r="H47" s="2">
        <v>74.853999999999999</v>
      </c>
      <c r="I47" s="2">
        <v>36.082999999999998</v>
      </c>
      <c r="J47" s="2"/>
      <c r="K47" s="2">
        <v>110.937</v>
      </c>
      <c r="L47" s="2">
        <v>-106.175</v>
      </c>
      <c r="M47" s="2">
        <v>0.68100000000000005</v>
      </c>
      <c r="N47" s="2">
        <v>-105.494</v>
      </c>
      <c r="O47" s="2">
        <v>0.109</v>
      </c>
      <c r="P47" s="2">
        <v>-105.60299999999999</v>
      </c>
      <c r="Q47" s="2"/>
      <c r="R47" s="2">
        <v>-105.60299999999999</v>
      </c>
      <c r="S47" s="2"/>
      <c r="T47" s="2">
        <v>-105.60299999999999</v>
      </c>
      <c r="U47" s="2">
        <v>-101.827</v>
      </c>
      <c r="V47" s="2">
        <v>-106.175</v>
      </c>
      <c r="W47" s="2">
        <v>1578.63</v>
      </c>
      <c r="X47" s="2">
        <v>1578.63</v>
      </c>
      <c r="Y47" s="2">
        <v>-6.6699999999999995E-2</v>
      </c>
      <c r="Z47" s="2">
        <v>-6.6699999999999995E-2</v>
      </c>
      <c r="AA47" s="5"/>
      <c r="AB47" s="2">
        <v>232.51400000000001</v>
      </c>
      <c r="AC47" s="2">
        <v>11.023</v>
      </c>
      <c r="AD47" s="2">
        <v>66.668999999999997</v>
      </c>
      <c r="AE47" s="2">
        <v>6.92</v>
      </c>
      <c r="AF47" s="2"/>
      <c r="AG47" s="2">
        <v>317.12599999999998</v>
      </c>
      <c r="AH47" s="2">
        <v>421.85899999999998</v>
      </c>
      <c r="AI47" s="2"/>
      <c r="AJ47" s="2"/>
      <c r="AK47" s="2">
        <v>26.100999999999999</v>
      </c>
      <c r="AL47" s="2">
        <v>459.74299999999999</v>
      </c>
      <c r="AM47" s="2">
        <v>776.86900000000003</v>
      </c>
      <c r="AN47" s="2">
        <v>286.52600000000001</v>
      </c>
      <c r="AO47" s="2">
        <v>400.875</v>
      </c>
      <c r="AP47" s="2">
        <v>24.643000000000001</v>
      </c>
      <c r="AQ47" s="2">
        <v>428.12799999999999</v>
      </c>
      <c r="AR47" s="2">
        <v>714.654</v>
      </c>
      <c r="AS47" s="2">
        <v>0.105</v>
      </c>
      <c r="AT47" s="2">
        <v>-864.87099999999998</v>
      </c>
      <c r="AU47" s="2">
        <v>0</v>
      </c>
      <c r="AV47" s="2"/>
      <c r="AW47" s="2">
        <v>62.215000000000003</v>
      </c>
      <c r="AX47" s="2">
        <v>776.86900000000003</v>
      </c>
      <c r="AY47" s="15"/>
      <c r="AZ47" s="2">
        <v>-105.60299999999999</v>
      </c>
      <c r="BA47" s="2">
        <v>4.3479999999999999</v>
      </c>
      <c r="BB47" s="2">
        <v>14.308</v>
      </c>
      <c r="BC47" s="2">
        <v>18.655999999999999</v>
      </c>
      <c r="BD47" s="2">
        <v>2.5670000000000002</v>
      </c>
      <c r="BE47" s="2">
        <v>-12.837999999999999</v>
      </c>
      <c r="BF47" s="2">
        <v>10.744</v>
      </c>
      <c r="BG47" s="2">
        <v>20.28</v>
      </c>
      <c r="BH47" s="2">
        <v>22.683</v>
      </c>
      <c r="BI47" s="2">
        <v>-64.263999999999996</v>
      </c>
      <c r="BJ47" s="2">
        <v>-58.003</v>
      </c>
      <c r="BK47" s="2">
        <v>0</v>
      </c>
      <c r="BL47" s="2">
        <v>0</v>
      </c>
      <c r="BM47" s="2">
        <v>25</v>
      </c>
      <c r="BN47" s="2">
        <v>0</v>
      </c>
      <c r="BO47" s="2">
        <v>25</v>
      </c>
      <c r="BP47" s="2">
        <v>17.071000000000002</v>
      </c>
      <c r="BQ47" s="2">
        <v>-15.932</v>
      </c>
      <c r="BR47" s="2">
        <v>70.781999999999996</v>
      </c>
      <c r="BS47" s="2">
        <v>0</v>
      </c>
      <c r="BT47" s="2">
        <v>70.781999999999996</v>
      </c>
      <c r="BU47" s="2">
        <v>1.3979999999999999</v>
      </c>
      <c r="BV47" s="2">
        <v>1.3979999999999999</v>
      </c>
      <c r="BW47" s="2">
        <v>0</v>
      </c>
      <c r="BX47" s="2">
        <v>0</v>
      </c>
      <c r="BY47" s="2">
        <v>72.180000000000007</v>
      </c>
      <c r="BZ47" s="2">
        <v>-8.016</v>
      </c>
      <c r="CA47" s="2">
        <v>12.542999999999999</v>
      </c>
      <c r="CB47" s="2">
        <v>0</v>
      </c>
      <c r="CC47" s="15"/>
      <c r="CD47" s="2">
        <v>1.1068</v>
      </c>
      <c r="CE47" s="2">
        <v>0.86570000000000003</v>
      </c>
      <c r="CF47" s="2">
        <v>7.0556999999999999</v>
      </c>
      <c r="CG47" s="2">
        <v>17.866700000000002</v>
      </c>
      <c r="CH47" s="2">
        <v>-398.36040000000003</v>
      </c>
      <c r="CI47" s="2">
        <v>-398.36040000000003</v>
      </c>
      <c r="CJ47" s="2"/>
      <c r="CK47" s="2">
        <v>-395.80540000000002</v>
      </c>
      <c r="CL47" s="2">
        <v>-396.21429999999998</v>
      </c>
      <c r="CM47" s="2">
        <v>3.4299999999999997E-2</v>
      </c>
      <c r="CN47" s="2">
        <v>0.32840000000000003</v>
      </c>
      <c r="CO47" s="2">
        <v>2.4178999999999999</v>
      </c>
      <c r="CP47" s="2">
        <v>37.221699999999998</v>
      </c>
      <c r="CQ47" s="2">
        <v>-169.73869999999999</v>
      </c>
      <c r="CR47" s="2">
        <v>-169.73869999999999</v>
      </c>
      <c r="CS47" s="2">
        <v>-13.593400000000001</v>
      </c>
      <c r="CT47" s="2">
        <v>-22.803999999999998</v>
      </c>
      <c r="CU47" s="2">
        <v>3.9399999999999998E-2</v>
      </c>
      <c r="CV47" s="2">
        <v>-4.0500000000000001E-2</v>
      </c>
      <c r="CW47" s="2">
        <v>-7.7100000000000002E-2</v>
      </c>
    </row>
    <row r="48" spans="1:101" x14ac:dyDescent="0.25">
      <c r="A48" s="9">
        <v>40999</v>
      </c>
      <c r="B48" s="26" t="str">
        <f t="shared" si="0"/>
        <v>Q1 2012</v>
      </c>
      <c r="C48" s="15"/>
      <c r="D48" s="2">
        <v>30.167000000000002</v>
      </c>
      <c r="E48" s="23">
        <f t="shared" si="1"/>
        <v>-0.2338539682539682</v>
      </c>
      <c r="F48" s="2">
        <v>19.957000000000001</v>
      </c>
      <c r="G48" s="2">
        <v>10.210000000000001</v>
      </c>
      <c r="H48" s="2">
        <v>68.391000000000005</v>
      </c>
      <c r="I48" s="2">
        <v>30.582000000000001</v>
      </c>
      <c r="J48" s="2"/>
      <c r="K48" s="2">
        <v>98.972999999999999</v>
      </c>
      <c r="L48" s="2">
        <v>-88.763000000000005</v>
      </c>
      <c r="M48" s="2">
        <v>-1.0509999999999999</v>
      </c>
      <c r="N48" s="2">
        <v>-89.813999999999993</v>
      </c>
      <c r="O48" s="2">
        <v>5.8999999999999997E-2</v>
      </c>
      <c r="P48" s="2">
        <v>-89.873000000000005</v>
      </c>
      <c r="Q48" s="2"/>
      <c r="R48" s="2">
        <v>-89.873000000000005</v>
      </c>
      <c r="S48" s="2"/>
      <c r="T48" s="2">
        <v>-89.873000000000005</v>
      </c>
      <c r="U48" s="2">
        <v>-84.6</v>
      </c>
      <c r="V48" s="2">
        <v>-88.763000000000005</v>
      </c>
      <c r="W48" s="2">
        <v>1571.76</v>
      </c>
      <c r="X48" s="2">
        <v>1571.76</v>
      </c>
      <c r="Y48" s="2">
        <v>-5.7299999999999997E-2</v>
      </c>
      <c r="Z48" s="2">
        <v>-5.7299999999999997E-2</v>
      </c>
      <c r="AA48" s="5"/>
      <c r="AB48" s="2">
        <v>282.77800000000002</v>
      </c>
      <c r="AC48" s="2">
        <v>13.589</v>
      </c>
      <c r="AD48" s="2">
        <v>55.427</v>
      </c>
      <c r="AE48" s="2">
        <v>7.1029999999999998</v>
      </c>
      <c r="AF48" s="2"/>
      <c r="AG48" s="2">
        <v>358.89699999999999</v>
      </c>
      <c r="AH48" s="2">
        <v>364.12799999999999</v>
      </c>
      <c r="AI48" s="2"/>
      <c r="AJ48" s="2"/>
      <c r="AK48" s="2">
        <v>26.029</v>
      </c>
      <c r="AL48" s="2">
        <v>402.20299999999997</v>
      </c>
      <c r="AM48" s="2">
        <v>761.1</v>
      </c>
      <c r="AN48" s="2">
        <v>235.72200000000001</v>
      </c>
      <c r="AO48" s="2">
        <v>344.04399999999998</v>
      </c>
      <c r="AP48" s="2">
        <v>24.388000000000002</v>
      </c>
      <c r="AQ48" s="2">
        <v>371.50400000000002</v>
      </c>
      <c r="AR48" s="2">
        <v>607.226</v>
      </c>
      <c r="AS48" s="2">
        <v>0.105</v>
      </c>
      <c r="AT48" s="2">
        <v>-759.26499999999999</v>
      </c>
      <c r="AU48" s="2">
        <v>-6.0000000000000001E-3</v>
      </c>
      <c r="AV48" s="2"/>
      <c r="AW48" s="2">
        <v>153.874</v>
      </c>
      <c r="AX48" s="2">
        <v>761.1</v>
      </c>
      <c r="AY48" s="15"/>
      <c r="AZ48" s="2">
        <v>-89.873000000000005</v>
      </c>
      <c r="BA48" s="2">
        <v>4.1630000000000003</v>
      </c>
      <c r="BB48" s="2">
        <v>13.391</v>
      </c>
      <c r="BC48" s="2">
        <v>17.553999999999998</v>
      </c>
      <c r="BD48" s="2">
        <v>-4.05</v>
      </c>
      <c r="BE48" s="2">
        <v>-5.6</v>
      </c>
      <c r="BF48" s="2">
        <v>-7.2709999999999999</v>
      </c>
      <c r="BG48" s="2">
        <v>24.992000000000001</v>
      </c>
      <c r="BH48" s="2">
        <v>9.0190000000000001</v>
      </c>
      <c r="BI48" s="2">
        <v>-63.3</v>
      </c>
      <c r="BJ48" s="2">
        <v>-54.774000000000001</v>
      </c>
      <c r="BK48" s="2"/>
      <c r="BL48" s="2"/>
      <c r="BM48" s="2">
        <v>8.0000000000000002E-3</v>
      </c>
      <c r="BN48" s="2"/>
      <c r="BO48" s="2">
        <v>8.0000000000000002E-3</v>
      </c>
      <c r="BP48" s="2">
        <v>-11.461</v>
      </c>
      <c r="BQ48" s="2">
        <v>-66.227000000000004</v>
      </c>
      <c r="BR48" s="2">
        <v>83.837999999999994</v>
      </c>
      <c r="BS48" s="2"/>
      <c r="BT48" s="2">
        <v>83.837999999999994</v>
      </c>
      <c r="BU48" s="2">
        <v>8.9930000000000003</v>
      </c>
      <c r="BV48" s="2">
        <v>8.9930000000000003</v>
      </c>
      <c r="BW48" s="2"/>
      <c r="BX48" s="2"/>
      <c r="BY48" s="2">
        <v>92.831000000000003</v>
      </c>
      <c r="BZ48" s="2">
        <v>-36.695999999999998</v>
      </c>
      <c r="CA48" s="2">
        <v>10.711</v>
      </c>
      <c r="CB48" s="2"/>
      <c r="CC48" s="15"/>
      <c r="CD48" s="2">
        <v>1.5225</v>
      </c>
      <c r="CE48" s="2">
        <v>0.69099999999999995</v>
      </c>
      <c r="CF48" s="2">
        <v>2.3780000000000001</v>
      </c>
      <c r="CG48" s="2">
        <v>33.844900000000003</v>
      </c>
      <c r="CH48" s="2">
        <v>-294.23869999999999</v>
      </c>
      <c r="CI48" s="2">
        <v>-294.23869999999999</v>
      </c>
      <c r="CJ48" s="2"/>
      <c r="CK48" s="2">
        <v>-297.72269999999997</v>
      </c>
      <c r="CL48" s="2">
        <v>-297.91829999999999</v>
      </c>
      <c r="CM48" s="2">
        <v>3.9600000000000003E-2</v>
      </c>
      <c r="CN48" s="2">
        <v>0.36009999999999998</v>
      </c>
      <c r="CO48" s="2">
        <v>2.2200000000000002</v>
      </c>
      <c r="CP48" s="2">
        <v>40.5413</v>
      </c>
      <c r="CQ48" s="2">
        <v>-58.4069</v>
      </c>
      <c r="CR48" s="2">
        <v>-58.4069</v>
      </c>
      <c r="CS48" s="2">
        <v>-11.808299999999999</v>
      </c>
      <c r="CT48" s="2">
        <v>-18.049800000000001</v>
      </c>
      <c r="CU48" s="2">
        <v>9.7500000000000003E-2</v>
      </c>
      <c r="CV48" s="2">
        <v>-4.0300000000000002E-2</v>
      </c>
      <c r="CW48" s="2">
        <v>-7.51E-2</v>
      </c>
    </row>
    <row r="49" spans="1:101" x14ac:dyDescent="0.25">
      <c r="A49" s="9">
        <v>40908</v>
      </c>
      <c r="B49" s="26" t="str">
        <f t="shared" si="0"/>
        <v>Q4 2011</v>
      </c>
      <c r="C49" s="15"/>
      <c r="D49" s="2">
        <v>39.375</v>
      </c>
      <c r="E49" s="23">
        <f t="shared" si="1"/>
        <v>-0.3171886380189366</v>
      </c>
      <c r="F49" s="2">
        <v>31.54</v>
      </c>
      <c r="G49" s="2">
        <v>7.835</v>
      </c>
      <c r="H49" s="2">
        <v>61.204999999999998</v>
      </c>
      <c r="I49" s="2">
        <v>27.556000000000001</v>
      </c>
      <c r="J49" s="2"/>
      <c r="K49" s="2">
        <v>88.760999999999996</v>
      </c>
      <c r="L49" s="2">
        <v>-80.926000000000002</v>
      </c>
      <c r="M49" s="2">
        <v>-0.45</v>
      </c>
      <c r="N49" s="2">
        <v>-81.376000000000005</v>
      </c>
      <c r="O49" s="2">
        <v>0.113</v>
      </c>
      <c r="P49" s="2">
        <v>-81.489000000000004</v>
      </c>
      <c r="Q49" s="2"/>
      <c r="R49" s="2">
        <v>-81.489000000000004</v>
      </c>
      <c r="S49" s="2"/>
      <c r="T49" s="2">
        <v>-81.489000000000004</v>
      </c>
      <c r="U49" s="2">
        <v>-76.122</v>
      </c>
      <c r="V49" s="2">
        <v>-80.926000000000002</v>
      </c>
      <c r="W49" s="2">
        <v>1505.835</v>
      </c>
      <c r="X49" s="2">
        <v>1505.835</v>
      </c>
      <c r="Y49" s="2">
        <v>-5.2699999999999997E-2</v>
      </c>
      <c r="Z49" s="2">
        <v>-5.2699999999999997E-2</v>
      </c>
      <c r="AA49" s="5"/>
      <c r="AB49" s="2">
        <v>303.803</v>
      </c>
      <c r="AC49" s="2">
        <v>9.5389999999999997</v>
      </c>
      <c r="AD49" s="2">
        <v>50.082000000000001</v>
      </c>
      <c r="AE49" s="2">
        <v>9.4139999999999997</v>
      </c>
      <c r="AF49" s="2"/>
      <c r="AG49" s="2">
        <v>372.83800000000002</v>
      </c>
      <c r="AH49" s="2">
        <v>298.41399999999999</v>
      </c>
      <c r="AI49" s="2"/>
      <c r="AJ49" s="2"/>
      <c r="AK49" s="2">
        <v>30.439</v>
      </c>
      <c r="AL49" s="2">
        <v>340.61</v>
      </c>
      <c r="AM49" s="2">
        <v>713.44799999999998</v>
      </c>
      <c r="AN49" s="2">
        <v>191.339</v>
      </c>
      <c r="AO49" s="2">
        <v>271.16500000000002</v>
      </c>
      <c r="AP49" s="2">
        <v>23.753</v>
      </c>
      <c r="AQ49" s="2">
        <v>298.06400000000002</v>
      </c>
      <c r="AR49" s="2">
        <v>489.40300000000002</v>
      </c>
      <c r="AS49" s="2">
        <v>0.104</v>
      </c>
      <c r="AT49" s="2">
        <v>-669.39200000000005</v>
      </c>
      <c r="AU49" s="2">
        <v>-3.0000000000000001E-3</v>
      </c>
      <c r="AV49" s="2"/>
      <c r="AW49" s="2">
        <v>224.04499999999999</v>
      </c>
      <c r="AX49" s="2">
        <v>713.44799999999998</v>
      </c>
      <c r="AY49" s="15"/>
      <c r="AZ49" s="2">
        <v>-81.489000000000004</v>
      </c>
      <c r="BA49" s="2">
        <v>4.8040000000000003</v>
      </c>
      <c r="BB49" s="2">
        <v>9.9420000000000002</v>
      </c>
      <c r="BC49" s="2">
        <v>14.746</v>
      </c>
      <c r="BD49" s="2">
        <v>8.7110000000000003</v>
      </c>
      <c r="BE49" s="2">
        <v>-2.8069999999999999</v>
      </c>
      <c r="BF49" s="2">
        <v>-19.896999999999998</v>
      </c>
      <c r="BG49" s="2">
        <v>27.568999999999999</v>
      </c>
      <c r="BH49" s="2">
        <v>25.984999999999999</v>
      </c>
      <c r="BI49" s="2">
        <v>-40.758000000000003</v>
      </c>
      <c r="BJ49" s="2">
        <v>-40.591999999999999</v>
      </c>
      <c r="BK49" s="2">
        <v>0</v>
      </c>
      <c r="BL49" s="2">
        <v>0</v>
      </c>
      <c r="BM49" s="2">
        <v>40</v>
      </c>
      <c r="BN49" s="2">
        <v>0</v>
      </c>
      <c r="BO49" s="2">
        <v>40</v>
      </c>
      <c r="BP49" s="2">
        <v>29.515000000000001</v>
      </c>
      <c r="BQ49" s="2">
        <v>28.922999999999998</v>
      </c>
      <c r="BR49" s="2">
        <v>51.06</v>
      </c>
      <c r="BS49" s="2">
        <v>0</v>
      </c>
      <c r="BT49" s="2">
        <v>51.06</v>
      </c>
      <c r="BU49" s="2">
        <v>2.7130000000000001</v>
      </c>
      <c r="BV49" s="2">
        <v>2.7130000000000001</v>
      </c>
      <c r="BW49" s="2">
        <v>0</v>
      </c>
      <c r="BX49" s="2">
        <v>0</v>
      </c>
      <c r="BY49" s="2">
        <v>53.773000000000003</v>
      </c>
      <c r="BZ49" s="2">
        <v>41.938000000000002</v>
      </c>
      <c r="CA49" s="2">
        <v>8.6820000000000004</v>
      </c>
      <c r="CB49" s="2">
        <v>0</v>
      </c>
      <c r="CC49" s="15"/>
      <c r="CD49" s="2">
        <v>1.9486000000000001</v>
      </c>
      <c r="CE49" s="2">
        <v>0.54759999999999998</v>
      </c>
      <c r="CF49" s="2">
        <v>1.2504</v>
      </c>
      <c r="CG49" s="2">
        <v>19.898399999999999</v>
      </c>
      <c r="CH49" s="2">
        <v>-205.52629999999999</v>
      </c>
      <c r="CI49" s="2">
        <v>-205.52629999999999</v>
      </c>
      <c r="CJ49" s="2"/>
      <c r="CK49" s="2">
        <v>-206.66919999999999</v>
      </c>
      <c r="CL49" s="2">
        <v>-206.9562</v>
      </c>
      <c r="CM49" s="2">
        <v>5.5199999999999999E-2</v>
      </c>
      <c r="CN49" s="2">
        <v>0.62980000000000003</v>
      </c>
      <c r="CO49" s="2">
        <v>4.1277999999999997</v>
      </c>
      <c r="CP49" s="2">
        <v>21.8034</v>
      </c>
      <c r="CQ49" s="2">
        <v>-36.371699999999997</v>
      </c>
      <c r="CR49" s="2">
        <v>-36.371699999999997</v>
      </c>
      <c r="CS49" s="2">
        <v>-11.421900000000001</v>
      </c>
      <c r="CT49" s="2">
        <v>-16.455500000000001</v>
      </c>
      <c r="CU49" s="2">
        <v>0.1429</v>
      </c>
      <c r="CV49" s="2">
        <v>-2.9100000000000001E-2</v>
      </c>
      <c r="CW49" s="2">
        <v>-5.9499999999999997E-2</v>
      </c>
    </row>
    <row r="50" spans="1:101" x14ac:dyDescent="0.25">
      <c r="A50" s="9">
        <v>40816</v>
      </c>
      <c r="B50" s="26" t="str">
        <f t="shared" si="0"/>
        <v>Q3 2011</v>
      </c>
      <c r="C50" s="15"/>
      <c r="D50" s="2">
        <v>57.665999999999997</v>
      </c>
      <c r="E50" s="23">
        <f t="shared" si="1"/>
        <v>-8.6813016795310727E-3</v>
      </c>
      <c r="F50" s="2">
        <v>40.442</v>
      </c>
      <c r="G50" s="2">
        <v>17.224</v>
      </c>
      <c r="H50" s="2">
        <v>54.082999999999998</v>
      </c>
      <c r="I50" s="2">
        <v>27.617999999999999</v>
      </c>
      <c r="J50" s="2"/>
      <c r="K50" s="2">
        <v>81.700999999999993</v>
      </c>
      <c r="L50" s="2">
        <v>-64.477000000000004</v>
      </c>
      <c r="M50" s="2">
        <v>-0.51400000000000001</v>
      </c>
      <c r="N50" s="2">
        <v>-64.991</v>
      </c>
      <c r="O50" s="2">
        <v>8.6999999999999994E-2</v>
      </c>
      <c r="P50" s="2">
        <v>-65.078000000000003</v>
      </c>
      <c r="Q50" s="2"/>
      <c r="R50" s="2">
        <v>-65.078000000000003</v>
      </c>
      <c r="S50" s="2"/>
      <c r="T50" s="2">
        <v>-65.078000000000003</v>
      </c>
      <c r="U50" s="2">
        <v>-60.197000000000003</v>
      </c>
      <c r="V50" s="2">
        <v>-64.477000000000004</v>
      </c>
      <c r="W50" s="2">
        <v>1561.155</v>
      </c>
      <c r="X50" s="2">
        <v>1561.155</v>
      </c>
      <c r="Y50" s="2">
        <v>-4.2000000000000003E-2</v>
      </c>
      <c r="Z50" s="2">
        <v>-4.2000000000000003E-2</v>
      </c>
      <c r="AA50" s="5"/>
      <c r="AB50" s="2">
        <v>333.69299999999998</v>
      </c>
      <c r="AC50" s="2">
        <v>18.25</v>
      </c>
      <c r="AD50" s="2">
        <v>49.216000000000001</v>
      </c>
      <c r="AE50" s="2">
        <v>10.962</v>
      </c>
      <c r="AF50" s="2"/>
      <c r="AG50" s="2">
        <v>412.12099999999998</v>
      </c>
      <c r="AH50" s="2">
        <v>248.12200000000001</v>
      </c>
      <c r="AI50" s="2"/>
      <c r="AJ50" s="2"/>
      <c r="AK50" s="2">
        <v>28.335000000000001</v>
      </c>
      <c r="AL50" s="2">
        <v>288.12900000000002</v>
      </c>
      <c r="AM50" s="2">
        <v>700.25</v>
      </c>
      <c r="AN50" s="2">
        <v>154.18100000000001</v>
      </c>
      <c r="AO50" s="2">
        <v>225.661</v>
      </c>
      <c r="AP50" s="2">
        <v>22.754000000000001</v>
      </c>
      <c r="AQ50" s="2">
        <v>251.95099999999999</v>
      </c>
      <c r="AR50" s="2">
        <v>406.13200000000001</v>
      </c>
      <c r="AS50" s="2">
        <v>0.104</v>
      </c>
      <c r="AT50" s="2">
        <v>-587.90300000000002</v>
      </c>
      <c r="AU50" s="2">
        <v>-2.4E-2</v>
      </c>
      <c r="AV50" s="2"/>
      <c r="AW50" s="2">
        <v>294.11799999999999</v>
      </c>
      <c r="AX50" s="2">
        <v>700.25</v>
      </c>
      <c r="AY50" s="15"/>
      <c r="AZ50" s="2">
        <v>-65.078000000000003</v>
      </c>
      <c r="BA50" s="2">
        <v>4.28</v>
      </c>
      <c r="BB50" s="2">
        <v>8.7940000000000005</v>
      </c>
      <c r="BC50" s="2">
        <v>13.074</v>
      </c>
      <c r="BD50" s="2">
        <v>5.0579999999999998</v>
      </c>
      <c r="BE50" s="2">
        <v>2.133</v>
      </c>
      <c r="BF50" s="2">
        <v>11.54</v>
      </c>
      <c r="BG50" s="2">
        <v>11.441000000000001</v>
      </c>
      <c r="BH50" s="2">
        <v>30.513000000000002</v>
      </c>
      <c r="BI50" s="2">
        <v>-21.491</v>
      </c>
      <c r="BJ50" s="2">
        <v>-68.843999999999994</v>
      </c>
      <c r="BK50" s="2">
        <v>0</v>
      </c>
      <c r="BL50" s="2">
        <v>0</v>
      </c>
      <c r="BM50" s="2">
        <v>-64.951999999999998</v>
      </c>
      <c r="BN50" s="2">
        <v>0</v>
      </c>
      <c r="BO50" s="2">
        <v>-64.951999999999998</v>
      </c>
      <c r="BP50" s="2">
        <v>-44.374000000000002</v>
      </c>
      <c r="BQ50" s="2">
        <v>-178.17</v>
      </c>
      <c r="BR50" s="2">
        <v>90.727000000000004</v>
      </c>
      <c r="BS50" s="2">
        <v>0</v>
      </c>
      <c r="BT50" s="2">
        <v>90.727000000000004</v>
      </c>
      <c r="BU50" s="2">
        <v>2.8820000000000001</v>
      </c>
      <c r="BV50" s="2">
        <v>2.8820000000000001</v>
      </c>
      <c r="BW50" s="2">
        <v>0</v>
      </c>
      <c r="BX50" s="2">
        <v>0</v>
      </c>
      <c r="BY50" s="2">
        <v>93.608999999999995</v>
      </c>
      <c r="BZ50" s="2">
        <v>-106.05200000000001</v>
      </c>
      <c r="CA50" s="2">
        <v>7.8849999999999998</v>
      </c>
      <c r="CB50" s="2">
        <v>0</v>
      </c>
      <c r="CC50" s="15"/>
      <c r="CD50" s="2">
        <v>2.673</v>
      </c>
      <c r="CE50" s="2">
        <v>0.43409999999999999</v>
      </c>
      <c r="CF50" s="2">
        <v>0.76859999999999995</v>
      </c>
      <c r="CG50" s="2">
        <v>29.868600000000001</v>
      </c>
      <c r="CH50" s="2">
        <v>-111.8111</v>
      </c>
      <c r="CI50" s="2">
        <v>-111.8111</v>
      </c>
      <c r="CJ50" s="2"/>
      <c r="CK50" s="2">
        <v>-112.7025</v>
      </c>
      <c r="CL50" s="2">
        <v>-112.8533</v>
      </c>
      <c r="CM50" s="2">
        <v>8.2400000000000001E-2</v>
      </c>
      <c r="CN50" s="2">
        <v>0.82169999999999999</v>
      </c>
      <c r="CO50" s="2">
        <v>3.1598000000000002</v>
      </c>
      <c r="CP50" s="2">
        <v>28.483000000000001</v>
      </c>
      <c r="CQ50" s="2">
        <v>-22.1265</v>
      </c>
      <c r="CR50" s="2">
        <v>-22.1265</v>
      </c>
      <c r="CS50" s="2">
        <v>-9.2934999999999999</v>
      </c>
      <c r="CT50" s="2">
        <v>-12.520300000000001</v>
      </c>
      <c r="CU50" s="2">
        <v>0.18820000000000001</v>
      </c>
      <c r="CV50" s="2">
        <v>-1.0999999999999999E-2</v>
      </c>
      <c r="CW50" s="2">
        <v>-5.1999999999999998E-2</v>
      </c>
    </row>
    <row r="51" spans="1:101" x14ac:dyDescent="0.25">
      <c r="A51" s="9">
        <v>40724</v>
      </c>
      <c r="B51" s="26" t="str">
        <f t="shared" si="0"/>
        <v>Q2 2011</v>
      </c>
      <c r="C51" s="15"/>
      <c r="D51" s="2">
        <v>58.170999999999999</v>
      </c>
      <c r="E51" s="23">
        <f t="shared" si="1"/>
        <v>0.18643687538241882</v>
      </c>
      <c r="F51" s="2">
        <v>39.662999999999997</v>
      </c>
      <c r="G51" s="2">
        <v>18.507999999999999</v>
      </c>
      <c r="H51" s="2">
        <v>52.530999999999999</v>
      </c>
      <c r="I51" s="2">
        <v>24.716000000000001</v>
      </c>
      <c r="J51" s="2"/>
      <c r="K51" s="2">
        <v>77.247</v>
      </c>
      <c r="L51" s="2">
        <v>-58.738999999999997</v>
      </c>
      <c r="M51" s="2">
        <v>-2.5000000000000001E-2</v>
      </c>
      <c r="N51" s="2">
        <v>-58.764000000000003</v>
      </c>
      <c r="O51" s="2">
        <v>0.13900000000000001</v>
      </c>
      <c r="P51" s="2">
        <v>-58.902999999999999</v>
      </c>
      <c r="Q51" s="2"/>
      <c r="R51" s="2">
        <v>-58.902999999999999</v>
      </c>
      <c r="S51" s="2"/>
      <c r="T51" s="2">
        <v>-58.902999999999999</v>
      </c>
      <c r="U51" s="2">
        <v>-54.420999999999999</v>
      </c>
      <c r="V51" s="2">
        <v>-58.738999999999997</v>
      </c>
      <c r="W51" s="2">
        <v>1466.355</v>
      </c>
      <c r="X51" s="2">
        <v>1466.355</v>
      </c>
      <c r="Y51" s="2">
        <v>-0.04</v>
      </c>
      <c r="Z51" s="2">
        <v>-0.04</v>
      </c>
      <c r="AA51" s="5"/>
      <c r="AB51" s="2">
        <v>330.63099999999997</v>
      </c>
      <c r="AC51" s="2">
        <v>23.308</v>
      </c>
      <c r="AD51" s="2">
        <v>54.311999999999998</v>
      </c>
      <c r="AE51" s="2">
        <v>9.5069999999999997</v>
      </c>
      <c r="AF51" s="2"/>
      <c r="AG51" s="2">
        <v>417.75799999999998</v>
      </c>
      <c r="AH51" s="2">
        <v>189.64699999999999</v>
      </c>
      <c r="AI51" s="2"/>
      <c r="AJ51" s="2"/>
      <c r="AK51" s="2">
        <v>28.216999999999999</v>
      </c>
      <c r="AL51" s="2">
        <v>228.39699999999999</v>
      </c>
      <c r="AM51" s="2">
        <v>646.15499999999997</v>
      </c>
      <c r="AN51" s="2">
        <v>138.73599999999999</v>
      </c>
      <c r="AO51" s="2">
        <v>134.536</v>
      </c>
      <c r="AP51" s="2">
        <v>21.206</v>
      </c>
      <c r="AQ51" s="2">
        <v>158.96700000000001</v>
      </c>
      <c r="AR51" s="2">
        <v>297.70299999999997</v>
      </c>
      <c r="AS51" s="2">
        <v>0.104</v>
      </c>
      <c r="AT51" s="2">
        <v>-522.82600000000002</v>
      </c>
      <c r="AU51" s="2"/>
      <c r="AV51" s="2"/>
      <c r="AW51" s="2">
        <v>348.452</v>
      </c>
      <c r="AX51" s="2">
        <v>646.15499999999997</v>
      </c>
      <c r="AY51" s="15"/>
      <c r="AZ51" s="2">
        <v>-58.902999999999999</v>
      </c>
      <c r="BA51" s="2">
        <v>4.3179999999999996</v>
      </c>
      <c r="BB51" s="2">
        <v>7.7530000000000001</v>
      </c>
      <c r="BC51" s="2">
        <v>12.071</v>
      </c>
      <c r="BD51" s="2">
        <v>-3.048</v>
      </c>
      <c r="BE51" s="2">
        <v>-6.0010000000000003</v>
      </c>
      <c r="BF51" s="2">
        <v>20.29</v>
      </c>
      <c r="BG51" s="2">
        <v>15.016999999999999</v>
      </c>
      <c r="BH51" s="2">
        <v>24.344000000000001</v>
      </c>
      <c r="BI51" s="2">
        <v>-22.488</v>
      </c>
      <c r="BJ51" s="2">
        <v>-54.314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31.192</v>
      </c>
      <c r="BQ51" s="2">
        <v>-23.122</v>
      </c>
      <c r="BR51" s="2">
        <v>31.643000000000001</v>
      </c>
      <c r="BS51" s="2">
        <v>0</v>
      </c>
      <c r="BT51" s="2">
        <v>31.643000000000001</v>
      </c>
      <c r="BU51" s="2">
        <v>232.69200000000001</v>
      </c>
      <c r="BV51" s="2">
        <v>232.69200000000001</v>
      </c>
      <c r="BW51" s="2">
        <v>0</v>
      </c>
      <c r="BX51" s="2">
        <v>0</v>
      </c>
      <c r="BY51" s="2">
        <v>264.33499999999998</v>
      </c>
      <c r="BZ51" s="2">
        <v>218.72499999999999</v>
      </c>
      <c r="CA51" s="2">
        <v>6.9260000000000002</v>
      </c>
      <c r="CB51" s="2">
        <v>0</v>
      </c>
      <c r="CC51" s="15"/>
      <c r="CD51" s="2">
        <v>3.0112000000000001</v>
      </c>
      <c r="CE51" s="2">
        <v>0.27850000000000003</v>
      </c>
      <c r="CF51" s="2">
        <v>0.38690000000000002</v>
      </c>
      <c r="CG51" s="2">
        <v>31.816500000000001</v>
      </c>
      <c r="CH51" s="2">
        <v>-100.9764</v>
      </c>
      <c r="CI51" s="2">
        <v>-100.9764</v>
      </c>
      <c r="CJ51" s="2"/>
      <c r="CK51" s="2">
        <v>-101.0194</v>
      </c>
      <c r="CL51" s="2">
        <v>-101.25839999999999</v>
      </c>
      <c r="CM51" s="2">
        <v>0.09</v>
      </c>
      <c r="CN51" s="2">
        <v>0.73029999999999995</v>
      </c>
      <c r="CO51" s="2">
        <v>2.4958</v>
      </c>
      <c r="CP51" s="2">
        <v>36.061300000000003</v>
      </c>
      <c r="CQ51" s="2">
        <v>-16.904199999999999</v>
      </c>
      <c r="CR51" s="2">
        <v>-16.904199999999999</v>
      </c>
      <c r="CS51" s="2">
        <v>-9.1158999999999999</v>
      </c>
      <c r="CT51" s="2">
        <v>-12.195499999999999</v>
      </c>
      <c r="CU51" s="2">
        <v>0.22339999999999999</v>
      </c>
      <c r="CV51" s="2">
        <v>-1.46E-2</v>
      </c>
      <c r="CW51" s="2">
        <v>-5.1200000000000002E-2</v>
      </c>
    </row>
    <row r="52" spans="1:101" x14ac:dyDescent="0.25">
      <c r="A52" s="9">
        <v>40633</v>
      </c>
      <c r="B52" s="26" t="str">
        <f t="shared" si="0"/>
        <v>Q1 2011</v>
      </c>
      <c r="C52" s="15"/>
      <c r="D52" s="2">
        <v>49.03</v>
      </c>
      <c r="E52" s="23">
        <f t="shared" si="1"/>
        <v>0.351209832993441</v>
      </c>
      <c r="F52" s="2">
        <v>31.001999999999999</v>
      </c>
      <c r="G52" s="2">
        <v>18.027999999999999</v>
      </c>
      <c r="H52" s="2">
        <v>41.161999999999999</v>
      </c>
      <c r="I52" s="2">
        <v>24.212</v>
      </c>
      <c r="J52" s="2"/>
      <c r="K52" s="2">
        <v>65.373999999999995</v>
      </c>
      <c r="L52" s="2">
        <v>-47.345999999999997</v>
      </c>
      <c r="M52" s="2">
        <v>-1.4450000000000001</v>
      </c>
      <c r="N52" s="2">
        <v>-48.790999999999997</v>
      </c>
      <c r="O52" s="2">
        <v>0.15</v>
      </c>
      <c r="P52" s="2">
        <v>-48.941000000000003</v>
      </c>
      <c r="Q52" s="2"/>
      <c r="R52" s="2">
        <v>-48.941000000000003</v>
      </c>
      <c r="S52" s="2"/>
      <c r="T52" s="2">
        <v>-48.941000000000003</v>
      </c>
      <c r="U52" s="2">
        <v>-43.829000000000001</v>
      </c>
      <c r="V52" s="2">
        <v>-47.345999999999997</v>
      </c>
      <c r="W52" s="2">
        <v>1427.8050000000001</v>
      </c>
      <c r="X52" s="2">
        <v>1427.8050000000001</v>
      </c>
      <c r="Y52" s="2">
        <v>-3.4000000000000002E-2</v>
      </c>
      <c r="Z52" s="2">
        <v>-3.4000000000000002E-2</v>
      </c>
      <c r="AA52" s="5"/>
      <c r="AB52" s="2">
        <v>143.59800000000001</v>
      </c>
      <c r="AC52" s="2">
        <v>20.260000000000002</v>
      </c>
      <c r="AD52" s="2">
        <v>50.823</v>
      </c>
      <c r="AE52" s="2">
        <v>12.225</v>
      </c>
      <c r="AF52" s="2"/>
      <c r="AG52" s="2">
        <v>226.90600000000001</v>
      </c>
      <c r="AH52" s="2">
        <v>143.37200000000001</v>
      </c>
      <c r="AI52" s="2"/>
      <c r="AJ52" s="2"/>
      <c r="AK52" s="2">
        <v>27.87</v>
      </c>
      <c r="AL52" s="2">
        <v>180.38300000000001</v>
      </c>
      <c r="AM52" s="2">
        <v>407.28899999999999</v>
      </c>
      <c r="AN52" s="2">
        <v>112.976</v>
      </c>
      <c r="AO52" s="2">
        <v>102.905</v>
      </c>
      <c r="AP52" s="2">
        <v>20.581</v>
      </c>
      <c r="AQ52" s="2">
        <v>126.575</v>
      </c>
      <c r="AR52" s="2">
        <v>239.55099999999999</v>
      </c>
      <c r="AS52" s="2">
        <v>9.6000000000000002E-2</v>
      </c>
      <c r="AT52" s="2">
        <v>-463.92200000000003</v>
      </c>
      <c r="AU52" s="2"/>
      <c r="AV52" s="2"/>
      <c r="AW52" s="2">
        <v>167.738</v>
      </c>
      <c r="AX52" s="2">
        <v>407.28899999999999</v>
      </c>
      <c r="AY52" s="15"/>
      <c r="AZ52" s="2">
        <v>-48.941000000000003</v>
      </c>
      <c r="BA52" s="2">
        <v>3.5169999999999999</v>
      </c>
      <c r="BB52" s="2">
        <v>7.7409999999999997</v>
      </c>
      <c r="BC52" s="2">
        <v>11.257999999999999</v>
      </c>
      <c r="BD52" s="2">
        <v>-13.55</v>
      </c>
      <c r="BE52" s="2">
        <v>-6.9630000000000001</v>
      </c>
      <c r="BF52" s="2">
        <v>7.9580000000000002</v>
      </c>
      <c r="BG52" s="2">
        <v>7.157</v>
      </c>
      <c r="BH52" s="2">
        <v>-5.6139999999999999</v>
      </c>
      <c r="BI52" s="2">
        <v>-43.296999999999997</v>
      </c>
      <c r="BJ52" s="2">
        <v>-20.475999999999999</v>
      </c>
      <c r="BK52" s="2"/>
      <c r="BL52" s="2"/>
      <c r="BM52" s="2"/>
      <c r="BN52" s="2"/>
      <c r="BO52" s="2"/>
      <c r="BP52" s="2">
        <v>30.587</v>
      </c>
      <c r="BQ52" s="2">
        <v>10.111000000000001</v>
      </c>
      <c r="BR52" s="2">
        <v>30.577000000000002</v>
      </c>
      <c r="BS52" s="2"/>
      <c r="BT52" s="2">
        <v>30.577000000000002</v>
      </c>
      <c r="BU52" s="2">
        <v>3.706</v>
      </c>
      <c r="BV52" s="2">
        <v>3.706</v>
      </c>
      <c r="BW52" s="2"/>
      <c r="BX52" s="2"/>
      <c r="BY52" s="2">
        <v>34.283000000000001</v>
      </c>
      <c r="BZ52" s="2">
        <v>1.097</v>
      </c>
      <c r="CA52" s="2">
        <v>5.9260000000000002</v>
      </c>
      <c r="CB52" s="2"/>
      <c r="CC52" s="15"/>
      <c r="CD52" s="2">
        <v>2.0084</v>
      </c>
      <c r="CE52" s="2">
        <v>0.38019999999999998</v>
      </c>
      <c r="CF52" s="2">
        <v>0.61509999999999998</v>
      </c>
      <c r="CG52" s="2">
        <v>36.769300000000001</v>
      </c>
      <c r="CH52" s="2">
        <v>-96.565399999999997</v>
      </c>
      <c r="CI52" s="2">
        <v>-96.565399999999997</v>
      </c>
      <c r="CJ52" s="2"/>
      <c r="CK52" s="2">
        <v>-99.512600000000006</v>
      </c>
      <c r="CL52" s="2">
        <v>-99.8185</v>
      </c>
      <c r="CM52" s="2">
        <v>0.12039999999999999</v>
      </c>
      <c r="CN52" s="2">
        <v>0.61</v>
      </c>
      <c r="CO52" s="2">
        <v>2.42</v>
      </c>
      <c r="CP52" s="2">
        <v>37.189500000000002</v>
      </c>
      <c r="CQ52" s="2">
        <v>-29.177099999999999</v>
      </c>
      <c r="CR52" s="2">
        <v>-29.177099999999999</v>
      </c>
      <c r="CS52" s="2">
        <v>-12.016299999999999</v>
      </c>
      <c r="CT52" s="2">
        <v>-18.083200000000001</v>
      </c>
      <c r="CU52" s="2">
        <v>0.11700000000000001</v>
      </c>
      <c r="CV52" s="2">
        <v>-3.0300000000000001E-2</v>
      </c>
      <c r="CW52" s="2">
        <v>-4.4699999999999997E-2</v>
      </c>
    </row>
    <row r="53" spans="1:101" x14ac:dyDescent="0.25">
      <c r="A53" s="9">
        <v>40543</v>
      </c>
      <c r="B53" s="26" t="str">
        <f t="shared" si="0"/>
        <v>Q4 2010</v>
      </c>
      <c r="C53" s="15"/>
      <c r="D53" s="2">
        <v>36.286000000000001</v>
      </c>
      <c r="E53" s="23">
        <f t="shared" si="1"/>
        <v>0.16148650811433707</v>
      </c>
      <c r="F53" s="2">
        <v>24.963999999999999</v>
      </c>
      <c r="G53" s="2">
        <v>11.321999999999999</v>
      </c>
      <c r="H53" s="2">
        <v>37.616999999999997</v>
      </c>
      <c r="I53" s="2">
        <v>25.349</v>
      </c>
      <c r="J53" s="2"/>
      <c r="K53" s="2">
        <v>62.966000000000001</v>
      </c>
      <c r="L53" s="2">
        <v>-51.643999999999998</v>
      </c>
      <c r="M53" s="2">
        <v>0.25</v>
      </c>
      <c r="N53" s="2">
        <v>-51.393999999999998</v>
      </c>
      <c r="O53" s="2">
        <v>-3.6999999999999998E-2</v>
      </c>
      <c r="P53" s="2">
        <v>-51.356999999999999</v>
      </c>
      <c r="Q53" s="2"/>
      <c r="R53" s="2">
        <v>-51.356999999999999</v>
      </c>
      <c r="S53" s="2"/>
      <c r="T53" s="2">
        <v>-51.356999999999999</v>
      </c>
      <c r="U53" s="2">
        <v>-48.753999999999998</v>
      </c>
      <c r="V53" s="2">
        <v>-51.643999999999998</v>
      </c>
      <c r="W53" s="2">
        <v>760.77</v>
      </c>
      <c r="X53" s="2">
        <v>760.77</v>
      </c>
      <c r="Y53" s="2">
        <v>0.42799999999999999</v>
      </c>
      <c r="Z53" s="2">
        <v>0.42799999999999999</v>
      </c>
      <c r="AA53" s="5"/>
      <c r="AB53" s="2">
        <v>173.155</v>
      </c>
      <c r="AC53" s="2">
        <v>6.71</v>
      </c>
      <c r="AD53" s="2">
        <v>45.182000000000002</v>
      </c>
      <c r="AE53" s="2">
        <v>10.839</v>
      </c>
      <c r="AF53" s="2"/>
      <c r="AG53" s="2">
        <v>235.886</v>
      </c>
      <c r="AH53" s="2">
        <v>114.636</v>
      </c>
      <c r="AI53" s="2"/>
      <c r="AJ53" s="2"/>
      <c r="AK53" s="2">
        <v>27.597000000000001</v>
      </c>
      <c r="AL53" s="2">
        <v>150.196</v>
      </c>
      <c r="AM53" s="2">
        <v>386.08199999999999</v>
      </c>
      <c r="AN53" s="2">
        <v>85.564999999999998</v>
      </c>
      <c r="AO53" s="2">
        <v>72.323999999999998</v>
      </c>
      <c r="AP53" s="2">
        <v>18.361999999999998</v>
      </c>
      <c r="AQ53" s="2">
        <v>93.468999999999994</v>
      </c>
      <c r="AR53" s="2">
        <v>179.03399999999999</v>
      </c>
      <c r="AS53" s="2">
        <v>9.5000000000000001E-2</v>
      </c>
      <c r="AT53" s="2">
        <v>-414.98200000000003</v>
      </c>
      <c r="AU53" s="2"/>
      <c r="AV53" s="2"/>
      <c r="AW53" s="2">
        <v>207.048</v>
      </c>
      <c r="AX53" s="2">
        <v>386.08199999999999</v>
      </c>
      <c r="AY53" s="15"/>
      <c r="AZ53" s="2">
        <v>-51.357999999999997</v>
      </c>
      <c r="BA53" s="2">
        <v>2.89</v>
      </c>
      <c r="BB53" s="2">
        <v>7.4880000000000004</v>
      </c>
      <c r="BC53" s="2">
        <v>10.378</v>
      </c>
      <c r="BD53" s="2">
        <v>1.353</v>
      </c>
      <c r="BE53" s="2">
        <v>-5.6440000000000001</v>
      </c>
      <c r="BF53" s="2">
        <v>-6.0739999999999998</v>
      </c>
      <c r="BG53" s="2">
        <v>3.7160000000000002</v>
      </c>
      <c r="BH53" s="2">
        <v>6.6959999999999997</v>
      </c>
      <c r="BI53" s="2">
        <v>-34.283999999999999</v>
      </c>
      <c r="BJ53" s="2">
        <v>-17.148</v>
      </c>
      <c r="BK53" s="2">
        <v>0</v>
      </c>
      <c r="BL53" s="2">
        <v>-6.5</v>
      </c>
      <c r="BM53" s="2">
        <v>0</v>
      </c>
      <c r="BN53" s="2">
        <v>0</v>
      </c>
      <c r="BO53" s="2">
        <v>0</v>
      </c>
      <c r="BP53" s="2">
        <v>15.098000000000001</v>
      </c>
      <c r="BQ53" s="2">
        <v>-8.5500000000000007</v>
      </c>
      <c r="BR53" s="2">
        <v>15.189</v>
      </c>
      <c r="BS53" s="2">
        <v>0</v>
      </c>
      <c r="BT53" s="2">
        <v>15.189</v>
      </c>
      <c r="BU53" s="2">
        <v>30.609000000000002</v>
      </c>
      <c r="BV53" s="2">
        <v>30.609000000000002</v>
      </c>
      <c r="BW53" s="2">
        <v>0</v>
      </c>
      <c r="BX53" s="2">
        <v>3.1E-2</v>
      </c>
      <c r="BY53" s="2">
        <v>45.829000000000001</v>
      </c>
      <c r="BZ53" s="2">
        <v>2.9950000000000001</v>
      </c>
      <c r="CA53" s="2">
        <v>7.843</v>
      </c>
      <c r="CB53" s="2">
        <v>0</v>
      </c>
      <c r="CC53" s="15"/>
      <c r="CD53" s="2">
        <v>2.7568000000000001</v>
      </c>
      <c r="CE53" s="2">
        <v>0.25890000000000002</v>
      </c>
      <c r="CF53" s="2">
        <v>0.35070000000000001</v>
      </c>
      <c r="CG53" s="2">
        <v>31.202100000000002</v>
      </c>
      <c r="CH53" s="2">
        <v>-142.32480000000001</v>
      </c>
      <c r="CI53" s="2">
        <v>-142.32480000000001</v>
      </c>
      <c r="CJ53" s="2"/>
      <c r="CK53" s="2">
        <v>-141.63589999999999</v>
      </c>
      <c r="CL53" s="2">
        <v>-141.53389999999999</v>
      </c>
      <c r="CM53" s="2">
        <v>9.4E-2</v>
      </c>
      <c r="CN53" s="2">
        <v>0.55249999999999999</v>
      </c>
      <c r="CO53" s="2">
        <v>5.4077999999999999</v>
      </c>
      <c r="CP53" s="2">
        <v>16.642800000000001</v>
      </c>
      <c r="CQ53" s="2">
        <v>-24.804400000000001</v>
      </c>
      <c r="CR53" s="2">
        <v>-24.804400000000001</v>
      </c>
      <c r="CS53" s="2">
        <v>-13.302099999999999</v>
      </c>
      <c r="CT53" s="2">
        <v>-18.382999999999999</v>
      </c>
      <c r="CU53" s="2">
        <v>0.1454</v>
      </c>
      <c r="CV53" s="2">
        <v>-0.1004</v>
      </c>
      <c r="CW53" s="2">
        <v>-0.13669999999999999</v>
      </c>
    </row>
    <row r="54" spans="1:101" x14ac:dyDescent="0.25">
      <c r="A54" s="9">
        <v>40451</v>
      </c>
      <c r="B54" s="26" t="str">
        <f t="shared" si="0"/>
        <v>Q3 2010</v>
      </c>
      <c r="C54" s="15"/>
      <c r="D54" s="2">
        <v>31.241</v>
      </c>
      <c r="E54" s="23">
        <f t="shared" si="1"/>
        <v>9.9841577187114838E-2</v>
      </c>
      <c r="F54" s="2">
        <v>21.945</v>
      </c>
      <c r="G54" s="2">
        <v>9.2959999999999994</v>
      </c>
      <c r="H54" s="2">
        <v>26.698</v>
      </c>
      <c r="I54" s="2">
        <v>20.431999999999999</v>
      </c>
      <c r="J54" s="2"/>
      <c r="K54" s="2">
        <v>47.13</v>
      </c>
      <c r="L54" s="2">
        <v>-37.834000000000003</v>
      </c>
      <c r="M54" s="2">
        <v>2.9820000000000002</v>
      </c>
      <c r="N54" s="2">
        <v>-34.851999999999997</v>
      </c>
      <c r="O54" s="2">
        <v>8.3000000000000004E-2</v>
      </c>
      <c r="P54" s="2">
        <v>-34.935000000000002</v>
      </c>
      <c r="Q54" s="2"/>
      <c r="R54" s="2">
        <v>-34.935000000000002</v>
      </c>
      <c r="S54" s="2"/>
      <c r="T54" s="2">
        <v>-34.935000000000002</v>
      </c>
      <c r="U54" s="2">
        <v>-34.725000000000001</v>
      </c>
      <c r="V54" s="2">
        <v>-37.834000000000003</v>
      </c>
      <c r="W54" s="2">
        <v>1384.0650000000001</v>
      </c>
      <c r="X54" s="2">
        <v>1384.0650000000001</v>
      </c>
      <c r="Y54" s="2">
        <v>-2.53E-2</v>
      </c>
      <c r="Z54" s="2">
        <v>-2.53E-2</v>
      </c>
      <c r="AA54" s="5"/>
      <c r="AB54" s="2">
        <v>184.69300000000001</v>
      </c>
      <c r="AC54" s="2">
        <v>8.0619999999999994</v>
      </c>
      <c r="AD54" s="2">
        <v>39.508000000000003</v>
      </c>
      <c r="AE54" s="2">
        <v>8.8699999999999992</v>
      </c>
      <c r="AF54" s="2"/>
      <c r="AG54" s="2">
        <v>241.13300000000001</v>
      </c>
      <c r="AH54" s="2">
        <v>37.152999999999999</v>
      </c>
      <c r="AI54" s="2"/>
      <c r="AJ54" s="2"/>
      <c r="AK54" s="2">
        <v>77.591999999999999</v>
      </c>
      <c r="AL54" s="2">
        <v>120.488</v>
      </c>
      <c r="AM54" s="2">
        <v>361.62099999999998</v>
      </c>
      <c r="AN54" s="2">
        <v>69.328000000000003</v>
      </c>
      <c r="AO54" s="2">
        <v>57.122999999999998</v>
      </c>
      <c r="AP54" s="2">
        <v>12.733000000000001</v>
      </c>
      <c r="AQ54" s="2">
        <v>72.37</v>
      </c>
      <c r="AR54" s="2">
        <v>141.69800000000001</v>
      </c>
      <c r="AS54" s="2">
        <v>9.2999999999999999E-2</v>
      </c>
      <c r="AT54" s="2">
        <v>-363.62400000000002</v>
      </c>
      <c r="AU54" s="2"/>
      <c r="AV54" s="2"/>
      <c r="AW54" s="2">
        <v>219.923</v>
      </c>
      <c r="AX54" s="2">
        <v>361.62099999999998</v>
      </c>
      <c r="AY54" s="15"/>
      <c r="AZ54" s="2">
        <v>-34.933999999999997</v>
      </c>
      <c r="BA54" s="2">
        <v>3.109</v>
      </c>
      <c r="BB54" s="2">
        <v>1.04</v>
      </c>
      <c r="BC54" s="2">
        <v>4.149</v>
      </c>
      <c r="BD54" s="2">
        <v>-1.597</v>
      </c>
      <c r="BE54" s="2">
        <v>-13.837</v>
      </c>
      <c r="BF54" s="2">
        <v>4.3780000000000001</v>
      </c>
      <c r="BG54" s="2">
        <v>-4.1159999999999997</v>
      </c>
      <c r="BH54" s="2">
        <v>-15.172000000000001</v>
      </c>
      <c r="BI54" s="2">
        <v>-45.957000000000001</v>
      </c>
      <c r="BJ54" s="2">
        <v>-7.7679999999999998</v>
      </c>
      <c r="BK54" s="2">
        <v>0</v>
      </c>
      <c r="BL54" s="2">
        <v>-58.71</v>
      </c>
      <c r="BM54" s="2">
        <v>0</v>
      </c>
      <c r="BN54" s="2">
        <v>0</v>
      </c>
      <c r="BO54" s="2">
        <v>0</v>
      </c>
      <c r="BP54" s="2">
        <v>-88.200999999999993</v>
      </c>
      <c r="BQ54" s="2">
        <v>-154.679</v>
      </c>
      <c r="BR54" s="2">
        <v>11.06</v>
      </c>
      <c r="BS54" s="2">
        <v>0</v>
      </c>
      <c r="BT54" s="2">
        <v>11.06</v>
      </c>
      <c r="BU54" s="2">
        <v>239.00299999999999</v>
      </c>
      <c r="BV54" s="2">
        <v>239.00299999999999</v>
      </c>
      <c r="BW54" s="2">
        <v>0</v>
      </c>
      <c r="BX54" s="2">
        <v>-0.16800000000000001</v>
      </c>
      <c r="BY54" s="2">
        <v>249.89500000000001</v>
      </c>
      <c r="BZ54" s="2">
        <v>49.259</v>
      </c>
      <c r="CA54" s="2">
        <v>3.8109999999999999</v>
      </c>
      <c r="CB54" s="2">
        <v>0</v>
      </c>
      <c r="CC54" s="15"/>
      <c r="CD54" s="2">
        <v>3.4781</v>
      </c>
      <c r="CE54" s="2">
        <v>0.20619999999999999</v>
      </c>
      <c r="CF54" s="2">
        <v>0.2611</v>
      </c>
      <c r="CG54" s="2">
        <v>29.755800000000001</v>
      </c>
      <c r="CH54" s="2">
        <v>-121.1037</v>
      </c>
      <c r="CI54" s="2">
        <v>-121.1037</v>
      </c>
      <c r="CJ54" s="2"/>
      <c r="CK54" s="2">
        <v>-111.5585</v>
      </c>
      <c r="CL54" s="2">
        <v>-111.8242</v>
      </c>
      <c r="CM54" s="2">
        <v>8.6400000000000005E-2</v>
      </c>
      <c r="CN54" s="2">
        <v>0.55549999999999999</v>
      </c>
      <c r="CO54" s="2">
        <v>3.8751000000000002</v>
      </c>
      <c r="CP54" s="2">
        <v>23.225300000000001</v>
      </c>
      <c r="CQ54" s="2">
        <v>-15.8851</v>
      </c>
      <c r="CR54" s="2">
        <v>-15.8851</v>
      </c>
      <c r="CS54" s="2">
        <v>-9.6607000000000003</v>
      </c>
      <c r="CT54" s="2">
        <v>-12.6098</v>
      </c>
      <c r="CU54" s="2">
        <v>0.15720000000000001</v>
      </c>
      <c r="CV54" s="2">
        <v>0.34739999999999999</v>
      </c>
      <c r="CW54" s="2">
        <v>0.46410000000000001</v>
      </c>
    </row>
    <row r="55" spans="1:101" x14ac:dyDescent="0.25">
      <c r="A55" s="9">
        <v>40359</v>
      </c>
      <c r="B55" s="26" t="str">
        <f t="shared" si="0"/>
        <v>Q2 2010</v>
      </c>
      <c r="C55" s="15"/>
      <c r="D55" s="2">
        <v>28.405000000000001</v>
      </c>
      <c r="E55" s="23">
        <f t="shared" si="1"/>
        <v>0.36483759369594471</v>
      </c>
      <c r="F55" s="2">
        <v>22.143999999999998</v>
      </c>
      <c r="G55" s="2">
        <v>6.2610000000000001</v>
      </c>
      <c r="H55" s="2">
        <v>15.416</v>
      </c>
      <c r="I55" s="2">
        <v>22.207000000000001</v>
      </c>
      <c r="J55" s="2"/>
      <c r="K55" s="2">
        <v>37.622999999999998</v>
      </c>
      <c r="L55" s="2">
        <v>-31.361999999999998</v>
      </c>
      <c r="M55" s="2">
        <v>-7.1459999999999999</v>
      </c>
      <c r="N55" s="2">
        <v>-38.508000000000003</v>
      </c>
      <c r="O55" s="2">
        <v>8.9999999999999993E-3</v>
      </c>
      <c r="P55" s="2">
        <v>-38.517000000000003</v>
      </c>
      <c r="Q55" s="2"/>
      <c r="R55" s="2">
        <v>-38.517000000000003</v>
      </c>
      <c r="S55" s="2"/>
      <c r="T55" s="2">
        <v>-38.517000000000003</v>
      </c>
      <c r="U55" s="2">
        <v>-28.879000000000001</v>
      </c>
      <c r="V55" s="2">
        <v>-31.361999999999998</v>
      </c>
      <c r="W55" s="2">
        <v>114.645</v>
      </c>
      <c r="X55" s="2">
        <v>114.645</v>
      </c>
      <c r="Y55" s="2">
        <v>-0.33600000000000002</v>
      </c>
      <c r="Z55" s="2">
        <v>-0.33600000000000002</v>
      </c>
      <c r="AA55" s="5"/>
      <c r="AB55" s="2">
        <v>47.304000000000002</v>
      </c>
      <c r="AC55" s="2">
        <v>6.4669999999999996</v>
      </c>
      <c r="AD55" s="2">
        <v>29.518000000000001</v>
      </c>
      <c r="AE55" s="2">
        <v>6.7450000000000001</v>
      </c>
      <c r="AF55" s="2"/>
      <c r="AG55" s="2">
        <v>90.034000000000006</v>
      </c>
      <c r="AH55" s="2">
        <v>33.155999999999999</v>
      </c>
      <c r="AI55" s="2"/>
      <c r="AJ55" s="2"/>
      <c r="AK55" s="2">
        <v>24.783999999999999</v>
      </c>
      <c r="AL55" s="2">
        <v>57.94</v>
      </c>
      <c r="AM55" s="2">
        <v>147.97399999999999</v>
      </c>
      <c r="AN55" s="2">
        <v>68.634</v>
      </c>
      <c r="AO55" s="2">
        <v>46.058</v>
      </c>
      <c r="AP55" s="2">
        <v>5.0069999999999997</v>
      </c>
      <c r="AQ55" s="2">
        <v>389.11500000000001</v>
      </c>
      <c r="AR55" s="2">
        <v>457.74900000000002</v>
      </c>
      <c r="AS55" s="2">
        <v>8.0000000000000002E-3</v>
      </c>
      <c r="AT55" s="2">
        <v>-328.68900000000002</v>
      </c>
      <c r="AU55" s="2"/>
      <c r="AV55" s="2"/>
      <c r="AW55" s="2">
        <v>-309.77499999999998</v>
      </c>
      <c r="AX55" s="2">
        <v>147.97399999999999</v>
      </c>
      <c r="AY55" s="15"/>
      <c r="AZ55" s="2">
        <v>-38.517000000000003</v>
      </c>
      <c r="BA55" s="2">
        <v>2.4830000000000001</v>
      </c>
      <c r="BB55" s="2">
        <v>12.675000000000001</v>
      </c>
      <c r="BC55" s="2">
        <v>15.157999999999999</v>
      </c>
      <c r="BD55" s="2">
        <v>-0.53500000000000003</v>
      </c>
      <c r="BE55" s="2">
        <v>-3.5249999999999999</v>
      </c>
      <c r="BF55" s="2">
        <v>4.9909999999999997</v>
      </c>
      <c r="BG55" s="2">
        <v>2.181</v>
      </c>
      <c r="BH55" s="2">
        <v>3.1120000000000001</v>
      </c>
      <c r="BI55" s="2">
        <v>-20.247</v>
      </c>
      <c r="BJ55" s="2">
        <v>-9.8149999999999995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2.1259999999999999</v>
      </c>
      <c r="BQ55" s="2">
        <v>-7.6890000000000001</v>
      </c>
      <c r="BR55" s="2">
        <v>15.420999999999999</v>
      </c>
      <c r="BS55" s="2">
        <v>0</v>
      </c>
      <c r="BT55" s="2">
        <v>15.420999999999999</v>
      </c>
      <c r="BU55" s="2">
        <v>0.222</v>
      </c>
      <c r="BV55" s="2">
        <v>0.222</v>
      </c>
      <c r="BW55" s="2">
        <v>0</v>
      </c>
      <c r="BX55" s="2">
        <v>-1.9490000000000001</v>
      </c>
      <c r="BY55" s="2">
        <v>13.694000000000001</v>
      </c>
      <c r="BZ55" s="2">
        <v>-14.242000000000001</v>
      </c>
      <c r="CA55" s="2">
        <v>6.1150000000000002</v>
      </c>
      <c r="CB55" s="2">
        <v>0</v>
      </c>
      <c r="CC55" s="15"/>
      <c r="CD55" s="2">
        <v>1.3118000000000001</v>
      </c>
      <c r="CE55" s="2">
        <v>-0.17460000000000001</v>
      </c>
      <c r="CF55" s="2">
        <v>-0.14960000000000001</v>
      </c>
      <c r="CG55" s="2">
        <v>22.041899999999998</v>
      </c>
      <c r="CH55" s="2">
        <v>-110.4101</v>
      </c>
      <c r="CI55" s="2">
        <v>-110.4101</v>
      </c>
      <c r="CJ55" s="2"/>
      <c r="CK55" s="2">
        <v>-135.5677</v>
      </c>
      <c r="CL55" s="2">
        <v>-135.5994</v>
      </c>
      <c r="CM55" s="2">
        <v>0.192</v>
      </c>
      <c r="CN55" s="2">
        <v>0.75019999999999998</v>
      </c>
      <c r="CO55" s="2">
        <v>4.3922999999999996</v>
      </c>
      <c r="CP55" s="2">
        <v>20.490400000000001</v>
      </c>
      <c r="CQ55" s="2">
        <v>12.4339</v>
      </c>
      <c r="CR55" s="2">
        <v>12.4339</v>
      </c>
      <c r="CS55" s="2">
        <v>-26.029599999999999</v>
      </c>
      <c r="CT55" s="2">
        <v>14.605399999999999</v>
      </c>
      <c r="CU55" s="2">
        <v>-2.6812999999999998</v>
      </c>
      <c r="CV55" s="2">
        <v>-0.16550000000000001</v>
      </c>
      <c r="CW55" s="2">
        <v>-0.24879999999999999</v>
      </c>
    </row>
    <row r="56" spans="1:101" x14ac:dyDescent="0.25">
      <c r="A56" s="9">
        <v>40268</v>
      </c>
      <c r="B56" s="26" t="str">
        <f t="shared" si="0"/>
        <v>Q1 2010</v>
      </c>
      <c r="C56" s="15"/>
      <c r="D56" s="2">
        <v>20.812000000000001</v>
      </c>
      <c r="E56" s="23"/>
      <c r="F56" s="2">
        <v>16.96</v>
      </c>
      <c r="G56" s="2">
        <v>3.8519999999999999</v>
      </c>
      <c r="H56" s="2">
        <v>13.265000000000001</v>
      </c>
      <c r="I56" s="2">
        <v>16.585000000000001</v>
      </c>
      <c r="J56" s="2"/>
      <c r="K56" s="2">
        <v>29.85</v>
      </c>
      <c r="L56" s="2">
        <v>-25.998000000000001</v>
      </c>
      <c r="M56" s="2">
        <v>-3.403</v>
      </c>
      <c r="N56" s="2">
        <v>-29.401</v>
      </c>
      <c r="O56" s="2">
        <v>0.11799999999999999</v>
      </c>
      <c r="P56" s="2">
        <v>-29.518999999999998</v>
      </c>
      <c r="Q56" s="2"/>
      <c r="R56" s="2">
        <v>-29.518999999999998</v>
      </c>
      <c r="S56" s="2"/>
      <c r="T56" s="2">
        <v>-29.518999999999998</v>
      </c>
      <c r="U56" s="2">
        <v>-23.856999999999999</v>
      </c>
      <c r="V56" s="2">
        <v>-25.998000000000001</v>
      </c>
      <c r="W56" s="2">
        <v>109.53</v>
      </c>
      <c r="X56" s="2">
        <v>109.53</v>
      </c>
      <c r="Y56" s="2">
        <v>-0.26929999999999998</v>
      </c>
      <c r="Z56" s="2">
        <v>-0.26929999999999998</v>
      </c>
      <c r="AA56" s="5"/>
      <c r="AB56" s="2"/>
      <c r="AC56" s="2"/>
      <c r="AD56" s="2"/>
      <c r="AE56" s="2"/>
      <c r="AF56" s="2"/>
      <c r="AG56" s="2"/>
      <c r="AH56" s="2"/>
      <c r="AI56" s="2"/>
      <c r="AJ56" s="2">
        <v>0</v>
      </c>
      <c r="AK56" s="2"/>
      <c r="AL56" s="2"/>
      <c r="AM56" s="2">
        <v>0</v>
      </c>
      <c r="AN56" s="2"/>
      <c r="AO56" s="2"/>
      <c r="AP56" s="2"/>
      <c r="AQ56" s="2"/>
      <c r="AR56" s="2">
        <v>0</v>
      </c>
      <c r="AS56" s="2">
        <v>0</v>
      </c>
      <c r="AT56" s="2"/>
      <c r="AU56" s="2"/>
      <c r="AV56" s="2">
        <v>0</v>
      </c>
      <c r="AW56" s="2">
        <v>0</v>
      </c>
      <c r="AX56" s="2">
        <v>0</v>
      </c>
      <c r="AY56" s="15"/>
      <c r="AZ56" s="2">
        <v>-29.518999999999998</v>
      </c>
      <c r="BA56" s="2">
        <v>2.141</v>
      </c>
      <c r="BB56" s="2">
        <v>5.86</v>
      </c>
      <c r="BC56" s="2">
        <v>8.0009999999999994</v>
      </c>
      <c r="BD56" s="2">
        <v>-2.4430000000000001</v>
      </c>
      <c r="BE56" s="2">
        <v>-5.5069999999999997</v>
      </c>
      <c r="BF56" s="2">
        <v>-3.5070000000000001</v>
      </c>
      <c r="BG56" s="2">
        <v>5.6459999999999999</v>
      </c>
      <c r="BH56" s="2">
        <v>-5.8109999999999999</v>
      </c>
      <c r="BI56" s="2">
        <v>-27.329000000000001</v>
      </c>
      <c r="BJ56" s="2">
        <v>-5.4720000000000004</v>
      </c>
      <c r="BK56" s="2"/>
      <c r="BL56" s="2"/>
      <c r="BM56" s="2"/>
      <c r="BN56" s="2"/>
      <c r="BO56" s="2"/>
      <c r="BP56" s="2">
        <v>-3.907</v>
      </c>
      <c r="BQ56" s="2">
        <v>-9.3789999999999996</v>
      </c>
      <c r="BR56" s="2">
        <v>29.843</v>
      </c>
      <c r="BS56" s="2"/>
      <c r="BT56" s="2">
        <v>29.843</v>
      </c>
      <c r="BU56" s="2">
        <v>0.35799999999999998</v>
      </c>
      <c r="BV56" s="2">
        <v>0.35799999999999998</v>
      </c>
      <c r="BW56" s="2"/>
      <c r="BX56" s="2">
        <v>-1.5740000000000001</v>
      </c>
      <c r="BY56" s="2">
        <v>28.626999999999999</v>
      </c>
      <c r="BZ56" s="2">
        <v>-8.0809999999999995</v>
      </c>
      <c r="CA56" s="2">
        <v>3.387</v>
      </c>
      <c r="CB56" s="2"/>
      <c r="CC56" s="15"/>
      <c r="CD56" s="2"/>
      <c r="CE56" s="2"/>
      <c r="CF56" s="2"/>
      <c r="CG56" s="2">
        <v>18.508600000000001</v>
      </c>
      <c r="CH56" s="2">
        <v>-124.9183</v>
      </c>
      <c r="CI56" s="2">
        <v>-124.9183</v>
      </c>
      <c r="CJ56" s="2"/>
      <c r="CK56" s="2">
        <v>-141.26949999999999</v>
      </c>
      <c r="CL56" s="2">
        <v>-141.8364</v>
      </c>
      <c r="CM56" s="2"/>
      <c r="CN56" s="2"/>
      <c r="CO56" s="2"/>
      <c r="CP56" s="2"/>
      <c r="CQ56" s="2"/>
      <c r="CR56" s="2"/>
      <c r="CS56" s="2"/>
      <c r="CT56" s="2"/>
      <c r="CU56" s="2"/>
      <c r="CV56" s="2">
        <v>-0.2495</v>
      </c>
      <c r="CW56" s="2">
        <v>-0.29949999999999999</v>
      </c>
    </row>
    <row r="57" spans="1:101" x14ac:dyDescent="0.25">
      <c r="A57" s="9">
        <v>40178</v>
      </c>
      <c r="B57" s="26" t="str">
        <f t="shared" si="0"/>
        <v>Q4 2009</v>
      </c>
      <c r="C57" s="15"/>
      <c r="D57" s="2"/>
      <c r="E57" s="23">
        <f t="shared" si="1"/>
        <v>-1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>
        <v>0</v>
      </c>
      <c r="AA57" s="5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>
        <v>0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15"/>
      <c r="AZ57" s="2">
        <v>-24.242000000000001</v>
      </c>
      <c r="BA57" s="2">
        <v>1.9350000000000001</v>
      </c>
      <c r="BB57" s="2">
        <v>-3.1</v>
      </c>
      <c r="BC57" s="2">
        <v>-1.165</v>
      </c>
      <c r="BD57" s="2">
        <v>-1.9339999999999999</v>
      </c>
      <c r="BE57" s="2">
        <v>4.032</v>
      </c>
      <c r="BF57" s="2">
        <v>-3.173</v>
      </c>
      <c r="BG57" s="2">
        <v>29.420999999999999</v>
      </c>
      <c r="BH57" s="2">
        <v>-9.1150000000000002</v>
      </c>
      <c r="BI57" s="2">
        <v>-29.001999999999999</v>
      </c>
      <c r="BJ57" s="2">
        <v>-6.1950000000000003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-6.1950000000000003</v>
      </c>
      <c r="BR57" s="2">
        <v>-25.193000000000001</v>
      </c>
      <c r="BS57" s="2">
        <v>0</v>
      </c>
      <c r="BT57" s="2">
        <v>-5.2999999999999999E-2</v>
      </c>
      <c r="BU57" s="2">
        <v>-0.11799999999999999</v>
      </c>
      <c r="BV57" s="2">
        <v>0.37</v>
      </c>
      <c r="BW57" s="2">
        <v>0</v>
      </c>
      <c r="BX57" s="2">
        <v>-2.04</v>
      </c>
      <c r="BY57" s="2">
        <v>-1.7230000000000001</v>
      </c>
      <c r="BZ57" s="2">
        <v>-36.92</v>
      </c>
      <c r="CA57" s="2">
        <v>-0.44900000000000001</v>
      </c>
      <c r="CB57" s="2">
        <v>0</v>
      </c>
      <c r="CC57" s="15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>
        <v>0.49249999999999999</v>
      </c>
      <c r="CW57" s="2">
        <v>0.54659999999999997</v>
      </c>
    </row>
    <row r="58" spans="1:101" x14ac:dyDescent="0.25">
      <c r="A58" s="9">
        <v>40086</v>
      </c>
      <c r="B58" s="26" t="str">
        <f t="shared" si="0"/>
        <v>Q3 2009</v>
      </c>
      <c r="C58" s="15"/>
      <c r="D58" s="2">
        <v>45.527000000000001</v>
      </c>
      <c r="E58" s="23">
        <f t="shared" si="1"/>
        <v>0.68962701799962889</v>
      </c>
      <c r="F58" s="2">
        <v>37.828000000000003</v>
      </c>
      <c r="G58" s="2">
        <v>7.6989999999999998</v>
      </c>
      <c r="H58" s="2">
        <v>1.2569999999999999</v>
      </c>
      <c r="I58" s="2">
        <v>10.733000000000001</v>
      </c>
      <c r="J58" s="2"/>
      <c r="K58" s="2">
        <v>11.99</v>
      </c>
      <c r="L58" s="2">
        <v>-4.2910000000000004</v>
      </c>
      <c r="M58" s="2">
        <v>-0.54300000000000004</v>
      </c>
      <c r="N58" s="2">
        <v>-4.8339999999999996</v>
      </c>
      <c r="O58" s="2">
        <v>-0.219</v>
      </c>
      <c r="P58" s="2">
        <v>-4.6150000000000002</v>
      </c>
      <c r="Q58" s="2"/>
      <c r="R58" s="2">
        <v>-4.6150000000000002</v>
      </c>
      <c r="S58" s="2"/>
      <c r="T58" s="2">
        <v>-4.6150000000000002</v>
      </c>
      <c r="U58" s="2">
        <v>-2.343</v>
      </c>
      <c r="V58" s="2">
        <v>-4.2910000000000004</v>
      </c>
      <c r="W58" s="2">
        <v>105.21</v>
      </c>
      <c r="X58" s="2">
        <v>105.21</v>
      </c>
      <c r="Y58" s="2">
        <v>-4.3999999999999997E-2</v>
      </c>
      <c r="Z58" s="2">
        <v>-4.3999999999999997E-2</v>
      </c>
      <c r="AA58" s="5"/>
      <c r="AB58" s="2"/>
      <c r="AC58" s="2"/>
      <c r="AD58" s="2"/>
      <c r="AE58" s="2"/>
      <c r="AF58" s="2"/>
      <c r="AG58" s="2"/>
      <c r="AH58" s="2"/>
      <c r="AI58" s="2"/>
      <c r="AJ58" s="2">
        <v>0</v>
      </c>
      <c r="AK58" s="2"/>
      <c r="AL58" s="2"/>
      <c r="AM58" s="2">
        <v>0</v>
      </c>
      <c r="AN58" s="2"/>
      <c r="AO58" s="2"/>
      <c r="AP58" s="2"/>
      <c r="AQ58" s="2"/>
      <c r="AR58" s="2">
        <v>0</v>
      </c>
      <c r="AS58" s="2">
        <v>0</v>
      </c>
      <c r="AT58" s="2"/>
      <c r="AU58" s="2"/>
      <c r="AV58" s="2">
        <v>0</v>
      </c>
      <c r="AW58" s="2">
        <v>0</v>
      </c>
      <c r="AX58" s="2">
        <v>0</v>
      </c>
      <c r="AY58" s="15"/>
      <c r="AZ58" s="2">
        <v>-4.6150000000000002</v>
      </c>
      <c r="BA58" s="2">
        <v>1.948</v>
      </c>
      <c r="BB58" s="2">
        <v>0.82599999999999996</v>
      </c>
      <c r="BC58" s="2">
        <v>2.774</v>
      </c>
      <c r="BD58" s="2">
        <v>3.16</v>
      </c>
      <c r="BE58" s="2">
        <v>4.7309999999999999</v>
      </c>
      <c r="BF58" s="2">
        <v>0.89400000000000002</v>
      </c>
      <c r="BG58" s="2">
        <v>-29.864999999999998</v>
      </c>
      <c r="BH58" s="2">
        <v>-21.648</v>
      </c>
      <c r="BI58" s="2">
        <v>-23.489000000000001</v>
      </c>
      <c r="BJ58" s="2">
        <v>-2.2559999999999998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-0.77900000000000003</v>
      </c>
      <c r="BQ58" s="2">
        <v>-3.0350000000000001</v>
      </c>
      <c r="BR58" s="2">
        <v>-0.06</v>
      </c>
      <c r="BS58" s="2">
        <v>0</v>
      </c>
      <c r="BT58" s="2">
        <v>-0.06</v>
      </c>
      <c r="BU58" s="2">
        <v>5.2999999999999999E-2</v>
      </c>
      <c r="BV58" s="2">
        <v>82.430999999999997</v>
      </c>
      <c r="BW58" s="2">
        <v>0</v>
      </c>
      <c r="BX58" s="2">
        <v>0</v>
      </c>
      <c r="BY58" s="2">
        <v>82.370999999999995</v>
      </c>
      <c r="BZ58" s="2">
        <v>55.847000000000001</v>
      </c>
      <c r="CA58" s="2">
        <v>0.20599999999999999</v>
      </c>
      <c r="CB58" s="2">
        <v>0</v>
      </c>
      <c r="CC58" s="15"/>
      <c r="CD58" s="2"/>
      <c r="CE58" s="2"/>
      <c r="CF58" s="2"/>
      <c r="CG58" s="2">
        <v>16.910799999999998</v>
      </c>
      <c r="CH58" s="2">
        <v>-9.4252000000000002</v>
      </c>
      <c r="CI58" s="2">
        <v>-9.4252000000000002</v>
      </c>
      <c r="CJ58" s="2"/>
      <c r="CK58" s="2">
        <v>-10.617900000000001</v>
      </c>
      <c r="CL58" s="2">
        <v>-10.136799999999999</v>
      </c>
      <c r="CM58" s="2"/>
      <c r="CN58" s="2"/>
      <c r="CO58" s="2"/>
      <c r="CP58" s="2"/>
      <c r="CQ58" s="2"/>
      <c r="CR58" s="2"/>
      <c r="CS58" s="2"/>
      <c r="CT58" s="2"/>
      <c r="CU58" s="2"/>
      <c r="CV58" s="2">
        <v>-0.22140000000000001</v>
      </c>
      <c r="CW58" s="2">
        <v>-0.2427</v>
      </c>
    </row>
    <row r="59" spans="1:101" x14ac:dyDescent="0.25">
      <c r="A59" s="9">
        <v>39994</v>
      </c>
      <c r="B59" s="26" t="str">
        <f t="shared" si="0"/>
        <v>Q2 2009</v>
      </c>
      <c r="C59" s="16"/>
      <c r="D59" s="2">
        <v>26.945</v>
      </c>
      <c r="E59" s="2"/>
      <c r="F59" s="2">
        <v>24.844000000000001</v>
      </c>
      <c r="G59" s="2">
        <v>2.101</v>
      </c>
      <c r="H59" s="2">
        <v>1.9410000000000001</v>
      </c>
      <c r="I59" s="2">
        <v>8.2469999999999999</v>
      </c>
      <c r="J59" s="2"/>
      <c r="K59" s="2">
        <v>10.188000000000001</v>
      </c>
      <c r="L59" s="2">
        <v>-8.0869999999999997</v>
      </c>
      <c r="M59" s="2">
        <v>-2.7719999999999998</v>
      </c>
      <c r="N59" s="2">
        <v>-10.859</v>
      </c>
      <c r="O59" s="2">
        <v>8.0000000000000002E-3</v>
      </c>
      <c r="P59" s="2">
        <v>-10.867000000000001</v>
      </c>
      <c r="Q59" s="2"/>
      <c r="R59" s="2">
        <v>-10.867000000000001</v>
      </c>
      <c r="S59" s="2"/>
      <c r="T59" s="2">
        <v>-10.867000000000001</v>
      </c>
      <c r="U59" s="2">
        <v>-8.0869999999999997</v>
      </c>
      <c r="V59" s="2">
        <v>-8.0869999999999997</v>
      </c>
      <c r="W59" s="2">
        <v>104.49</v>
      </c>
      <c r="X59" s="2">
        <v>104.49</v>
      </c>
      <c r="Y59" s="2">
        <v>-0.104</v>
      </c>
      <c r="Z59" s="2">
        <v>-0.104</v>
      </c>
      <c r="AA59" s="5"/>
      <c r="AB59" s="2"/>
      <c r="AC59" s="2"/>
      <c r="AD59" s="2"/>
      <c r="AE59" s="2"/>
      <c r="AF59" s="2"/>
      <c r="AG59" s="2"/>
      <c r="AH59" s="2"/>
      <c r="AI59" s="2"/>
      <c r="AJ59" s="2">
        <v>0</v>
      </c>
      <c r="AK59" s="2"/>
      <c r="AL59" s="2"/>
      <c r="AM59" s="2">
        <v>0</v>
      </c>
      <c r="AN59" s="2"/>
      <c r="AO59" s="2"/>
      <c r="AP59" s="2"/>
      <c r="AQ59" s="2"/>
      <c r="AR59" s="2">
        <v>0</v>
      </c>
      <c r="AS59" s="2">
        <v>0</v>
      </c>
      <c r="AT59" s="2"/>
      <c r="AU59" s="2"/>
      <c r="AV59" s="2">
        <v>0</v>
      </c>
      <c r="AW59" s="2">
        <v>0</v>
      </c>
      <c r="AX59" s="2">
        <v>0</v>
      </c>
      <c r="AY59" s="16"/>
      <c r="AZ59" s="2">
        <v>-26.882999999999999</v>
      </c>
      <c r="BA59" s="2">
        <v>3.0569999999999999</v>
      </c>
      <c r="BB59" s="2">
        <v>2.274</v>
      </c>
      <c r="BC59" s="2">
        <v>5.3310000000000004</v>
      </c>
      <c r="BD59" s="2">
        <v>-1.226</v>
      </c>
      <c r="BE59" s="2">
        <v>-8.7629999999999999</v>
      </c>
      <c r="BF59" s="2">
        <v>2.2789999999999999</v>
      </c>
      <c r="BG59" s="2">
        <v>0.44400000000000001</v>
      </c>
      <c r="BH59" s="2">
        <v>-6.7770000000000001</v>
      </c>
      <c r="BI59" s="2">
        <v>-28.329000000000001</v>
      </c>
      <c r="BJ59" s="2">
        <v>-3.4289999999999998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-1.581</v>
      </c>
      <c r="BQ59" s="2">
        <v>-5.01</v>
      </c>
      <c r="BR59" s="2">
        <v>25.253</v>
      </c>
      <c r="BS59" s="2">
        <v>0</v>
      </c>
      <c r="BT59" s="2">
        <v>25.253</v>
      </c>
      <c r="BU59" s="2">
        <v>6.5000000000000002E-2</v>
      </c>
      <c r="BV59" s="2">
        <v>49.509</v>
      </c>
      <c r="BW59" s="2">
        <v>0</v>
      </c>
      <c r="BX59" s="2">
        <v>0</v>
      </c>
      <c r="BY59" s="2">
        <v>74.762</v>
      </c>
      <c r="BZ59" s="2">
        <v>41.423000000000002</v>
      </c>
      <c r="CA59" s="2">
        <v>0.24299999999999999</v>
      </c>
      <c r="CB59" s="2">
        <v>0</v>
      </c>
      <c r="CC59" s="16"/>
      <c r="CD59" s="2"/>
      <c r="CE59" s="2"/>
      <c r="CF59" s="2"/>
      <c r="CG59" s="2">
        <v>7.7973999999999997</v>
      </c>
      <c r="CH59" s="2">
        <v>-30.013000000000002</v>
      </c>
      <c r="CI59" s="2">
        <v>-30.013000000000002</v>
      </c>
      <c r="CJ59" s="2"/>
      <c r="CK59" s="2">
        <v>-40.300600000000003</v>
      </c>
      <c r="CL59" s="2">
        <v>-40.330300000000001</v>
      </c>
      <c r="CM59" s="2"/>
      <c r="CN59" s="2"/>
      <c r="CO59" s="2"/>
      <c r="CP59" s="2"/>
      <c r="CQ59" s="2"/>
      <c r="CR59" s="2"/>
      <c r="CS59" s="2"/>
      <c r="CT59" s="2"/>
      <c r="CU59" s="2"/>
      <c r="CV59" s="2">
        <v>-0.27110000000000001</v>
      </c>
      <c r="CW59" s="2">
        <v>-0.3039</v>
      </c>
    </row>
    <row r="61" spans="1:101" ht="26.25" x14ac:dyDescent="0.4">
      <c r="A61" s="19" t="s">
        <v>100</v>
      </c>
      <c r="B61" s="19"/>
    </row>
    <row r="63" spans="1:101" x14ac:dyDescent="0.25">
      <c r="B63" s="37"/>
      <c r="C63" s="166" t="s">
        <v>111</v>
      </c>
      <c r="D63" s="166"/>
      <c r="E63" s="166"/>
    </row>
    <row r="64" spans="1:101" x14ac:dyDescent="0.25">
      <c r="B64" s="38"/>
      <c r="C64" s="166" t="s">
        <v>112</v>
      </c>
      <c r="D64" s="166"/>
      <c r="E64" s="166"/>
    </row>
    <row r="65" spans="2:5" x14ac:dyDescent="0.25">
      <c r="B65" s="39"/>
      <c r="C65" s="166" t="s">
        <v>113</v>
      </c>
      <c r="D65" s="166"/>
      <c r="E65" s="166"/>
    </row>
    <row r="66" spans="2:5" x14ac:dyDescent="0.25">
      <c r="B66" s="40"/>
      <c r="C66" s="166" t="s">
        <v>114</v>
      </c>
      <c r="D66" s="166"/>
      <c r="E66" s="166"/>
    </row>
    <row r="67" spans="2:5" x14ac:dyDescent="0.25">
      <c r="B67" s="41"/>
      <c r="C67" s="166" t="s">
        <v>115</v>
      </c>
      <c r="D67" s="166"/>
      <c r="E67" s="166"/>
    </row>
  </sheetData>
  <mergeCells count="5">
    <mergeCell ref="C64:E64"/>
    <mergeCell ref="C65:E65"/>
    <mergeCell ref="C66:E66"/>
    <mergeCell ref="C67:E67"/>
    <mergeCell ref="C63:E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EFBA-4B83-4454-BC1E-2CFAA196F3F9}">
  <dimension ref="A1:DP31"/>
  <sheetViews>
    <sheetView zoomScale="120" zoomScaleNormal="120" workbookViewId="0"/>
  </sheetViews>
  <sheetFormatPr defaultColWidth="15.5703125" defaultRowHeight="15" x14ac:dyDescent="0.25"/>
  <cols>
    <col min="1" max="1" width="12.28515625" customWidth="1"/>
    <col min="2" max="2" width="6.5703125" customWidth="1"/>
    <col min="3" max="3" width="9.28515625" customWidth="1"/>
    <col min="4" max="4" width="10.28515625" customWidth="1"/>
    <col min="5" max="6" width="7" customWidth="1"/>
    <col min="7" max="7" width="8.140625" customWidth="1"/>
    <col min="8" max="8" width="7.7109375" customWidth="1"/>
    <col min="9" max="9" width="8.7109375" customWidth="1"/>
    <col min="10" max="11" width="8.28515625" customWidth="1"/>
    <col min="12" max="12" width="7.85546875" customWidth="1"/>
    <col min="13" max="13" width="10.5703125" customWidth="1"/>
    <col min="14" max="17" width="9.7109375" customWidth="1"/>
    <col min="18" max="18" width="8.42578125" customWidth="1"/>
    <col min="19" max="20" width="8.28515625" customWidth="1"/>
    <col min="21" max="21" width="10.140625" customWidth="1"/>
    <col min="22" max="23" width="7.85546875" customWidth="1"/>
    <col min="24" max="24" width="6.85546875" customWidth="1"/>
    <col min="25" max="25" width="7.140625" customWidth="1"/>
    <col min="26" max="26" width="6.5703125" customWidth="1"/>
    <col min="27" max="27" width="10.28515625" customWidth="1"/>
    <col min="28" max="28" width="8.42578125" customWidth="1"/>
    <col min="29" max="30" width="7.5703125" customWidth="1"/>
    <col min="31" max="32" width="7.7109375" customWidth="1"/>
    <col min="33" max="33" width="9.85546875" customWidth="1"/>
    <col min="34" max="34" width="9.42578125" customWidth="1"/>
    <col min="35" max="35" width="7.42578125" customWidth="1"/>
    <col min="36" max="36" width="8.42578125" customWidth="1"/>
    <col min="37" max="37" width="8.7109375" customWidth="1"/>
    <col min="38" max="38" width="9.28515625" customWidth="1"/>
    <col min="39" max="39" width="9.140625" customWidth="1"/>
    <col min="40" max="40" width="7.85546875" customWidth="1"/>
    <col min="41" max="41" width="9" customWidth="1"/>
    <col min="42" max="42" width="5.42578125" customWidth="1"/>
    <col min="43" max="43" width="7.5703125" customWidth="1"/>
    <col min="44" max="44" width="8.42578125" customWidth="1"/>
    <col min="45" max="45" width="6.7109375" customWidth="1"/>
    <col min="46" max="46" width="7.28515625" customWidth="1"/>
    <col min="47" max="47" width="7.5703125" customWidth="1"/>
    <col min="48" max="48" width="8.85546875" customWidth="1"/>
    <col min="49" max="49" width="9.140625" customWidth="1"/>
    <col min="50" max="50" width="9" customWidth="1"/>
    <col min="51" max="51" width="8.5703125" customWidth="1"/>
    <col min="52" max="52" width="8.140625" customWidth="1"/>
    <col min="53" max="53" width="8.5703125" customWidth="1"/>
    <col min="54" max="54" width="8.140625" customWidth="1"/>
    <col min="55" max="55" width="8.28515625" customWidth="1"/>
    <col min="56" max="56" width="9.140625" customWidth="1"/>
    <col min="57" max="57" width="8.85546875" customWidth="1"/>
    <col min="58" max="58" width="7.5703125" customWidth="1"/>
    <col min="59" max="59" width="8.28515625" customWidth="1"/>
    <col min="60" max="60" width="10" customWidth="1"/>
    <col min="61" max="61" width="9.140625" customWidth="1"/>
    <col min="62" max="62" width="10.140625" customWidth="1"/>
    <col min="63" max="63" width="10" customWidth="1"/>
    <col min="64" max="64" width="7.85546875" customWidth="1"/>
    <col min="65" max="65" width="7.28515625" customWidth="1"/>
    <col min="66" max="66" width="8.42578125" customWidth="1"/>
    <col min="67" max="67" width="8.5703125" customWidth="1"/>
    <col min="68" max="68" width="5.7109375" customWidth="1"/>
    <col min="69" max="69" width="8.42578125" customWidth="1"/>
    <col min="70" max="70" width="8.140625" customWidth="1"/>
    <col min="71" max="71" width="9" customWidth="1"/>
    <col min="72" max="72" width="7.85546875" customWidth="1"/>
    <col min="73" max="73" width="5.7109375" customWidth="1"/>
    <col min="74" max="74" width="8" customWidth="1"/>
    <col min="75" max="75" width="6.7109375" customWidth="1"/>
    <col min="76" max="76" width="7" customWidth="1"/>
    <col min="77" max="77" width="6.42578125" customWidth="1"/>
    <col min="78" max="78" width="8.5703125" customWidth="1"/>
    <col min="79" max="79" width="9.140625" customWidth="1"/>
    <col min="80" max="81" width="7.5703125" customWidth="1"/>
    <col min="82" max="83" width="8.5703125" customWidth="1"/>
    <col min="84" max="84" width="7.42578125" customWidth="1"/>
    <col min="85" max="85" width="4.85546875" customWidth="1"/>
    <col min="86" max="86" width="8.42578125" customWidth="1"/>
    <col min="87" max="87" width="8.28515625" customWidth="1"/>
    <col min="88" max="89" width="7.42578125" customWidth="1"/>
    <col min="90" max="90" width="7.85546875" customWidth="1"/>
    <col min="91" max="91" width="8.5703125" customWidth="1"/>
    <col min="92" max="92" width="7.28515625" customWidth="1"/>
    <col min="93" max="93" width="7.42578125" customWidth="1"/>
    <col min="94" max="94" width="9.5703125" customWidth="1"/>
    <col min="95" max="95" width="8" customWidth="1"/>
    <col min="96" max="96" width="6.28515625" customWidth="1"/>
    <col min="97" max="97" width="7.140625" customWidth="1"/>
    <col min="98" max="98" width="7.28515625" customWidth="1"/>
    <col min="99" max="100" width="7.140625" customWidth="1"/>
    <col min="101" max="101" width="7.85546875" customWidth="1"/>
    <col min="102" max="102" width="9" customWidth="1"/>
    <col min="103" max="103" width="7.85546875" customWidth="1"/>
    <col min="104" max="104" width="8.28515625" customWidth="1"/>
    <col min="105" max="105" width="7.85546875" customWidth="1"/>
    <col min="106" max="106" width="8" customWidth="1"/>
    <col min="107" max="107" width="8.42578125" customWidth="1"/>
    <col min="108" max="108" width="9" customWidth="1"/>
    <col min="109" max="109" width="7.7109375" customWidth="1"/>
    <col min="110" max="111" width="8.28515625" customWidth="1"/>
    <col min="112" max="112" width="7.85546875" customWidth="1"/>
    <col min="113" max="116" width="8.28515625" customWidth="1"/>
    <col min="117" max="117" width="11.85546875" customWidth="1"/>
  </cols>
  <sheetData>
    <row r="1" spans="1:120" s="33" customFormat="1" ht="78" customHeight="1" x14ac:dyDescent="0.25">
      <c r="A1" s="78" t="s">
        <v>96</v>
      </c>
      <c r="B1" s="78" t="s">
        <v>97</v>
      </c>
      <c r="C1" s="88" t="s">
        <v>75</v>
      </c>
      <c r="D1" s="79" t="s">
        <v>105</v>
      </c>
      <c r="E1" s="58" t="s">
        <v>104</v>
      </c>
      <c r="F1" s="58" t="s">
        <v>106</v>
      </c>
      <c r="G1" s="58" t="s">
        <v>107</v>
      </c>
      <c r="H1" s="58" t="s">
        <v>108</v>
      </c>
      <c r="I1" s="58" t="s">
        <v>109</v>
      </c>
      <c r="J1" s="59" t="s">
        <v>1</v>
      </c>
      <c r="K1" s="68" t="s">
        <v>151</v>
      </c>
      <c r="L1" s="57" t="s">
        <v>2</v>
      </c>
      <c r="M1" s="59" t="s">
        <v>19</v>
      </c>
      <c r="N1" s="59" t="s">
        <v>20</v>
      </c>
      <c r="O1" s="68" t="s">
        <v>182</v>
      </c>
      <c r="P1" s="68" t="s">
        <v>183</v>
      </c>
      <c r="Q1" s="68" t="s">
        <v>184</v>
      </c>
      <c r="R1" s="59" t="s">
        <v>21</v>
      </c>
      <c r="S1" s="59" t="s">
        <v>18</v>
      </c>
      <c r="T1" s="68" t="s">
        <v>154</v>
      </c>
      <c r="U1" s="57" t="s">
        <v>3</v>
      </c>
      <c r="V1" s="59" t="s">
        <v>133</v>
      </c>
      <c r="W1" s="57" t="s">
        <v>5</v>
      </c>
      <c r="X1" s="59" t="s">
        <v>6</v>
      </c>
      <c r="Y1" s="57" t="s">
        <v>14</v>
      </c>
      <c r="Z1" s="59" t="s">
        <v>15</v>
      </c>
      <c r="AA1" s="57" t="s">
        <v>16</v>
      </c>
      <c r="AB1" s="59" t="s">
        <v>17</v>
      </c>
      <c r="AC1" s="57" t="s">
        <v>7</v>
      </c>
      <c r="AD1" s="99" t="s">
        <v>160</v>
      </c>
      <c r="AE1" s="59" t="s">
        <v>8</v>
      </c>
      <c r="AF1" s="59" t="s">
        <v>9</v>
      </c>
      <c r="AG1" s="59" t="s">
        <v>10</v>
      </c>
      <c r="AH1" s="59" t="s">
        <v>11</v>
      </c>
      <c r="AI1" s="57" t="s">
        <v>12</v>
      </c>
      <c r="AJ1" s="57" t="s">
        <v>13</v>
      </c>
      <c r="AK1" s="60" t="s">
        <v>74</v>
      </c>
      <c r="AL1" s="61" t="s">
        <v>26</v>
      </c>
      <c r="AM1" s="61" t="s">
        <v>27</v>
      </c>
      <c r="AN1" s="61" t="s">
        <v>30</v>
      </c>
      <c r="AO1" s="61" t="s">
        <v>29</v>
      </c>
      <c r="AP1" s="61" t="s">
        <v>28</v>
      </c>
      <c r="AQ1" s="61" t="s">
        <v>31</v>
      </c>
      <c r="AR1" s="61" t="s">
        <v>33</v>
      </c>
      <c r="AS1" s="61" t="s">
        <v>34</v>
      </c>
      <c r="AT1" s="61" t="s">
        <v>35</v>
      </c>
      <c r="AU1" s="61" t="s">
        <v>36</v>
      </c>
      <c r="AV1" s="61" t="s">
        <v>32</v>
      </c>
      <c r="AW1" s="62" t="s">
        <v>22</v>
      </c>
      <c r="AX1" s="61" t="s">
        <v>37</v>
      </c>
      <c r="AY1" s="61" t="s">
        <v>38</v>
      </c>
      <c r="AZ1" s="61" t="s">
        <v>39</v>
      </c>
      <c r="BA1" s="61" t="s">
        <v>40</v>
      </c>
      <c r="BB1" s="62" t="s">
        <v>23</v>
      </c>
      <c r="BC1" s="61" t="s">
        <v>44</v>
      </c>
      <c r="BD1" s="61" t="s">
        <v>43</v>
      </c>
      <c r="BE1" s="61" t="s">
        <v>42</v>
      </c>
      <c r="BF1" s="61" t="s">
        <v>41</v>
      </c>
      <c r="BG1" s="62" t="s">
        <v>24</v>
      </c>
      <c r="BH1" s="62" t="s">
        <v>25</v>
      </c>
      <c r="BI1" s="63" t="s">
        <v>73</v>
      </c>
      <c r="BJ1" s="64" t="s">
        <v>99</v>
      </c>
      <c r="BK1" s="64" t="s">
        <v>51</v>
      </c>
      <c r="BL1" s="64" t="s">
        <v>52</v>
      </c>
      <c r="BM1" s="64" t="s">
        <v>53</v>
      </c>
      <c r="BN1" s="64" t="s">
        <v>54</v>
      </c>
      <c r="BO1" s="64" t="s">
        <v>55</v>
      </c>
      <c r="BP1" s="64" t="s">
        <v>56</v>
      </c>
      <c r="BQ1" s="64" t="s">
        <v>140</v>
      </c>
      <c r="BR1" s="64" t="s">
        <v>139</v>
      </c>
      <c r="BS1" s="65" t="s">
        <v>45</v>
      </c>
      <c r="BT1" s="64" t="s">
        <v>59</v>
      </c>
      <c r="BU1" s="64" t="s">
        <v>60</v>
      </c>
      <c r="BV1" s="64" t="s">
        <v>61</v>
      </c>
      <c r="BW1" s="64" t="s">
        <v>62</v>
      </c>
      <c r="BX1" s="64" t="s">
        <v>63</v>
      </c>
      <c r="BY1" s="64" t="s">
        <v>64</v>
      </c>
      <c r="BZ1" s="64" t="s">
        <v>65</v>
      </c>
      <c r="CA1" s="65" t="s">
        <v>46</v>
      </c>
      <c r="CB1" s="64" t="s">
        <v>66</v>
      </c>
      <c r="CC1" s="64" t="s">
        <v>67</v>
      </c>
      <c r="CD1" s="64" t="s">
        <v>68</v>
      </c>
      <c r="CE1" s="64" t="s">
        <v>69</v>
      </c>
      <c r="CF1" s="64" t="s">
        <v>70</v>
      </c>
      <c r="CG1" s="64" t="s">
        <v>71</v>
      </c>
      <c r="CH1" s="64" t="s">
        <v>72</v>
      </c>
      <c r="CI1" s="65" t="s">
        <v>47</v>
      </c>
      <c r="CJ1" s="65" t="s">
        <v>48</v>
      </c>
      <c r="CK1" s="99" t="s">
        <v>169</v>
      </c>
      <c r="CL1" s="65" t="s">
        <v>49</v>
      </c>
      <c r="CM1" s="65" t="s">
        <v>50</v>
      </c>
      <c r="CN1" s="66" t="s">
        <v>76</v>
      </c>
      <c r="CO1" s="67" t="s">
        <v>77</v>
      </c>
      <c r="CP1" s="68" t="s">
        <v>110</v>
      </c>
      <c r="CQ1" s="67" t="s">
        <v>78</v>
      </c>
      <c r="CR1" s="67" t="s">
        <v>94</v>
      </c>
      <c r="CS1" s="67" t="s">
        <v>79</v>
      </c>
      <c r="CT1" s="67" t="s">
        <v>80</v>
      </c>
      <c r="CU1" s="67" t="s">
        <v>81</v>
      </c>
      <c r="CV1" s="67" t="s">
        <v>82</v>
      </c>
      <c r="CW1" s="67" t="s">
        <v>95</v>
      </c>
      <c r="CX1" s="67" t="s">
        <v>83</v>
      </c>
      <c r="CY1" s="67" t="s">
        <v>84</v>
      </c>
      <c r="CZ1" s="67" t="s">
        <v>127</v>
      </c>
      <c r="DA1" s="67" t="s">
        <v>85</v>
      </c>
      <c r="DB1" s="67" t="s">
        <v>86</v>
      </c>
      <c r="DC1" s="67" t="s">
        <v>87</v>
      </c>
      <c r="DD1" s="67" t="s">
        <v>88</v>
      </c>
      <c r="DE1" s="67" t="s">
        <v>89</v>
      </c>
      <c r="DF1" s="67" t="s">
        <v>90</v>
      </c>
      <c r="DG1" s="67" t="s">
        <v>91</v>
      </c>
      <c r="DH1" s="67" t="s">
        <v>92</v>
      </c>
      <c r="DI1" s="67" t="s">
        <v>93</v>
      </c>
      <c r="DJ1" s="69" t="s">
        <v>164</v>
      </c>
      <c r="DK1" s="69" t="s">
        <v>173</v>
      </c>
      <c r="DL1" s="69" t="s">
        <v>174</v>
      </c>
      <c r="DM1" s="69" t="s">
        <v>116</v>
      </c>
      <c r="DN1" s="68" t="s">
        <v>134</v>
      </c>
      <c r="DO1" s="68" t="s">
        <v>135</v>
      </c>
      <c r="DP1" s="81" t="s">
        <v>185</v>
      </c>
    </row>
    <row r="2" spans="1:120" x14ac:dyDescent="0.25">
      <c r="A2" s="89">
        <v>45291</v>
      </c>
      <c r="B2" s="36">
        <f>YEAR(A2)</f>
        <v>2023</v>
      </c>
      <c r="C2" s="120"/>
      <c r="D2" s="2">
        <v>96773</v>
      </c>
      <c r="E2" s="23">
        <f>((D2/D3)-1)</f>
        <v>0.18795266504627928</v>
      </c>
      <c r="F2" s="30">
        <f t="shared" ref="F2:F16" si="0">(D2-J2)/D2</f>
        <v>0.18248891736331416</v>
      </c>
      <c r="G2" s="30">
        <f t="shared" ref="G2:G16" si="1">(D2-S2)/D2</f>
        <v>0.90938588242588325</v>
      </c>
      <c r="H2" s="30">
        <f t="shared" ref="H2:H16" si="2">AF2/D2</f>
        <v>9.1874799789197395E-2</v>
      </c>
      <c r="I2" s="30">
        <f t="shared" ref="I2:I16" si="3">AC2/D2</f>
        <v>0.15499157822946483</v>
      </c>
      <c r="J2" s="2">
        <v>79113</v>
      </c>
      <c r="K2" s="23">
        <f>(Table2[[#This Row],[Cost Of Goods Sold]]-J3)/J3</f>
        <v>0.30530119289214475</v>
      </c>
      <c r="L2" s="2">
        <v>17660</v>
      </c>
      <c r="M2" s="2">
        <v>3969</v>
      </c>
      <c r="N2" s="2">
        <v>4800</v>
      </c>
      <c r="O2" s="23">
        <f>Table2[[#This Row],[Cost Of Goods Sold]]/Table2[[#This Row],[Revenue $]]</f>
        <v>0.81751108263668582</v>
      </c>
      <c r="P2" s="23">
        <f>Table2[[#This Row],[          Research And Development Expenses]]/Table2[[#This Row],[Revenue $]]</f>
        <v>4.1013505833238609E-2</v>
      </c>
      <c r="Q2" s="23">
        <f>Table2[[#This Row],[          SG&amp;A Expenses]]/Table2[[#This Row],[Revenue $]]</f>
        <v>4.9600611740878139E-2</v>
      </c>
      <c r="R2" s="2"/>
      <c r="S2" s="2">
        <v>8769</v>
      </c>
      <c r="T2" s="23">
        <f>Table2[[#This Row],[Operating Expenses]]/Table2[[#This Row],[Revenue $]]</f>
        <v>9.0614117574116748E-2</v>
      </c>
      <c r="U2" s="2">
        <v>8891</v>
      </c>
      <c r="V2" s="2">
        <v>1082</v>
      </c>
      <c r="W2" s="2">
        <v>9973</v>
      </c>
      <c r="X2" s="2">
        <v>-5001</v>
      </c>
      <c r="Y2" s="2">
        <v>14974</v>
      </c>
      <c r="Z2" s="2"/>
      <c r="AA2" s="2">
        <v>14974</v>
      </c>
      <c r="AB2" s="2"/>
      <c r="AC2" s="2">
        <v>14999</v>
      </c>
      <c r="AD2" s="23">
        <f>(Table2[[#This Row],[Net Income]]-AC3)/AC3</f>
        <v>0.19200508622744974</v>
      </c>
      <c r="AE2" s="2">
        <v>13558</v>
      </c>
      <c r="AF2" s="2">
        <v>8891</v>
      </c>
      <c r="AG2" s="2">
        <v>3174</v>
      </c>
      <c r="AH2" s="2">
        <v>3485</v>
      </c>
      <c r="AI2" s="2">
        <v>4.7300000000000004</v>
      </c>
      <c r="AJ2" s="2">
        <v>4.3</v>
      </c>
      <c r="AK2" s="20"/>
      <c r="AL2" s="2">
        <v>29094</v>
      </c>
      <c r="AM2" s="2">
        <v>3508</v>
      </c>
      <c r="AN2" s="2">
        <v>13626</v>
      </c>
      <c r="AO2" s="2">
        <v>3388</v>
      </c>
      <c r="AP2" s="2"/>
      <c r="AQ2" s="2">
        <v>49616</v>
      </c>
      <c r="AR2" s="2">
        <v>29725</v>
      </c>
      <c r="AS2" s="2"/>
      <c r="AT2" s="2">
        <v>431</v>
      </c>
      <c r="AU2" s="2">
        <v>9944</v>
      </c>
      <c r="AV2" s="2">
        <v>57002</v>
      </c>
      <c r="AW2" s="2">
        <v>106618</v>
      </c>
      <c r="AX2" s="2">
        <v>28748</v>
      </c>
      <c r="AY2" s="2">
        <v>2857</v>
      </c>
      <c r="AZ2" s="2">
        <v>8153</v>
      </c>
      <c r="BA2" s="2">
        <v>14503</v>
      </c>
      <c r="BB2" s="2">
        <v>43251</v>
      </c>
      <c r="BC2" s="2">
        <v>3</v>
      </c>
      <c r="BD2" s="2">
        <v>27882</v>
      </c>
      <c r="BE2" s="2">
        <v>-143</v>
      </c>
      <c r="BF2" s="2"/>
      <c r="BG2" s="2">
        <v>63367</v>
      </c>
      <c r="BH2" s="2">
        <v>106618</v>
      </c>
      <c r="BI2" s="21"/>
      <c r="BJ2" s="2">
        <v>14974</v>
      </c>
      <c r="BK2" s="2">
        <v>4667</v>
      </c>
      <c r="BL2" s="2">
        <v>-4137</v>
      </c>
      <c r="BM2" s="2">
        <v>530</v>
      </c>
      <c r="BN2" s="2">
        <v>-586</v>
      </c>
      <c r="BO2" s="2">
        <v>-1194</v>
      </c>
      <c r="BP2" s="2"/>
      <c r="BQ2" s="2">
        <v>-3072</v>
      </c>
      <c r="BR2" s="2">
        <v>-2248</v>
      </c>
      <c r="BS2" s="2">
        <v>13256</v>
      </c>
      <c r="BT2" s="2">
        <v>-8898</v>
      </c>
      <c r="BU2" s="2"/>
      <c r="BV2" s="2">
        <v>-64</v>
      </c>
      <c r="BW2" s="2">
        <v>-6759</v>
      </c>
      <c r="BX2" s="2">
        <v>138</v>
      </c>
      <c r="BY2" s="2">
        <v>-6621</v>
      </c>
      <c r="BZ2" s="2">
        <v>-1</v>
      </c>
      <c r="CA2" s="2">
        <v>-15584</v>
      </c>
      <c r="CB2" s="2">
        <v>2116</v>
      </c>
      <c r="CC2" s="2"/>
      <c r="CD2" s="2">
        <v>2116</v>
      </c>
      <c r="CE2" s="2">
        <v>700</v>
      </c>
      <c r="CF2" s="2">
        <v>700</v>
      </c>
      <c r="CG2" s="2"/>
      <c r="CH2" s="2">
        <v>-227</v>
      </c>
      <c r="CI2" s="2">
        <v>2589</v>
      </c>
      <c r="CJ2" s="2">
        <v>265</v>
      </c>
      <c r="CK2" s="23">
        <f>(Table2[[#This Row],[Net Cash Flow]]-CJ3)/CJ3</f>
        <v>-1.2172131147540983</v>
      </c>
      <c r="CL2" s="2">
        <v>1812</v>
      </c>
      <c r="CM2" s="2"/>
      <c r="CN2" s="22"/>
      <c r="CO2" s="2">
        <v>1.7259</v>
      </c>
      <c r="CP2" s="2">
        <f xml:space="preserve"> (AQ2 - AN2) / AX2</f>
        <v>1.2519131765688047</v>
      </c>
      <c r="CQ2" s="2">
        <v>4.3099999999999999E-2</v>
      </c>
      <c r="CR2" s="2">
        <v>8.2500000000000004E-2</v>
      </c>
      <c r="CS2" s="2">
        <v>18.248899999999999</v>
      </c>
      <c r="CT2" s="2">
        <v>9.1875</v>
      </c>
      <c r="CU2" s="2">
        <v>9.1875</v>
      </c>
      <c r="CV2" s="2">
        <v>14.0101</v>
      </c>
      <c r="CW2" s="2">
        <v>10.3056</v>
      </c>
      <c r="CX2" s="2">
        <v>15.4992</v>
      </c>
      <c r="CY2" s="2">
        <v>0.90769999999999995</v>
      </c>
      <c r="CZ2" s="2">
        <v>5.806</v>
      </c>
      <c r="DA2" s="2">
        <v>27.586400000000001</v>
      </c>
      <c r="DB2" s="2">
        <v>13.231199999999999</v>
      </c>
      <c r="DC2" s="2">
        <v>23.630600000000001</v>
      </c>
      <c r="DD2" s="2">
        <v>23.792400000000001</v>
      </c>
      <c r="DE2" s="2">
        <v>14.044499999999999</v>
      </c>
      <c r="DF2" s="2">
        <v>22.6111</v>
      </c>
      <c r="DG2" s="2">
        <v>19.895499999999998</v>
      </c>
      <c r="DH2" s="2">
        <v>-0.43340000000000001</v>
      </c>
      <c r="DI2" s="2">
        <v>-1.1960999999999999</v>
      </c>
      <c r="DJ2" s="113">
        <f>Table2[[#This Row],[Free Cash Flow Per Share]]-DI3/DI3</f>
        <v>-2.1960999999999999</v>
      </c>
      <c r="DK2" s="113">
        <f>(Table2[[#This Row],[ROE - Return on Equity]]-DC3)/DC3</f>
        <v>-0.14599716664739215</v>
      </c>
      <c r="DL2" s="113">
        <f>(Table2[[#This Row],[Long-term Debt/ Capital]]-CQ3)/CQ3</f>
        <v>0.27138643067846607</v>
      </c>
      <c r="DM2" s="113">
        <f xml:space="preserve"> AQ2 - AX2</f>
        <v>20868</v>
      </c>
      <c r="DN2" s="138">
        <v>248.48</v>
      </c>
      <c r="DO2" s="83">
        <f>Table2[[#This Row],[Historical Stock Price (Dec/year)]]/Table2[[#This Row],[Free Cash Flow Per Share]]</f>
        <v>-207.74182760638743</v>
      </c>
      <c r="DP2" s="2">
        <f>Table2[[#This Row],[Gross Profit]]/Table2[[#This Row],[Revenue $]]</f>
        <v>0.18248891736331416</v>
      </c>
    </row>
    <row r="3" spans="1:120" x14ac:dyDescent="0.25">
      <c r="A3" s="89">
        <v>44926</v>
      </c>
      <c r="B3" s="36">
        <f>YEAR(A3)</f>
        <v>2022</v>
      </c>
      <c r="C3" s="120"/>
      <c r="D3" s="2">
        <v>81462</v>
      </c>
      <c r="E3" s="23">
        <f>((D3/D4)-1)</f>
        <v>0.51351652639206291</v>
      </c>
      <c r="F3" s="30">
        <f t="shared" si="0"/>
        <v>0.25598438535759005</v>
      </c>
      <c r="G3" s="30">
        <f t="shared" si="1"/>
        <v>0.91165205862856302</v>
      </c>
      <c r="H3" s="30">
        <f t="shared" si="2"/>
        <v>0.16763644398615304</v>
      </c>
      <c r="I3" s="30">
        <f t="shared" si="3"/>
        <v>0.15446465836831896</v>
      </c>
      <c r="J3" s="2">
        <v>60609</v>
      </c>
      <c r="K3" s="23">
        <f>(Table2[[#This Row],[Cost Of Goods Sold]]-J4)/J4</f>
        <v>0.50704925777656218</v>
      </c>
      <c r="L3" s="2">
        <v>20853</v>
      </c>
      <c r="M3" s="2">
        <v>3075</v>
      </c>
      <c r="N3" s="2">
        <v>3946</v>
      </c>
      <c r="O3" s="23">
        <f>Table2[[#This Row],[Cost Of Goods Sold]]/Table2[[#This Row],[Revenue $]]</f>
        <v>0.74401561464240995</v>
      </c>
      <c r="P3" s="23">
        <f>Table2[[#This Row],[          Research And Development Expenses]]/Table2[[#This Row],[Revenue $]]</f>
        <v>3.7747661486337188E-2</v>
      </c>
      <c r="Q3" s="23">
        <f>Table2[[#This Row],[          SG&amp;A Expenses]]/Table2[[#This Row],[Revenue $]]</f>
        <v>4.8439763325231394E-2</v>
      </c>
      <c r="R3" s="2"/>
      <c r="S3" s="2">
        <v>7197</v>
      </c>
      <c r="T3" s="23">
        <f>Table2[[#This Row],[Operating Expenses]]/Table2[[#This Row],[Revenue $]]</f>
        <v>8.8347941371436992E-2</v>
      </c>
      <c r="U3" s="2">
        <v>13656</v>
      </c>
      <c r="V3" s="2">
        <v>63</v>
      </c>
      <c r="W3" s="2">
        <v>13719</v>
      </c>
      <c r="X3" s="2">
        <v>1132</v>
      </c>
      <c r="Y3" s="2">
        <v>12587</v>
      </c>
      <c r="Z3" s="2"/>
      <c r="AA3" s="2">
        <v>12587</v>
      </c>
      <c r="AB3" s="2"/>
      <c r="AC3" s="2">
        <v>12583</v>
      </c>
      <c r="AD3" s="23">
        <f>(Table2[[#This Row],[Net Income]]-AC4)/AC4</f>
        <v>1.2778783490224475</v>
      </c>
      <c r="AE3" s="2">
        <v>17403</v>
      </c>
      <c r="AF3" s="2">
        <v>13656</v>
      </c>
      <c r="AG3" s="2">
        <v>3130</v>
      </c>
      <c r="AH3" s="2">
        <v>3475</v>
      </c>
      <c r="AI3" s="2">
        <v>4.0199999999999996</v>
      </c>
      <c r="AJ3" s="2">
        <v>3.62</v>
      </c>
      <c r="AK3" s="20"/>
      <c r="AL3" s="2">
        <v>22185</v>
      </c>
      <c r="AM3" s="2">
        <v>2952</v>
      </c>
      <c r="AN3" s="2">
        <v>12839</v>
      </c>
      <c r="AO3" s="2">
        <v>2941</v>
      </c>
      <c r="AP3" s="2"/>
      <c r="AQ3" s="2">
        <v>40917</v>
      </c>
      <c r="AR3" s="2">
        <v>23548</v>
      </c>
      <c r="AS3" s="2"/>
      <c r="AT3" s="2">
        <v>409</v>
      </c>
      <c r="AU3" s="2">
        <v>9866</v>
      </c>
      <c r="AV3" s="2">
        <v>41421</v>
      </c>
      <c r="AW3" s="2">
        <v>82338</v>
      </c>
      <c r="AX3" s="2">
        <v>26709</v>
      </c>
      <c r="AY3" s="2">
        <v>1597</v>
      </c>
      <c r="AZ3" s="2">
        <v>5330</v>
      </c>
      <c r="BA3" s="2">
        <v>10140</v>
      </c>
      <c r="BB3" s="2">
        <v>36849</v>
      </c>
      <c r="BC3" s="2">
        <v>3</v>
      </c>
      <c r="BD3" s="2">
        <v>12885</v>
      </c>
      <c r="BE3" s="2">
        <v>-361</v>
      </c>
      <c r="BF3" s="2"/>
      <c r="BG3" s="2">
        <v>45489</v>
      </c>
      <c r="BH3" s="2">
        <v>82338</v>
      </c>
      <c r="BI3" s="21"/>
      <c r="BJ3" s="2">
        <v>12587</v>
      </c>
      <c r="BK3" s="2">
        <v>3747</v>
      </c>
      <c r="BL3" s="2">
        <v>2298</v>
      </c>
      <c r="BM3" s="2">
        <v>6045</v>
      </c>
      <c r="BN3" s="2">
        <v>-1124</v>
      </c>
      <c r="BO3" s="2">
        <v>-6465</v>
      </c>
      <c r="BP3" s="2"/>
      <c r="BQ3" s="2">
        <v>-2348</v>
      </c>
      <c r="BR3" s="2">
        <v>-3908</v>
      </c>
      <c r="BS3" s="2">
        <v>14724</v>
      </c>
      <c r="BT3" s="2">
        <v>-6222</v>
      </c>
      <c r="BU3" s="2">
        <v>-9</v>
      </c>
      <c r="BV3" s="2"/>
      <c r="BW3" s="2">
        <v>-5813</v>
      </c>
      <c r="BX3" s="2"/>
      <c r="BY3" s="2">
        <v>-5813</v>
      </c>
      <c r="BZ3" s="2">
        <v>71</v>
      </c>
      <c r="CA3" s="2">
        <v>-11973</v>
      </c>
      <c r="CB3" s="2">
        <v>-3866</v>
      </c>
      <c r="CC3" s="2"/>
      <c r="CD3" s="2">
        <v>-3866</v>
      </c>
      <c r="CE3" s="2">
        <v>541</v>
      </c>
      <c r="CF3" s="2">
        <v>541</v>
      </c>
      <c r="CG3" s="2"/>
      <c r="CH3" s="2">
        <v>-202</v>
      </c>
      <c r="CI3" s="2">
        <v>-3527</v>
      </c>
      <c r="CJ3" s="2">
        <v>-1220</v>
      </c>
      <c r="CK3" s="23">
        <f>(Table2[[#This Row],[Net Cash Flow]]-CJ4)/CJ4</f>
        <v>-0.30563460443938534</v>
      </c>
      <c r="CL3" s="2">
        <v>1560</v>
      </c>
      <c r="CM3" s="2"/>
      <c r="CN3" s="22"/>
      <c r="CO3" s="2">
        <v>1.532</v>
      </c>
      <c r="CP3" s="2">
        <f xml:space="preserve"> (AQ3 - AN3) / AX3</f>
        <v>1.0512561308922086</v>
      </c>
      <c r="CQ3" s="2">
        <v>3.39E-2</v>
      </c>
      <c r="CR3" s="2">
        <v>6.8099999999999994E-2</v>
      </c>
      <c r="CS3" s="2">
        <v>25.598400000000002</v>
      </c>
      <c r="CT3" s="2">
        <v>16.7636</v>
      </c>
      <c r="CU3" s="2">
        <v>16.7636</v>
      </c>
      <c r="CV3" s="2">
        <v>21.363299999999999</v>
      </c>
      <c r="CW3" s="2">
        <v>16.841000000000001</v>
      </c>
      <c r="CX3" s="2">
        <v>15.4465</v>
      </c>
      <c r="CY3" s="2">
        <v>0.98939999999999995</v>
      </c>
      <c r="CZ3" s="2">
        <v>4.7206999999999999</v>
      </c>
      <c r="DA3" s="2">
        <v>27.595500000000001</v>
      </c>
      <c r="DB3" s="2">
        <v>13.226800000000001</v>
      </c>
      <c r="DC3" s="2">
        <v>27.670400000000001</v>
      </c>
      <c r="DD3" s="2">
        <v>27.921500000000002</v>
      </c>
      <c r="DE3" s="2">
        <v>15.287000000000001</v>
      </c>
      <c r="DF3" s="2">
        <v>26.7319</v>
      </c>
      <c r="DG3" s="2">
        <v>14.3771</v>
      </c>
      <c r="DH3" s="2">
        <v>0.84160000000000001</v>
      </c>
      <c r="DI3" s="2">
        <v>1.3282</v>
      </c>
      <c r="DJ3" s="113">
        <f>Table2[[#This Row],[Free Cash Flow Per Share]]-DI4/DI4</f>
        <v>0.32820000000000005</v>
      </c>
      <c r="DK3" s="113">
        <f>(Table2[[#This Row],[ROE - Return on Equity]]-DC4)/DC4</f>
        <v>0.52054380498634434</v>
      </c>
      <c r="DL3" s="113">
        <f>(Table2[[#This Row],[Long-term Debt/ Capital]]-CQ4)/CQ4</f>
        <v>-0.76556016597510379</v>
      </c>
      <c r="DM3" s="113">
        <f xml:space="preserve"> AQ3 - AX3</f>
        <v>14208</v>
      </c>
      <c r="DN3" s="83">
        <v>123.18</v>
      </c>
      <c r="DO3" s="83">
        <f>Table2[[#This Row],[Historical Stock Price (Dec/year)]]/Table2[[#This Row],[Free Cash Flow Per Share]]</f>
        <v>92.74205691913869</v>
      </c>
      <c r="DP3" s="2">
        <f>Table2[[#This Row],[Gross Profit]]/Table2[[#This Row],[Revenue $]]</f>
        <v>0.25598438535759005</v>
      </c>
    </row>
    <row r="4" spans="1:120" x14ac:dyDescent="0.25">
      <c r="A4" s="89">
        <v>44561</v>
      </c>
      <c r="B4" s="36">
        <f t="shared" ref="B4:B16" si="4">YEAR(A4)</f>
        <v>2021</v>
      </c>
      <c r="C4" s="120"/>
      <c r="D4" s="2">
        <v>53823</v>
      </c>
      <c r="E4" s="23">
        <f t="shared" ref="E4:E15" si="5">((D4/D5)-1)</f>
        <v>0.70671613394216126</v>
      </c>
      <c r="F4" s="30">
        <f t="shared" si="0"/>
        <v>0.25279155751258753</v>
      </c>
      <c r="G4" s="30">
        <f t="shared" si="1"/>
        <v>0.86840198428181259</v>
      </c>
      <c r="H4" s="30">
        <f t="shared" si="2"/>
        <v>0.12119354179440016</v>
      </c>
      <c r="I4" s="30">
        <f t="shared" si="3"/>
        <v>0.10263270349107259</v>
      </c>
      <c r="J4" s="2">
        <v>40217</v>
      </c>
      <c r="K4" s="23">
        <f>(Table2[[#This Row],[Cost Of Goods Sold]]-J5)/J5</f>
        <v>0.61475146551031878</v>
      </c>
      <c r="L4" s="2">
        <v>13606</v>
      </c>
      <c r="M4" s="2">
        <v>2593</v>
      </c>
      <c r="N4" s="2">
        <v>4517</v>
      </c>
      <c r="O4" s="23">
        <f>Table2[[#This Row],[Cost Of Goods Sold]]/Table2[[#This Row],[Revenue $]]</f>
        <v>0.74720844248741247</v>
      </c>
      <c r="P4" s="23">
        <f>Table2[[#This Row],[          Research And Development Expenses]]/Table2[[#This Row],[Revenue $]]</f>
        <v>4.817643015067908E-2</v>
      </c>
      <c r="Q4" s="23">
        <f>Table2[[#This Row],[          SG&amp;A Expenses]]/Table2[[#This Row],[Revenue $]]</f>
        <v>8.3923229845976624E-2</v>
      </c>
      <c r="R4" s="2"/>
      <c r="S4" s="2">
        <v>7083</v>
      </c>
      <c r="T4" s="23">
        <f>Table2[[#This Row],[Operating Expenses]]/Table2[[#This Row],[Revenue $]]</f>
        <v>0.13159801571818738</v>
      </c>
      <c r="U4" s="2">
        <v>6523</v>
      </c>
      <c r="V4" s="2">
        <v>-180</v>
      </c>
      <c r="W4" s="2">
        <v>6343</v>
      </c>
      <c r="X4" s="2">
        <v>699</v>
      </c>
      <c r="Y4" s="2">
        <v>5644</v>
      </c>
      <c r="Z4" s="2"/>
      <c r="AA4" s="2">
        <v>5644</v>
      </c>
      <c r="AB4" s="2"/>
      <c r="AC4" s="2">
        <v>5524</v>
      </c>
      <c r="AD4" s="23">
        <f>(Table2[[#This Row],[Net Income]]-AC5)/AC5</f>
        <v>7.005797101449275</v>
      </c>
      <c r="AE4" s="2">
        <v>9434</v>
      </c>
      <c r="AF4" s="2">
        <v>6523</v>
      </c>
      <c r="AG4" s="2">
        <v>2959</v>
      </c>
      <c r="AH4" s="2">
        <v>3386</v>
      </c>
      <c r="AI4" s="2">
        <v>1.87</v>
      </c>
      <c r="AJ4" s="2">
        <v>1.63</v>
      </c>
      <c r="AK4" s="20"/>
      <c r="AL4" s="2">
        <v>17707</v>
      </c>
      <c r="AM4" s="2">
        <v>1913</v>
      </c>
      <c r="AN4" s="2">
        <v>5757</v>
      </c>
      <c r="AO4" s="2">
        <v>1723</v>
      </c>
      <c r="AP4" s="2"/>
      <c r="AQ4" s="2">
        <v>27100</v>
      </c>
      <c r="AR4" s="2">
        <v>18884</v>
      </c>
      <c r="AS4" s="2"/>
      <c r="AT4" s="2">
        <v>457</v>
      </c>
      <c r="AU4" s="2">
        <v>9163</v>
      </c>
      <c r="AV4" s="2">
        <v>35031</v>
      </c>
      <c r="AW4" s="2">
        <v>62131</v>
      </c>
      <c r="AX4" s="2">
        <v>19705</v>
      </c>
      <c r="AY4" s="2">
        <v>5245</v>
      </c>
      <c r="AZ4" s="2">
        <v>3546</v>
      </c>
      <c r="BA4" s="2">
        <v>11411</v>
      </c>
      <c r="BB4" s="2">
        <v>31116</v>
      </c>
      <c r="BC4" s="2">
        <v>3</v>
      </c>
      <c r="BD4" s="2">
        <v>329</v>
      </c>
      <c r="BE4" s="2">
        <v>54</v>
      </c>
      <c r="BF4" s="2"/>
      <c r="BG4" s="2">
        <v>31015</v>
      </c>
      <c r="BH4" s="2">
        <v>62131</v>
      </c>
      <c r="BI4" s="21"/>
      <c r="BJ4" s="2">
        <v>5644</v>
      </c>
      <c r="BK4" s="2">
        <v>2911</v>
      </c>
      <c r="BL4" s="2">
        <v>2424</v>
      </c>
      <c r="BM4" s="2">
        <v>5335</v>
      </c>
      <c r="BN4" s="2">
        <v>-130</v>
      </c>
      <c r="BO4" s="2">
        <v>-1709</v>
      </c>
      <c r="BP4" s="2"/>
      <c r="BQ4" s="2">
        <v>-2221</v>
      </c>
      <c r="BR4" s="2">
        <v>518</v>
      </c>
      <c r="BS4" s="2">
        <v>11497</v>
      </c>
      <c r="BT4" s="2">
        <v>-7710</v>
      </c>
      <c r="BU4" s="2">
        <v>0</v>
      </c>
      <c r="BV4" s="2"/>
      <c r="BW4" s="2">
        <v>-132</v>
      </c>
      <c r="BX4" s="2"/>
      <c r="BY4" s="2">
        <v>-132</v>
      </c>
      <c r="BZ4" s="2">
        <v>-26</v>
      </c>
      <c r="CA4" s="2">
        <v>-7868</v>
      </c>
      <c r="CB4" s="2">
        <v>-5732</v>
      </c>
      <c r="CC4" s="2"/>
      <c r="CD4" s="2">
        <v>-5732</v>
      </c>
      <c r="CE4" s="2">
        <v>707</v>
      </c>
      <c r="CF4" s="2">
        <v>707</v>
      </c>
      <c r="CG4" s="2"/>
      <c r="CH4" s="2">
        <v>-178</v>
      </c>
      <c r="CI4" s="2">
        <v>-5203</v>
      </c>
      <c r="CJ4" s="2">
        <v>-1757</v>
      </c>
      <c r="CK4" s="23">
        <f>(Table2[[#This Row],[Net Cash Flow]]-CJ5)/CJ5</f>
        <v>-1.1339381003201707</v>
      </c>
      <c r="CL4" s="2">
        <v>2121</v>
      </c>
      <c r="CM4" s="2"/>
      <c r="CN4" s="22"/>
      <c r="CO4" s="2">
        <v>1.3753</v>
      </c>
      <c r="CP4" s="2">
        <f t="shared" ref="CP4:CP16" si="6" xml:space="preserve"> (AQ4 - AN4) / AX4</f>
        <v>1.0831261101243339</v>
      </c>
      <c r="CQ4" s="2">
        <v>0.14460000000000001</v>
      </c>
      <c r="CR4" s="2">
        <v>0.2203</v>
      </c>
      <c r="CS4" s="2">
        <v>25.279199999999999</v>
      </c>
      <c r="CT4" s="2">
        <v>12.119400000000001</v>
      </c>
      <c r="CU4" s="2">
        <v>12.119400000000001</v>
      </c>
      <c r="CV4" s="2">
        <v>17.527799999999999</v>
      </c>
      <c r="CW4" s="2">
        <v>11.7849</v>
      </c>
      <c r="CX4" s="2">
        <v>10.263299999999999</v>
      </c>
      <c r="CY4" s="2">
        <v>0.86629999999999996</v>
      </c>
      <c r="CZ4" s="2">
        <v>6.9858000000000002</v>
      </c>
      <c r="DA4" s="2">
        <v>28.135400000000001</v>
      </c>
      <c r="DB4" s="2">
        <v>12.973000000000001</v>
      </c>
      <c r="DC4" s="2">
        <v>18.197700000000001</v>
      </c>
      <c r="DD4" s="2">
        <v>18.469799999999999</v>
      </c>
      <c r="DE4" s="2">
        <v>9.0839999999999996</v>
      </c>
      <c r="DF4" s="2">
        <v>15.5654</v>
      </c>
      <c r="DG4" s="2">
        <v>10.004799999999999</v>
      </c>
      <c r="DH4" s="2">
        <v>1.5663</v>
      </c>
      <c r="DI4" s="2">
        <v>0.26090000000000002</v>
      </c>
      <c r="DJ4" s="113">
        <f>Table2[[#This Row],[Free Cash Flow Per Share]]-DI5/DI5</f>
        <v>-0.73909999999999998</v>
      </c>
      <c r="DK4" s="113">
        <f>(Table2[[#This Row],[ROE - Return on Equity]]-DC5)/DC5</f>
        <v>3.8714262769033092</v>
      </c>
      <c r="DL4" s="113">
        <f>(Table2[[#This Row],[Long-term Debt/ Capital]]-CQ5)/CQ5</f>
        <v>-0.50816326530612244</v>
      </c>
      <c r="DM4" s="113">
        <f t="shared" ref="DM4:DM16" si="7" xml:space="preserve"> AQ4 - AX4</f>
        <v>7395</v>
      </c>
      <c r="DN4" s="2">
        <v>352.26</v>
      </c>
      <c r="DO4" s="2">
        <f>Table2[[#This Row],[Historical Stock Price (Dec/year)]]/Table2[[#This Row],[Free Cash Flow Per Share]]</f>
        <v>1350.1724798773475</v>
      </c>
      <c r="DP4" s="2">
        <f>Table2[[#This Row],[Gross Profit]]/Table2[[#This Row],[Revenue $]]</f>
        <v>0.25279155751258753</v>
      </c>
    </row>
    <row r="5" spans="1:120" x14ac:dyDescent="0.25">
      <c r="A5" s="89">
        <v>44196</v>
      </c>
      <c r="B5" s="36">
        <f t="shared" si="4"/>
        <v>2020</v>
      </c>
      <c r="C5" s="120"/>
      <c r="D5" s="2">
        <v>31536</v>
      </c>
      <c r="E5" s="23">
        <f t="shared" si="5"/>
        <v>0.28309870615998056</v>
      </c>
      <c r="F5" s="30">
        <f t="shared" si="0"/>
        <v>0.2102359208523592</v>
      </c>
      <c r="G5" s="30">
        <f t="shared" si="1"/>
        <v>0.85299340436326743</v>
      </c>
      <c r="H5" s="30">
        <f t="shared" si="2"/>
        <v>6.3229325215626589E-2</v>
      </c>
      <c r="I5" s="30">
        <f t="shared" si="3"/>
        <v>2.1879756468797563E-2</v>
      </c>
      <c r="J5" s="2">
        <v>24906</v>
      </c>
      <c r="K5" s="23">
        <f>(Table2[[#This Row],[Cost Of Goods Sold]]-J6)/J6</f>
        <v>0.2143936808230533</v>
      </c>
      <c r="L5" s="2">
        <v>6630</v>
      </c>
      <c r="M5" s="2">
        <v>1491</v>
      </c>
      <c r="N5" s="2">
        <v>3145</v>
      </c>
      <c r="O5" s="23">
        <f>Table2[[#This Row],[Cost Of Goods Sold]]/Table2[[#This Row],[Revenue $]]</f>
        <v>0.7897640791476408</v>
      </c>
      <c r="P5" s="23">
        <f>Table2[[#This Row],[          Research And Development Expenses]]/Table2[[#This Row],[Revenue $]]</f>
        <v>4.7279299847792999E-2</v>
      </c>
      <c r="Q5" s="23">
        <f>Table2[[#This Row],[          SG&amp;A Expenses]]/Table2[[#This Row],[Revenue $]]</f>
        <v>9.9727295788939629E-2</v>
      </c>
      <c r="R5" s="2"/>
      <c r="S5" s="2">
        <v>4636</v>
      </c>
      <c r="T5" s="23">
        <f>Table2[[#This Row],[Operating Expenses]]/Table2[[#This Row],[Revenue $]]</f>
        <v>0.14700659563673263</v>
      </c>
      <c r="U5" s="2">
        <v>1994</v>
      </c>
      <c r="V5" s="2">
        <v>-840</v>
      </c>
      <c r="W5" s="2">
        <v>1154</v>
      </c>
      <c r="X5" s="2">
        <v>292</v>
      </c>
      <c r="Y5" s="2">
        <v>862</v>
      </c>
      <c r="Z5" s="2"/>
      <c r="AA5" s="2">
        <v>862</v>
      </c>
      <c r="AB5" s="2"/>
      <c r="AC5" s="2">
        <v>690</v>
      </c>
      <c r="AD5" s="23">
        <f>(Table2[[#This Row],[Net Income]]-AC6)/AC6</f>
        <v>-1.8004640371229699</v>
      </c>
      <c r="AE5" s="2">
        <v>4316</v>
      </c>
      <c r="AF5" s="2">
        <v>1994</v>
      </c>
      <c r="AG5" s="2">
        <v>2798</v>
      </c>
      <c r="AH5" s="2">
        <v>3249</v>
      </c>
      <c r="AI5" s="2">
        <v>0.25</v>
      </c>
      <c r="AJ5" s="2">
        <v>0.21</v>
      </c>
      <c r="AK5" s="20"/>
      <c r="AL5" s="2">
        <v>19384</v>
      </c>
      <c r="AM5" s="2">
        <v>1886</v>
      </c>
      <c r="AN5" s="2">
        <v>4101</v>
      </c>
      <c r="AO5" s="2">
        <v>1346</v>
      </c>
      <c r="AP5" s="2"/>
      <c r="AQ5" s="2">
        <v>26717</v>
      </c>
      <c r="AR5" s="2">
        <v>12747</v>
      </c>
      <c r="AS5" s="2"/>
      <c r="AT5" s="2">
        <v>520</v>
      </c>
      <c r="AU5" s="2">
        <v>7515</v>
      </c>
      <c r="AV5" s="2">
        <v>25431</v>
      </c>
      <c r="AW5" s="2">
        <v>52148</v>
      </c>
      <c r="AX5" s="2">
        <v>14248</v>
      </c>
      <c r="AY5" s="2">
        <v>9607</v>
      </c>
      <c r="AZ5" s="2">
        <v>3330</v>
      </c>
      <c r="BA5" s="2">
        <v>14825</v>
      </c>
      <c r="BB5" s="2">
        <v>29073</v>
      </c>
      <c r="BC5" s="2">
        <v>1</v>
      </c>
      <c r="BD5" s="2">
        <v>-5399</v>
      </c>
      <c r="BE5" s="2">
        <v>363</v>
      </c>
      <c r="BF5" s="2"/>
      <c r="BG5" s="2">
        <v>23075</v>
      </c>
      <c r="BH5" s="2">
        <v>52148</v>
      </c>
      <c r="BI5" s="21"/>
      <c r="BJ5" s="2">
        <v>862</v>
      </c>
      <c r="BK5" s="2">
        <v>2322</v>
      </c>
      <c r="BL5" s="2">
        <v>2575</v>
      </c>
      <c r="BM5" s="2">
        <v>4897</v>
      </c>
      <c r="BN5" s="2">
        <v>-652</v>
      </c>
      <c r="BO5" s="2">
        <v>-422</v>
      </c>
      <c r="BP5" s="2"/>
      <c r="BQ5" s="2">
        <v>-844</v>
      </c>
      <c r="BR5" s="2">
        <v>184</v>
      </c>
      <c r="BS5" s="2">
        <v>5943</v>
      </c>
      <c r="BT5" s="2">
        <v>-3157</v>
      </c>
      <c r="BU5" s="2">
        <v>-10</v>
      </c>
      <c r="BV5" s="2">
        <v>-13</v>
      </c>
      <c r="BW5" s="2"/>
      <c r="BX5" s="2"/>
      <c r="BY5" s="2"/>
      <c r="BZ5" s="2">
        <v>48</v>
      </c>
      <c r="CA5" s="2">
        <v>-3132</v>
      </c>
      <c r="CB5" s="2">
        <v>-2488</v>
      </c>
      <c r="CC5" s="2"/>
      <c r="CD5" s="2">
        <v>-2488</v>
      </c>
      <c r="CE5" s="2">
        <v>12686</v>
      </c>
      <c r="CF5" s="2">
        <v>12686</v>
      </c>
      <c r="CG5" s="2"/>
      <c r="CH5" s="2">
        <v>-225</v>
      </c>
      <c r="CI5" s="2">
        <v>9973</v>
      </c>
      <c r="CJ5" s="2">
        <v>13118</v>
      </c>
      <c r="CK5" s="23">
        <f>(Table2[[#This Row],[Net Cash Flow]]-CJ6)/CJ6</f>
        <v>4.2346368715083802</v>
      </c>
      <c r="CL5" s="2">
        <v>1734</v>
      </c>
      <c r="CM5" s="2"/>
      <c r="CN5" s="22"/>
      <c r="CO5" s="2">
        <v>1.8751</v>
      </c>
      <c r="CP5" s="2">
        <f t="shared" si="6"/>
        <v>1.5873104997192589</v>
      </c>
      <c r="CQ5" s="2">
        <v>0.29399999999999998</v>
      </c>
      <c r="CR5" s="2">
        <v>0.50870000000000004</v>
      </c>
      <c r="CS5" s="2">
        <v>21.023599999999998</v>
      </c>
      <c r="CT5" s="2">
        <v>6.3228999999999997</v>
      </c>
      <c r="CU5" s="2">
        <v>6.3228999999999997</v>
      </c>
      <c r="CV5" s="2">
        <v>13.686</v>
      </c>
      <c r="CW5" s="2">
        <v>3.6593</v>
      </c>
      <c r="CX5" s="2">
        <v>2.1880000000000002</v>
      </c>
      <c r="CY5" s="2">
        <v>0.60470000000000002</v>
      </c>
      <c r="CZ5" s="2">
        <v>6.0731999999999999</v>
      </c>
      <c r="DA5" s="2">
        <v>16.7211</v>
      </c>
      <c r="DB5" s="2">
        <v>21.828700000000001</v>
      </c>
      <c r="DC5" s="2">
        <v>3.7355999999999998</v>
      </c>
      <c r="DD5" s="2">
        <v>3.8218000000000001</v>
      </c>
      <c r="DE5" s="2">
        <v>1.653</v>
      </c>
      <c r="DF5" s="2">
        <v>2.6375000000000002</v>
      </c>
      <c r="DG5" s="2">
        <v>8.0122</v>
      </c>
      <c r="DH5" s="2">
        <v>0.9254</v>
      </c>
      <c r="DI5" s="2">
        <v>0.45240000000000002</v>
      </c>
      <c r="DJ5" s="113">
        <f>Table2[[#This Row],[Free Cash Flow Per Share]]-DI6/DI6</f>
        <v>-0.54759999999999998</v>
      </c>
      <c r="DK5" s="113">
        <f>(Table2[[#This Row],[ROE - Return on Equity]]-DC6)/DC6</f>
        <v>-1.3599190673475288</v>
      </c>
      <c r="DL5" s="113">
        <f>(Table2[[#This Row],[Long-term Debt/ Capital]]-CQ6)/CQ6</f>
        <v>-0.51732063700541786</v>
      </c>
      <c r="DM5" s="113">
        <f t="shared" si="7"/>
        <v>12469</v>
      </c>
      <c r="DN5" s="2">
        <v>235.22</v>
      </c>
      <c r="DO5" s="2">
        <f>Table2[[#This Row],[Historical Stock Price (Dec/year)]]/Table2[[#This Row],[Free Cash Flow Per Share]]</f>
        <v>519.9381078691423</v>
      </c>
      <c r="DP5" s="2">
        <f>Table2[[#This Row],[Gross Profit]]/Table2[[#This Row],[Revenue $]]</f>
        <v>0.2102359208523592</v>
      </c>
    </row>
    <row r="6" spans="1:120" x14ac:dyDescent="0.25">
      <c r="A6" s="89">
        <v>43830</v>
      </c>
      <c r="B6" s="36">
        <f t="shared" si="4"/>
        <v>2019</v>
      </c>
      <c r="C6" s="120"/>
      <c r="D6" s="2">
        <v>24578</v>
      </c>
      <c r="E6" s="23">
        <f t="shared" si="5"/>
        <v>0.14524020315921904</v>
      </c>
      <c r="F6" s="30">
        <f t="shared" si="0"/>
        <v>0.1655545609895028</v>
      </c>
      <c r="G6" s="30">
        <f t="shared" si="1"/>
        <v>0.83163805028887627</v>
      </c>
      <c r="H6" s="30">
        <f t="shared" si="2"/>
        <v>-2.8073887216209618E-3</v>
      </c>
      <c r="I6" s="30">
        <f t="shared" si="3"/>
        <v>-3.5072015623728539E-2</v>
      </c>
      <c r="J6" s="2">
        <v>20509</v>
      </c>
      <c r="K6" s="23">
        <f>(Table2[[#This Row],[Cost Of Goods Sold]]-J7)/J7</f>
        <v>0.17739250243986451</v>
      </c>
      <c r="L6" s="2">
        <v>4069</v>
      </c>
      <c r="M6" s="2">
        <v>1343</v>
      </c>
      <c r="N6" s="2">
        <v>2646</v>
      </c>
      <c r="O6" s="23">
        <f>Table2[[#This Row],[Cost Of Goods Sold]]/Table2[[#This Row],[Revenue $]]</f>
        <v>0.83444543901049717</v>
      </c>
      <c r="P6" s="23">
        <f>Table2[[#This Row],[          Research And Development Expenses]]/Table2[[#This Row],[Revenue $]]</f>
        <v>5.4642363088941333E-2</v>
      </c>
      <c r="Q6" s="23">
        <f>Table2[[#This Row],[          SG&amp;A Expenses]]/Table2[[#This Row],[Revenue $]]</f>
        <v>0.10765725445520384</v>
      </c>
      <c r="R6" s="2"/>
      <c r="S6" s="2">
        <v>4138</v>
      </c>
      <c r="T6" s="23">
        <f>Table2[[#This Row],[Operating Expenses]]/Table2[[#This Row],[Revenue $]]</f>
        <v>0.16836194971112378</v>
      </c>
      <c r="U6" s="2">
        <v>-69</v>
      </c>
      <c r="V6" s="2">
        <v>-596</v>
      </c>
      <c r="W6" s="2">
        <v>-665</v>
      </c>
      <c r="X6" s="2">
        <v>110</v>
      </c>
      <c r="Y6" s="2">
        <v>-775</v>
      </c>
      <c r="Z6" s="2"/>
      <c r="AA6" s="2">
        <v>-775</v>
      </c>
      <c r="AB6" s="2"/>
      <c r="AC6" s="2">
        <v>-862</v>
      </c>
      <c r="AD6" s="23">
        <f>(Table2[[#This Row],[Net Income]]-AC7)/AC7</f>
        <v>-0.11680327868852459</v>
      </c>
      <c r="AE6" s="2">
        <v>2085</v>
      </c>
      <c r="AF6" s="2">
        <v>-69</v>
      </c>
      <c r="AG6" s="2">
        <v>2661</v>
      </c>
      <c r="AH6" s="2">
        <v>2661</v>
      </c>
      <c r="AI6" s="2">
        <v>-0.32669999999999999</v>
      </c>
      <c r="AJ6" s="2">
        <v>-0.32669999999999999</v>
      </c>
      <c r="AK6" s="20"/>
      <c r="AL6" s="2">
        <v>6268</v>
      </c>
      <c r="AM6" s="2">
        <v>1324</v>
      </c>
      <c r="AN6" s="2">
        <v>3552</v>
      </c>
      <c r="AO6" s="2">
        <v>959</v>
      </c>
      <c r="AP6" s="2"/>
      <c r="AQ6" s="2">
        <v>12103</v>
      </c>
      <c r="AR6" s="2">
        <v>10396</v>
      </c>
      <c r="AS6" s="2"/>
      <c r="AT6" s="2">
        <v>537</v>
      </c>
      <c r="AU6" s="2">
        <v>7608</v>
      </c>
      <c r="AV6" s="2">
        <v>22206</v>
      </c>
      <c r="AW6" s="2">
        <v>34309</v>
      </c>
      <c r="AX6" s="2">
        <v>10667</v>
      </c>
      <c r="AY6" s="2">
        <v>11634</v>
      </c>
      <c r="AZ6" s="2">
        <v>2691</v>
      </c>
      <c r="BA6" s="2">
        <v>16175</v>
      </c>
      <c r="BB6" s="2">
        <v>26842</v>
      </c>
      <c r="BC6" s="2">
        <v>1</v>
      </c>
      <c r="BD6" s="2">
        <v>-6083</v>
      </c>
      <c r="BE6" s="2">
        <v>-36</v>
      </c>
      <c r="BF6" s="2"/>
      <c r="BG6" s="2">
        <v>7467</v>
      </c>
      <c r="BH6" s="2">
        <v>34309</v>
      </c>
      <c r="BI6" s="21"/>
      <c r="BJ6" s="2">
        <v>-775</v>
      </c>
      <c r="BK6" s="2">
        <v>2154</v>
      </c>
      <c r="BL6" s="2">
        <v>1375</v>
      </c>
      <c r="BM6" s="2">
        <v>3529</v>
      </c>
      <c r="BN6" s="2">
        <v>-367</v>
      </c>
      <c r="BO6" s="2">
        <v>-429</v>
      </c>
      <c r="BP6" s="2"/>
      <c r="BQ6" s="2">
        <v>-199</v>
      </c>
      <c r="BR6" s="2">
        <v>-349</v>
      </c>
      <c r="BS6" s="2">
        <v>2405</v>
      </c>
      <c r="BT6" s="2">
        <v>-1327</v>
      </c>
      <c r="BU6" s="2">
        <v>-5</v>
      </c>
      <c r="BV6" s="2">
        <v>-45</v>
      </c>
      <c r="BW6" s="2"/>
      <c r="BX6" s="2"/>
      <c r="BY6" s="2"/>
      <c r="BZ6" s="2">
        <v>-59</v>
      </c>
      <c r="CA6" s="2">
        <v>-1436</v>
      </c>
      <c r="CB6" s="2">
        <v>322</v>
      </c>
      <c r="CC6" s="2"/>
      <c r="CD6" s="2">
        <v>322</v>
      </c>
      <c r="CE6" s="2">
        <v>1285</v>
      </c>
      <c r="CF6" s="2">
        <v>1285</v>
      </c>
      <c r="CG6" s="2"/>
      <c r="CH6" s="2">
        <v>-78</v>
      </c>
      <c r="CI6" s="2">
        <v>1529</v>
      </c>
      <c r="CJ6" s="2">
        <v>2506</v>
      </c>
      <c r="CK6" s="23">
        <f>(Table2[[#This Row],[Net Cash Flow]]-CJ7)/CJ7</f>
        <v>7.0320512820512819</v>
      </c>
      <c r="CL6" s="2">
        <v>898</v>
      </c>
      <c r="CM6" s="2"/>
      <c r="CN6" s="22"/>
      <c r="CO6" s="2">
        <v>1.1346000000000001</v>
      </c>
      <c r="CP6" s="2">
        <f t="shared" si="6"/>
        <v>0.80163119902503044</v>
      </c>
      <c r="CQ6" s="2">
        <v>0.60909999999999997</v>
      </c>
      <c r="CR6" s="2">
        <v>1.7970999999999999</v>
      </c>
      <c r="CS6" s="2">
        <v>16.555499999999999</v>
      </c>
      <c r="CT6" s="2">
        <v>-0.28070000000000001</v>
      </c>
      <c r="CU6" s="2">
        <v>-0.28070000000000001</v>
      </c>
      <c r="CV6" s="2">
        <v>8.4832000000000001</v>
      </c>
      <c r="CW6" s="2">
        <v>-2.7057000000000002</v>
      </c>
      <c r="CX6" s="2">
        <v>-3.5072000000000001</v>
      </c>
      <c r="CY6" s="2">
        <v>0.71640000000000004</v>
      </c>
      <c r="CZ6" s="2">
        <v>5.7739000000000003</v>
      </c>
      <c r="DA6" s="2">
        <v>18.563400000000001</v>
      </c>
      <c r="DB6" s="2">
        <v>19.662299999999998</v>
      </c>
      <c r="DC6" s="2">
        <v>-10.379</v>
      </c>
      <c r="DD6" s="2">
        <v>-11.183299999999999</v>
      </c>
      <c r="DE6" s="2">
        <v>-2.2589000000000001</v>
      </c>
      <c r="DF6" s="2">
        <v>-4.0574000000000003</v>
      </c>
      <c r="DG6" s="2">
        <v>2.7503000000000002</v>
      </c>
      <c r="DH6" s="2">
        <v>8.3900000000000002E-2</v>
      </c>
      <c r="DI6" s="2">
        <v>0.40629999999999999</v>
      </c>
      <c r="DJ6" s="113">
        <f>Table2[[#This Row],[Free Cash Flow Per Share]]-DI7/DI7</f>
        <v>-0.59370000000000001</v>
      </c>
      <c r="DK6" s="113">
        <f>(Table2[[#This Row],[ROE - Return on Equity]]-DC7)/DC7</f>
        <v>-0.43789433778331399</v>
      </c>
      <c r="DL6" s="113">
        <f>(Table2[[#This Row],[Long-term Debt/ Capital]]-CQ7)/CQ7</f>
        <v>-1.8055779461550844E-2</v>
      </c>
      <c r="DM6" s="113">
        <f t="shared" si="7"/>
        <v>1436</v>
      </c>
      <c r="DN6" s="2">
        <v>27.89</v>
      </c>
      <c r="DO6" s="2">
        <f>Table2[[#This Row],[Historical Stock Price (Dec/year)]]/Table2[[#This Row],[Free Cash Flow Per Share]]</f>
        <v>68.643859217327105</v>
      </c>
      <c r="DP6" s="2">
        <f>Table2[[#This Row],[Gross Profit]]/Table2[[#This Row],[Revenue $]]</f>
        <v>0.1655545609895028</v>
      </c>
    </row>
    <row r="7" spans="1:120" x14ac:dyDescent="0.25">
      <c r="A7" s="89">
        <v>43465</v>
      </c>
      <c r="B7" s="36">
        <f t="shared" si="4"/>
        <v>2018</v>
      </c>
      <c r="C7" s="120"/>
      <c r="D7" s="2">
        <v>21461</v>
      </c>
      <c r="E7" s="23">
        <f t="shared" si="5"/>
        <v>0.8250701590271281</v>
      </c>
      <c r="F7" s="30">
        <f t="shared" si="0"/>
        <v>0.18834164298028983</v>
      </c>
      <c r="G7" s="30">
        <f t="shared" si="1"/>
        <v>0.79357905037043941</v>
      </c>
      <c r="H7" s="30">
        <f t="shared" si="2"/>
        <v>-1.8079306649270769E-2</v>
      </c>
      <c r="I7" s="30">
        <f t="shared" si="3"/>
        <v>-4.5477843530124414E-2</v>
      </c>
      <c r="J7" s="2">
        <v>17419</v>
      </c>
      <c r="K7" s="23">
        <f>(Table2[[#This Row],[Cost Of Goods Sold]]-J8)/J8</f>
        <v>0.82665687919463082</v>
      </c>
      <c r="L7" s="2">
        <v>4042</v>
      </c>
      <c r="M7" s="2">
        <v>1460</v>
      </c>
      <c r="N7" s="2">
        <v>2835</v>
      </c>
      <c r="O7" s="23">
        <f>Table2[[#This Row],[Cost Of Goods Sold]]/Table2[[#This Row],[Revenue $]]</f>
        <v>0.81165835701971012</v>
      </c>
      <c r="P7" s="23">
        <f>Table2[[#This Row],[          Research And Development Expenses]]/Table2[[#This Row],[Revenue $]]</f>
        <v>6.8030380690554962E-2</v>
      </c>
      <c r="Q7" s="23">
        <f>Table2[[#This Row],[          SG&amp;A Expenses]]/Table2[[#This Row],[Revenue $]]</f>
        <v>0.1321000885326872</v>
      </c>
      <c r="R7" s="2"/>
      <c r="S7" s="2">
        <v>4430</v>
      </c>
      <c r="T7" s="23">
        <f>Table2[[#This Row],[Operating Expenses]]/Table2[[#This Row],[Revenue $]]</f>
        <v>0.20642094962956059</v>
      </c>
      <c r="U7" s="2">
        <v>-388</v>
      </c>
      <c r="V7" s="2">
        <v>-617</v>
      </c>
      <c r="W7" s="2">
        <v>-1005</v>
      </c>
      <c r="X7" s="2">
        <v>58</v>
      </c>
      <c r="Y7" s="2">
        <v>-1063</v>
      </c>
      <c r="Z7" s="2"/>
      <c r="AA7" s="2">
        <v>-1063</v>
      </c>
      <c r="AB7" s="2"/>
      <c r="AC7" s="2">
        <v>-976</v>
      </c>
      <c r="AD7" s="23">
        <f>(Table2[[#This Row],[Net Income]]-AC8)/AC8</f>
        <v>-0.50254841997961264</v>
      </c>
      <c r="AE7" s="2">
        <v>1672</v>
      </c>
      <c r="AF7" s="2">
        <v>-388</v>
      </c>
      <c r="AG7" s="2">
        <v>2559</v>
      </c>
      <c r="AH7" s="2">
        <v>2559</v>
      </c>
      <c r="AI7" s="2">
        <v>-0.38</v>
      </c>
      <c r="AJ7" s="2">
        <v>-0.38</v>
      </c>
      <c r="AK7" s="20"/>
      <c r="AL7" s="2">
        <v>3879</v>
      </c>
      <c r="AM7" s="2">
        <v>949</v>
      </c>
      <c r="AN7" s="2">
        <v>3113</v>
      </c>
      <c r="AO7" s="2">
        <v>366</v>
      </c>
      <c r="AP7" s="2"/>
      <c r="AQ7" s="2">
        <v>8307</v>
      </c>
      <c r="AR7" s="2">
        <v>11330</v>
      </c>
      <c r="AS7" s="2"/>
      <c r="AT7" s="2">
        <v>350</v>
      </c>
      <c r="AU7" s="2">
        <v>7241</v>
      </c>
      <c r="AV7" s="2">
        <v>21433</v>
      </c>
      <c r="AW7" s="2">
        <v>29740</v>
      </c>
      <c r="AX7" s="2">
        <v>9993</v>
      </c>
      <c r="AY7" s="2">
        <v>9404</v>
      </c>
      <c r="AZ7" s="2">
        <v>3039</v>
      </c>
      <c r="BA7" s="2">
        <v>13990</v>
      </c>
      <c r="BB7" s="2">
        <v>23983</v>
      </c>
      <c r="BC7" s="2"/>
      <c r="BD7" s="2">
        <v>-5318</v>
      </c>
      <c r="BE7" s="2">
        <v>-8</v>
      </c>
      <c r="BF7" s="2"/>
      <c r="BG7" s="2">
        <v>5757</v>
      </c>
      <c r="BH7" s="2">
        <v>29740</v>
      </c>
      <c r="BI7" s="21"/>
      <c r="BJ7" s="2">
        <v>-1063</v>
      </c>
      <c r="BK7" s="2">
        <v>2060</v>
      </c>
      <c r="BL7" s="2">
        <v>1043</v>
      </c>
      <c r="BM7" s="2">
        <v>3103</v>
      </c>
      <c r="BN7" s="2">
        <v>-497</v>
      </c>
      <c r="BO7" s="2">
        <v>-1023</v>
      </c>
      <c r="BP7" s="2"/>
      <c r="BQ7" s="2">
        <v>-219</v>
      </c>
      <c r="BR7" s="2">
        <v>58</v>
      </c>
      <c r="BS7" s="2">
        <v>2098</v>
      </c>
      <c r="BT7" s="2">
        <v>-2101</v>
      </c>
      <c r="BU7" s="2">
        <v>0</v>
      </c>
      <c r="BV7" s="2">
        <v>-18</v>
      </c>
      <c r="BW7" s="2"/>
      <c r="BX7" s="2"/>
      <c r="BY7" s="2"/>
      <c r="BZ7" s="2">
        <v>-218</v>
      </c>
      <c r="CA7" s="2">
        <v>-2337</v>
      </c>
      <c r="CB7" s="2">
        <v>89</v>
      </c>
      <c r="CC7" s="2"/>
      <c r="CD7" s="2">
        <v>89</v>
      </c>
      <c r="CE7" s="2">
        <v>296</v>
      </c>
      <c r="CF7" s="2">
        <v>296</v>
      </c>
      <c r="CG7" s="2"/>
      <c r="CH7" s="2">
        <v>189</v>
      </c>
      <c r="CI7" s="2">
        <v>574</v>
      </c>
      <c r="CJ7" s="2">
        <v>312</v>
      </c>
      <c r="CK7" s="23">
        <f>(Table2[[#This Row],[Net Cash Flow]]-CJ8)/CJ8</f>
        <v>0.5757575757575758</v>
      </c>
      <c r="CL7" s="2">
        <v>749</v>
      </c>
      <c r="CM7" s="2"/>
      <c r="CN7" s="22"/>
      <c r="CO7" s="2">
        <v>0.83130000000000004</v>
      </c>
      <c r="CP7" s="2">
        <f t="shared" si="6"/>
        <v>0.519763834684279</v>
      </c>
      <c r="CQ7" s="2">
        <v>0.62029999999999996</v>
      </c>
      <c r="CR7" s="2">
        <v>2.0796000000000001</v>
      </c>
      <c r="CS7" s="2">
        <v>18.834199999999999</v>
      </c>
      <c r="CT7" s="2">
        <v>-1.8079000000000001</v>
      </c>
      <c r="CU7" s="2">
        <v>-1.8079000000000001</v>
      </c>
      <c r="CV7" s="2">
        <v>7.7908999999999997</v>
      </c>
      <c r="CW7" s="2">
        <v>-4.6829000000000001</v>
      </c>
      <c r="CX7" s="2">
        <v>-4.5477999999999996</v>
      </c>
      <c r="CY7" s="2">
        <v>0.72160000000000002</v>
      </c>
      <c r="CZ7" s="2">
        <v>5.5956000000000001</v>
      </c>
      <c r="DA7" s="2">
        <v>22.6143</v>
      </c>
      <c r="DB7" s="2">
        <v>16.1402</v>
      </c>
      <c r="DC7" s="2">
        <v>-18.464500000000001</v>
      </c>
      <c r="DD7" s="2">
        <v>-19.659700000000001</v>
      </c>
      <c r="DE7" s="2">
        <v>-3.5743</v>
      </c>
      <c r="DF7" s="2">
        <v>-7.0114000000000001</v>
      </c>
      <c r="DG7" s="2">
        <v>2.2185000000000001</v>
      </c>
      <c r="DH7" s="2">
        <v>0.84440000000000004</v>
      </c>
      <c r="DI7" s="2">
        <v>1.3948</v>
      </c>
      <c r="DJ7" s="113">
        <f>Table2[[#This Row],[Free Cash Flow Per Share]]-DI8/DI8</f>
        <v>0.39480000000000004</v>
      </c>
      <c r="DK7" s="113">
        <f>(Table2[[#This Row],[ROE - Return on Equity]]-DC8)/DC8</f>
        <v>-0.56870132721658251</v>
      </c>
      <c r="DL7" s="113">
        <f>(Table2[[#This Row],[Long-term Debt/ Capital]]-CQ8)/CQ8</f>
        <v>-3.5003111387679017E-2</v>
      </c>
      <c r="DM7" s="113">
        <f t="shared" si="7"/>
        <v>-1686</v>
      </c>
      <c r="DN7" s="2">
        <v>22.19</v>
      </c>
      <c r="DO7" s="2">
        <f>Table2[[#This Row],[Historical Stock Price (Dec/year)]]/Table2[[#This Row],[Free Cash Flow Per Share]]</f>
        <v>15.90909090909091</v>
      </c>
      <c r="DP7" s="2">
        <f>Table2[[#This Row],[Gross Profit]]/Table2[[#This Row],[Revenue $]]</f>
        <v>0.18834164298028983</v>
      </c>
    </row>
    <row r="8" spans="1:120" x14ac:dyDescent="0.25">
      <c r="A8" s="89">
        <v>43100</v>
      </c>
      <c r="B8" s="36">
        <f t="shared" si="4"/>
        <v>2017</v>
      </c>
      <c r="C8" s="120"/>
      <c r="D8" s="2">
        <v>11759</v>
      </c>
      <c r="E8" s="23">
        <f t="shared" si="5"/>
        <v>0.67982546614835271</v>
      </c>
      <c r="F8" s="30">
        <f t="shared" si="0"/>
        <v>0.1890466876435071</v>
      </c>
      <c r="G8" s="30">
        <f t="shared" si="1"/>
        <v>0.67216600051024744</v>
      </c>
      <c r="H8" s="30">
        <f t="shared" si="2"/>
        <v>-0.13878731184624543</v>
      </c>
      <c r="I8" s="30">
        <f t="shared" si="3"/>
        <v>-0.16685092269750829</v>
      </c>
      <c r="J8" s="2">
        <v>9536</v>
      </c>
      <c r="K8" s="23">
        <f>(Table2[[#This Row],[Cost Of Goods Sold]]-J9)/J9</f>
        <v>0.76563982687990373</v>
      </c>
      <c r="L8" s="2">
        <v>2223</v>
      </c>
      <c r="M8" s="2">
        <v>1378</v>
      </c>
      <c r="N8" s="2">
        <v>2477</v>
      </c>
      <c r="O8" s="23">
        <f>Table2[[#This Row],[Cost Of Goods Sold]]/Table2[[#This Row],[Revenue $]]</f>
        <v>0.81095331235649293</v>
      </c>
      <c r="P8" s="23">
        <f>Table2[[#This Row],[          Research And Development Expenses]]/Table2[[#This Row],[Revenue $]]</f>
        <v>0.1171868356152734</v>
      </c>
      <c r="Q8" s="23">
        <f>Table2[[#This Row],[          SG&amp;A Expenses]]/Table2[[#This Row],[Revenue $]]</f>
        <v>0.21064716387447913</v>
      </c>
      <c r="R8" s="2"/>
      <c r="S8" s="2">
        <v>3855</v>
      </c>
      <c r="T8" s="23">
        <f>Table2[[#This Row],[Operating Expenses]]/Table2[[#This Row],[Revenue $]]</f>
        <v>0.3278339994897525</v>
      </c>
      <c r="U8" s="2">
        <v>-1632</v>
      </c>
      <c r="V8" s="2">
        <v>-577</v>
      </c>
      <c r="W8" s="2">
        <v>-2209</v>
      </c>
      <c r="X8" s="2">
        <v>32</v>
      </c>
      <c r="Y8" s="2">
        <v>-2241</v>
      </c>
      <c r="Z8" s="2"/>
      <c r="AA8" s="2">
        <v>-2241</v>
      </c>
      <c r="AB8" s="2"/>
      <c r="AC8" s="2">
        <v>-1962</v>
      </c>
      <c r="AD8" s="23">
        <f>(Table2[[#This Row],[Net Income]]-AC9)/AC9</f>
        <v>1.9070370447197718</v>
      </c>
      <c r="AE8" s="2">
        <v>95</v>
      </c>
      <c r="AF8" s="2">
        <v>-1632</v>
      </c>
      <c r="AG8" s="2">
        <v>2490</v>
      </c>
      <c r="AH8" s="2">
        <v>2490</v>
      </c>
      <c r="AI8" s="2">
        <v>-0.78869999999999996</v>
      </c>
      <c r="AJ8" s="2">
        <v>-0.78869999999999996</v>
      </c>
      <c r="AK8" s="20"/>
      <c r="AL8" s="2">
        <v>3523.2370000000001</v>
      </c>
      <c r="AM8" s="2">
        <v>515.38099999999997</v>
      </c>
      <c r="AN8" s="2">
        <v>2263.5369999999998</v>
      </c>
      <c r="AO8" s="2">
        <v>268.36500000000001</v>
      </c>
      <c r="AP8" s="2"/>
      <c r="AQ8" s="2">
        <v>6570.52</v>
      </c>
      <c r="AR8" s="2">
        <v>10027.52</v>
      </c>
      <c r="AS8" s="2"/>
      <c r="AT8" s="2">
        <v>421.73899999999998</v>
      </c>
      <c r="AU8" s="2">
        <v>7062.335</v>
      </c>
      <c r="AV8" s="2">
        <v>22084.85</v>
      </c>
      <c r="AW8" s="2">
        <v>28655.37</v>
      </c>
      <c r="AX8" s="2">
        <v>7674.67</v>
      </c>
      <c r="AY8" s="2">
        <v>9418.39</v>
      </c>
      <c r="AZ8" s="2">
        <v>4752.192</v>
      </c>
      <c r="BA8" s="2">
        <v>15746.12</v>
      </c>
      <c r="BB8" s="2">
        <v>23420.78</v>
      </c>
      <c r="BC8" s="2">
        <v>0.16900000000000001</v>
      </c>
      <c r="BD8" s="2">
        <v>-4974.299</v>
      </c>
      <c r="BE8" s="2">
        <v>33.347999999999999</v>
      </c>
      <c r="BF8" s="2"/>
      <c r="BG8" s="2">
        <v>5234.5879999999997</v>
      </c>
      <c r="BH8" s="2">
        <v>28655.37</v>
      </c>
      <c r="BI8" s="21"/>
      <c r="BJ8" s="2">
        <v>-2241</v>
      </c>
      <c r="BK8" s="2">
        <v>1727</v>
      </c>
      <c r="BL8" s="2">
        <v>950</v>
      </c>
      <c r="BM8" s="2">
        <v>2677</v>
      </c>
      <c r="BN8" s="2">
        <v>-25</v>
      </c>
      <c r="BO8" s="2">
        <v>-179</v>
      </c>
      <c r="BP8" s="2"/>
      <c r="BQ8" s="2">
        <v>-681</v>
      </c>
      <c r="BR8" s="2">
        <v>-497</v>
      </c>
      <c r="BS8" s="2">
        <v>-61</v>
      </c>
      <c r="BT8" s="2">
        <v>-3415</v>
      </c>
      <c r="BU8" s="2">
        <v>0</v>
      </c>
      <c r="BV8" s="2">
        <v>-115</v>
      </c>
      <c r="BW8" s="2"/>
      <c r="BX8" s="2"/>
      <c r="BY8" s="2"/>
      <c r="BZ8" s="2">
        <v>-666</v>
      </c>
      <c r="CA8" s="2">
        <v>-4196</v>
      </c>
      <c r="CB8" s="2">
        <v>3468</v>
      </c>
      <c r="CC8" s="2"/>
      <c r="CD8" s="2">
        <v>3468</v>
      </c>
      <c r="CE8" s="2">
        <v>482</v>
      </c>
      <c r="CF8" s="2">
        <v>482</v>
      </c>
      <c r="CG8" s="2"/>
      <c r="CH8" s="2">
        <v>465</v>
      </c>
      <c r="CI8" s="2">
        <v>4415</v>
      </c>
      <c r="CJ8" s="2">
        <v>198</v>
      </c>
      <c r="CK8" s="23">
        <f>(Table2[[#This Row],[Net Cash Flow]]-CJ9)/CJ9</f>
        <v>-0.92181666481738067</v>
      </c>
      <c r="CL8" s="2">
        <v>467</v>
      </c>
      <c r="CM8" s="2"/>
      <c r="CN8" s="22"/>
      <c r="CO8" s="2">
        <v>0.85609999999999997</v>
      </c>
      <c r="CP8" s="2">
        <f t="shared" si="6"/>
        <v>0.5611945529905521</v>
      </c>
      <c r="CQ8" s="2">
        <v>0.64280000000000004</v>
      </c>
      <c r="CR8" s="2">
        <v>1.9704999999999999</v>
      </c>
      <c r="CS8" s="2">
        <v>18.904699999999998</v>
      </c>
      <c r="CT8" s="2">
        <v>-13.8787</v>
      </c>
      <c r="CU8" s="2">
        <v>-13.8787</v>
      </c>
      <c r="CV8" s="2">
        <v>0.80789999999999995</v>
      </c>
      <c r="CW8" s="2">
        <v>-18.785599999999999</v>
      </c>
      <c r="CX8" s="2">
        <v>-16.685099999999998</v>
      </c>
      <c r="CY8" s="2">
        <v>0.41039999999999999</v>
      </c>
      <c r="CZ8" s="2">
        <v>4.2129000000000003</v>
      </c>
      <c r="DA8" s="2">
        <v>22.816099999999999</v>
      </c>
      <c r="DB8" s="2">
        <v>15.9975</v>
      </c>
      <c r="DC8" s="2">
        <v>-42.811399999999999</v>
      </c>
      <c r="DD8" s="2">
        <v>-46.562899999999999</v>
      </c>
      <c r="DE8" s="2">
        <v>-7.8205</v>
      </c>
      <c r="DF8" s="2">
        <v>-15.293799999999999</v>
      </c>
      <c r="DG8" s="2">
        <v>2.0674000000000001</v>
      </c>
      <c r="DH8" s="2">
        <v>3.27E-2</v>
      </c>
      <c r="DI8" s="2">
        <v>-0.74670000000000003</v>
      </c>
      <c r="DJ8" s="113">
        <f>Table2[[#This Row],[Free Cash Flow Per Share]]-DI9/DI9</f>
        <v>-1.7467000000000001</v>
      </c>
      <c r="DK8" s="113">
        <f>(Table2[[#This Row],[ROE - Return on Equity]]-DC9)/DC9</f>
        <v>2.0670048070379043</v>
      </c>
      <c r="DL8" s="113">
        <f>(Table2[[#This Row],[Long-term Debt/ Capital]]-CQ9)/CQ9</f>
        <v>0.24839774713536611</v>
      </c>
      <c r="DM8" s="113">
        <f t="shared" si="7"/>
        <v>-1104.1499999999996</v>
      </c>
      <c r="DN8" s="2">
        <v>20.76</v>
      </c>
      <c r="DO8" s="2">
        <f>Table2[[#This Row],[Historical Stock Price (Dec/year)]]/Table2[[#This Row],[Free Cash Flow Per Share]]</f>
        <v>-27.802330253113702</v>
      </c>
      <c r="DP8" s="2">
        <f>Table2[[#This Row],[Gross Profit]]/Table2[[#This Row],[Revenue $]]</f>
        <v>0.1890466876435071</v>
      </c>
    </row>
    <row r="9" spans="1:120" x14ac:dyDescent="0.25">
      <c r="A9" s="89">
        <v>42735</v>
      </c>
      <c r="B9" s="36">
        <f t="shared" si="4"/>
        <v>2016</v>
      </c>
      <c r="C9" s="120"/>
      <c r="D9" s="2">
        <v>7000.1319999999996</v>
      </c>
      <c r="E9" s="23">
        <f t="shared" si="5"/>
        <v>0.73012574069611524</v>
      </c>
      <c r="F9" s="30">
        <f t="shared" si="0"/>
        <v>0.22846097759299391</v>
      </c>
      <c r="G9" s="30">
        <f t="shared" si="1"/>
        <v>0.67620653439106582</v>
      </c>
      <c r="H9" s="30">
        <f t="shared" si="2"/>
        <v>-9.5332530872274973E-2</v>
      </c>
      <c r="I9" s="30">
        <f t="shared" si="3"/>
        <v>-9.6414467612896446E-2</v>
      </c>
      <c r="J9" s="2">
        <v>5400.875</v>
      </c>
      <c r="K9" s="23">
        <f>(Table2[[#This Row],[Cost Of Goods Sold]]-J10)/J10</f>
        <v>0.72965154448871783</v>
      </c>
      <c r="L9" s="2">
        <v>1599.2570000000001</v>
      </c>
      <c r="M9" s="2">
        <v>834.40800000000002</v>
      </c>
      <c r="N9" s="2">
        <v>1432.1890000000001</v>
      </c>
      <c r="O9" s="23">
        <f>Table2[[#This Row],[Cost Of Goods Sold]]/Table2[[#This Row],[Revenue $]]</f>
        <v>0.77153902240700611</v>
      </c>
      <c r="P9" s="23">
        <f>Table2[[#This Row],[          Research And Development Expenses]]/Table2[[#This Row],[Revenue $]]</f>
        <v>0.11919889510654944</v>
      </c>
      <c r="Q9" s="23">
        <f>Table2[[#This Row],[          SG&amp;A Expenses]]/Table2[[#This Row],[Revenue $]]</f>
        <v>0.20459457050238483</v>
      </c>
      <c r="R9" s="2"/>
      <c r="S9" s="2">
        <v>2266.5970000000002</v>
      </c>
      <c r="T9" s="23">
        <f>Table2[[#This Row],[Operating Expenses]]/Table2[[#This Row],[Revenue $]]</f>
        <v>0.32379346560893429</v>
      </c>
      <c r="U9" s="2">
        <v>-667.34029999999996</v>
      </c>
      <c r="V9" s="2">
        <v>-79.007999999999996</v>
      </c>
      <c r="W9" s="2">
        <v>-746.34799999999996</v>
      </c>
      <c r="X9" s="2">
        <v>26.698</v>
      </c>
      <c r="Y9" s="2">
        <v>-773.04600000000005</v>
      </c>
      <c r="Z9" s="2"/>
      <c r="AA9" s="2">
        <v>-773.04600000000005</v>
      </c>
      <c r="AB9" s="2"/>
      <c r="AC9" s="2">
        <v>-674.91399999999999</v>
      </c>
      <c r="AD9" s="23">
        <f>(Table2[[#This Row],[Net Income]]-AC10)/AC10</f>
        <v>-0.24052874936843327</v>
      </c>
      <c r="AE9" s="2">
        <v>374.44869999999997</v>
      </c>
      <c r="AF9" s="2">
        <v>-667.34029999999996</v>
      </c>
      <c r="AG9" s="2">
        <v>2163.1799999999998</v>
      </c>
      <c r="AH9" s="2">
        <v>2163.1799999999998</v>
      </c>
      <c r="AI9" s="2">
        <v>-0.312</v>
      </c>
      <c r="AJ9" s="2">
        <v>-0.312</v>
      </c>
      <c r="AK9" s="20"/>
      <c r="AL9" s="2">
        <v>3498.7350000000001</v>
      </c>
      <c r="AM9" s="2">
        <v>499.142</v>
      </c>
      <c r="AN9" s="2">
        <v>2067.4540000000002</v>
      </c>
      <c r="AO9" s="2">
        <v>194.465</v>
      </c>
      <c r="AP9" s="2"/>
      <c r="AQ9" s="2">
        <v>6259.7960000000003</v>
      </c>
      <c r="AR9" s="2">
        <v>5982.9570000000003</v>
      </c>
      <c r="AS9" s="2"/>
      <c r="AT9" s="2">
        <v>376.14499999999998</v>
      </c>
      <c r="AU9" s="2">
        <v>6404.7960000000003</v>
      </c>
      <c r="AV9" s="2">
        <v>16404.28</v>
      </c>
      <c r="AW9" s="2">
        <v>22664.080000000002</v>
      </c>
      <c r="AX9" s="2">
        <v>5827.0050000000001</v>
      </c>
      <c r="AY9" s="2">
        <v>5879.12</v>
      </c>
      <c r="AZ9" s="2">
        <v>4201.0360000000001</v>
      </c>
      <c r="BA9" s="2">
        <v>11298.98</v>
      </c>
      <c r="BB9" s="2">
        <v>17125.990000000002</v>
      </c>
      <c r="BC9" s="2">
        <v>0.161</v>
      </c>
      <c r="BD9" s="2">
        <v>-2997.2370000000001</v>
      </c>
      <c r="BE9" s="2">
        <v>-23.74</v>
      </c>
      <c r="BF9" s="2"/>
      <c r="BG9" s="2">
        <v>5538.0860000000002</v>
      </c>
      <c r="BH9" s="2">
        <v>22664.080000000002</v>
      </c>
      <c r="BI9" s="21"/>
      <c r="BJ9" s="2">
        <v>-773.04600000000005</v>
      </c>
      <c r="BK9" s="2">
        <v>1041.789</v>
      </c>
      <c r="BL9" s="2">
        <v>301.28899999999999</v>
      </c>
      <c r="BM9" s="2">
        <v>1343.078</v>
      </c>
      <c r="BN9" s="2">
        <v>-216.565</v>
      </c>
      <c r="BO9" s="2">
        <v>-632.86699999999996</v>
      </c>
      <c r="BP9" s="2"/>
      <c r="BQ9" s="2">
        <v>-595.06899999999996</v>
      </c>
      <c r="BR9" s="2">
        <v>-693.86099999999999</v>
      </c>
      <c r="BS9" s="2">
        <v>-123.82899999999999</v>
      </c>
      <c r="BT9" s="2">
        <v>-1280.8019999999999</v>
      </c>
      <c r="BU9" s="2"/>
      <c r="BV9" s="2">
        <v>342.71899999999999</v>
      </c>
      <c r="BW9" s="2">
        <v>16.667000000000002</v>
      </c>
      <c r="BX9" s="2"/>
      <c r="BY9" s="2">
        <v>16.667000000000002</v>
      </c>
      <c r="BZ9" s="2">
        <v>-159.66900000000001</v>
      </c>
      <c r="CA9" s="2">
        <v>-1081.085</v>
      </c>
      <c r="CB9" s="2">
        <v>1718.19</v>
      </c>
      <c r="CC9" s="2"/>
      <c r="CD9" s="2">
        <v>1718.19</v>
      </c>
      <c r="CE9" s="2">
        <v>1865.5509999999999</v>
      </c>
      <c r="CF9" s="2">
        <v>1865.5509999999999</v>
      </c>
      <c r="CG9" s="2"/>
      <c r="CH9" s="2">
        <v>160.23500000000001</v>
      </c>
      <c r="CI9" s="2">
        <v>3743.9760000000001</v>
      </c>
      <c r="CJ9" s="2">
        <v>2532.509</v>
      </c>
      <c r="CK9" s="23">
        <f>(Table2[[#This Row],[Net Cash Flow]]-CJ10)/CJ10</f>
        <v>-4.5729276740429317</v>
      </c>
      <c r="CL9" s="2">
        <v>334.22500000000002</v>
      </c>
      <c r="CM9" s="2"/>
      <c r="CN9" s="22"/>
      <c r="CO9" s="2">
        <v>1.0743</v>
      </c>
      <c r="CP9" s="2">
        <f t="shared" si="6"/>
        <v>0.71946771969476608</v>
      </c>
      <c r="CQ9" s="2">
        <v>0.51490000000000002</v>
      </c>
      <c r="CR9" s="2">
        <v>1.2693000000000001</v>
      </c>
      <c r="CS9" s="2">
        <v>22.8461</v>
      </c>
      <c r="CT9" s="2">
        <v>-9.5333000000000006</v>
      </c>
      <c r="CU9" s="2">
        <v>-9.5333000000000006</v>
      </c>
      <c r="CV9" s="2">
        <v>5.3491999999999997</v>
      </c>
      <c r="CW9" s="2">
        <v>-10.661899999999999</v>
      </c>
      <c r="CX9" s="2">
        <v>-9.6414000000000009</v>
      </c>
      <c r="CY9" s="2">
        <v>0.30890000000000001</v>
      </c>
      <c r="CZ9" s="2">
        <v>2.6122999999999998</v>
      </c>
      <c r="DA9" s="2">
        <v>14.0243</v>
      </c>
      <c r="DB9" s="2">
        <v>26.026199999999999</v>
      </c>
      <c r="DC9" s="2">
        <v>-13.9587</v>
      </c>
      <c r="DD9" s="2">
        <v>-14.975899999999999</v>
      </c>
      <c r="DE9" s="2">
        <v>-3.4108999999999998</v>
      </c>
      <c r="DF9" s="2">
        <v>-6.7709000000000001</v>
      </c>
      <c r="DG9" s="2">
        <v>2.2852000000000001</v>
      </c>
      <c r="DH9" s="2">
        <v>0.2155</v>
      </c>
      <c r="DI9" s="2">
        <v>0.47360000000000002</v>
      </c>
      <c r="DJ9" s="113">
        <f>Table2[[#This Row],[Free Cash Flow Per Share]]-DI10/DI10</f>
        <v>-0.52639999999999998</v>
      </c>
      <c r="DK9" s="113">
        <f>(Table2[[#This Row],[ROE - Return on Equity]]-DC10)/DC10</f>
        <v>-0.82977693335804814</v>
      </c>
      <c r="DL9" s="113">
        <f>(Table2[[#This Row],[Long-term Debt/ Capital]]-CQ10)/CQ10</f>
        <v>-0.21533069186223711</v>
      </c>
      <c r="DM9" s="113">
        <f t="shared" si="7"/>
        <v>432.79100000000017</v>
      </c>
      <c r="DN9" s="2">
        <v>14.25</v>
      </c>
      <c r="DO9" s="2">
        <f>Table2[[#This Row],[Historical Stock Price (Dec/year)]]/Table2[[#This Row],[Free Cash Flow Per Share]]</f>
        <v>30.088682432432432</v>
      </c>
      <c r="DP9" s="2">
        <f>Table2[[#This Row],[Gross Profit]]/Table2[[#This Row],[Revenue $]]</f>
        <v>0.22846097759299397</v>
      </c>
    </row>
    <row r="10" spans="1:120" x14ac:dyDescent="0.25">
      <c r="A10" s="89">
        <v>42369</v>
      </c>
      <c r="B10" s="36">
        <f t="shared" si="4"/>
        <v>2015</v>
      </c>
      <c r="C10" s="120"/>
      <c r="D10" s="2">
        <v>4046.0250000000001</v>
      </c>
      <c r="E10" s="23">
        <f t="shared" si="5"/>
        <v>0.26503272306147285</v>
      </c>
      <c r="F10" s="30">
        <f t="shared" si="0"/>
        <v>0.22824945471172328</v>
      </c>
      <c r="G10" s="30">
        <f t="shared" si="1"/>
        <v>0.59463127390463477</v>
      </c>
      <c r="H10" s="30">
        <f t="shared" si="2"/>
        <v>-0.17711937024610575</v>
      </c>
      <c r="I10" s="30">
        <f t="shared" si="3"/>
        <v>-0.21963853411681836</v>
      </c>
      <c r="J10" s="2">
        <v>3122.5219999999999</v>
      </c>
      <c r="K10" s="23">
        <f>(Table2[[#This Row],[Cost Of Goods Sold]]-J11)/J11</f>
        <v>0.34784055665746533</v>
      </c>
      <c r="L10" s="2">
        <v>923.5027</v>
      </c>
      <c r="M10" s="2">
        <v>717.9</v>
      </c>
      <c r="N10" s="2">
        <v>922.23199999999997</v>
      </c>
      <c r="O10" s="23">
        <f>Table2[[#This Row],[Cost Of Goods Sold]]/Table2[[#This Row],[Revenue $]]</f>
        <v>0.77175054528827669</v>
      </c>
      <c r="P10" s="23">
        <f>Table2[[#This Row],[          Research And Development Expenses]]/Table2[[#This Row],[Revenue $]]</f>
        <v>0.17743340686229075</v>
      </c>
      <c r="Q10" s="23">
        <f>Table2[[#This Row],[          SG&amp;A Expenses]]/Table2[[#This Row],[Revenue $]]</f>
        <v>0.22793531923307442</v>
      </c>
      <c r="R10" s="2"/>
      <c r="S10" s="2">
        <v>1640.1320000000001</v>
      </c>
      <c r="T10" s="23">
        <f>Table2[[#This Row],[Operating Expenses]]/Table2[[#This Row],[Revenue $]]</f>
        <v>0.40536872609536523</v>
      </c>
      <c r="U10" s="2">
        <v>-716.62940000000003</v>
      </c>
      <c r="V10" s="2">
        <v>-158.995</v>
      </c>
      <c r="W10" s="2">
        <v>-875.62400000000002</v>
      </c>
      <c r="X10" s="2">
        <v>13.039</v>
      </c>
      <c r="Y10" s="2">
        <v>-888.66300000000001</v>
      </c>
      <c r="Z10" s="2"/>
      <c r="AA10" s="2">
        <v>-888.66300000000001</v>
      </c>
      <c r="AB10" s="2"/>
      <c r="AC10" s="2">
        <v>-888.66300000000001</v>
      </c>
      <c r="AD10" s="23">
        <f>(Table2[[#This Row],[Net Income]]-AC11)/AC11</f>
        <v>2.0222520745476804</v>
      </c>
      <c r="AE10" s="2">
        <v>-215.9854</v>
      </c>
      <c r="AF10" s="2">
        <v>-716.62940000000003</v>
      </c>
      <c r="AG10" s="2">
        <v>1923.03</v>
      </c>
      <c r="AH10" s="2">
        <v>1923.03</v>
      </c>
      <c r="AI10" s="2">
        <v>-0.46200000000000002</v>
      </c>
      <c r="AJ10" s="2">
        <v>-0.46200000000000002</v>
      </c>
      <c r="AK10" s="20"/>
      <c r="AL10" s="2">
        <v>1219.5360000000001</v>
      </c>
      <c r="AM10" s="2">
        <v>168.965</v>
      </c>
      <c r="AN10" s="2">
        <v>1277.838</v>
      </c>
      <c r="AO10" s="2">
        <v>115.667</v>
      </c>
      <c r="AP10" s="2"/>
      <c r="AQ10" s="2">
        <v>2782.0059999999999</v>
      </c>
      <c r="AR10" s="2">
        <v>3403.3339999999998</v>
      </c>
      <c r="AS10" s="2"/>
      <c r="AT10" s="2">
        <v>12.816000000000001</v>
      </c>
      <c r="AU10" s="2">
        <v>78.38</v>
      </c>
      <c r="AV10" s="2">
        <v>5285.933</v>
      </c>
      <c r="AW10" s="2">
        <v>8067.9390000000003</v>
      </c>
      <c r="AX10" s="2">
        <v>2811.0349999999999</v>
      </c>
      <c r="AY10" s="2">
        <v>2068.3780000000002</v>
      </c>
      <c r="AZ10" s="2">
        <v>1658.7170000000001</v>
      </c>
      <c r="BA10" s="2">
        <v>4173.2</v>
      </c>
      <c r="BB10" s="2">
        <v>6984.2349999999997</v>
      </c>
      <c r="BC10" s="2">
        <v>0.13100000000000001</v>
      </c>
      <c r="BD10" s="2">
        <v>-2322.3229999999999</v>
      </c>
      <c r="BE10" s="2">
        <v>-3.556</v>
      </c>
      <c r="BF10" s="2"/>
      <c r="BG10" s="2">
        <v>1083.704</v>
      </c>
      <c r="BH10" s="2">
        <v>8067.9390000000003</v>
      </c>
      <c r="BI10" s="21"/>
      <c r="BJ10" s="2">
        <v>-888.66300000000001</v>
      </c>
      <c r="BK10" s="2">
        <v>500.64400000000001</v>
      </c>
      <c r="BL10" s="2">
        <v>356.80900000000003</v>
      </c>
      <c r="BM10" s="2">
        <v>857.45299999999997</v>
      </c>
      <c r="BN10" s="2">
        <v>46.267000000000003</v>
      </c>
      <c r="BO10" s="2">
        <v>-369.36399999999998</v>
      </c>
      <c r="BP10" s="2"/>
      <c r="BQ10" s="2">
        <v>-433.53699999999998</v>
      </c>
      <c r="BR10" s="2">
        <v>-493.28899999999999</v>
      </c>
      <c r="BS10" s="2">
        <v>-524.49900000000002</v>
      </c>
      <c r="BT10" s="2">
        <v>-1634.85</v>
      </c>
      <c r="BU10" s="2"/>
      <c r="BV10" s="2">
        <v>-12.26</v>
      </c>
      <c r="BW10" s="2"/>
      <c r="BX10" s="2"/>
      <c r="BY10" s="2"/>
      <c r="BZ10" s="2">
        <v>-26.440999999999999</v>
      </c>
      <c r="CA10" s="2">
        <v>-1673.5509999999999</v>
      </c>
      <c r="CB10" s="2">
        <v>683.93700000000001</v>
      </c>
      <c r="CC10" s="2"/>
      <c r="CD10" s="2">
        <v>683.93700000000001</v>
      </c>
      <c r="CE10" s="2">
        <v>856.61099999999999</v>
      </c>
      <c r="CF10" s="2">
        <v>856.61099999999999</v>
      </c>
      <c r="CG10" s="2"/>
      <c r="CH10" s="2">
        <v>-17.024999999999999</v>
      </c>
      <c r="CI10" s="2">
        <v>1523.5229999999999</v>
      </c>
      <c r="CJ10" s="2">
        <v>-708.80499999999995</v>
      </c>
      <c r="CK10" s="23">
        <f>(Table2[[#This Row],[Net Cash Flow]]-CJ11)/CJ11</f>
        <v>-1.6687950074729387</v>
      </c>
      <c r="CL10" s="2">
        <v>197.999</v>
      </c>
      <c r="CM10" s="2"/>
      <c r="CN10" s="22"/>
      <c r="CO10" s="2">
        <v>0.98970000000000002</v>
      </c>
      <c r="CP10" s="2">
        <f t="shared" si="6"/>
        <v>0.53509401341498775</v>
      </c>
      <c r="CQ10" s="2">
        <v>0.65620000000000001</v>
      </c>
      <c r="CR10" s="2">
        <v>2.488</v>
      </c>
      <c r="CS10" s="2">
        <v>22.824999999999999</v>
      </c>
      <c r="CT10" s="2">
        <v>-17.7119</v>
      </c>
      <c r="CU10" s="2">
        <v>-17.7119</v>
      </c>
      <c r="CV10" s="2">
        <v>-5.3381999999999996</v>
      </c>
      <c r="CW10" s="2">
        <v>-21.6416</v>
      </c>
      <c r="CX10" s="2">
        <v>-21.963899999999999</v>
      </c>
      <c r="CY10" s="2">
        <v>0.50149999999999995</v>
      </c>
      <c r="CZ10" s="2">
        <v>2.4436</v>
      </c>
      <c r="DA10" s="2">
        <v>23.945900000000002</v>
      </c>
      <c r="DB10" s="2">
        <v>15.242699999999999</v>
      </c>
      <c r="DC10" s="2">
        <v>-82.002399999999994</v>
      </c>
      <c r="DD10" s="2">
        <v>-82.983699999999999</v>
      </c>
      <c r="DE10" s="2">
        <v>-11.014799999999999</v>
      </c>
      <c r="DF10" s="2">
        <v>-28.192900000000002</v>
      </c>
      <c r="DG10" s="2">
        <v>0.54969999999999997</v>
      </c>
      <c r="DH10" s="2">
        <v>-0.24199999999999999</v>
      </c>
      <c r="DI10" s="2">
        <v>-0.57299999999999995</v>
      </c>
      <c r="DJ10" s="113">
        <f>Table2[[#This Row],[Free Cash Flow Per Share]]-DI11/DI11</f>
        <v>-1.573</v>
      </c>
      <c r="DK10" s="113">
        <f>(Table2[[#This Row],[ROE - Return on Equity]]-DC11)/DC11</f>
        <v>1.5425918174348479</v>
      </c>
      <c r="DL10" s="113">
        <f>(Table2[[#This Row],[Long-term Debt/ Capital]]-CQ11)/CQ11</f>
        <v>-2.5107710592779713E-2</v>
      </c>
      <c r="DM10" s="113">
        <f t="shared" si="7"/>
        <v>-29.028999999999996</v>
      </c>
      <c r="DN10" s="2">
        <v>16</v>
      </c>
      <c r="DO10" s="2">
        <f>Table2[[#This Row],[Historical Stock Price (Dec/year)]]/Table2[[#This Row],[Free Cash Flow Per Share]]</f>
        <v>-27.923211169284471</v>
      </c>
      <c r="DP10" s="2">
        <f>Table2[[#This Row],[Gross Profit]]/Table2[[#This Row],[Revenue $]]</f>
        <v>0.2282493805648754</v>
      </c>
    </row>
    <row r="11" spans="1:120" x14ac:dyDescent="0.25">
      <c r="A11" s="89">
        <v>42004</v>
      </c>
      <c r="B11" s="36">
        <f t="shared" si="4"/>
        <v>2014</v>
      </c>
      <c r="C11" s="120"/>
      <c r="D11" s="2">
        <v>3198.3560000000002</v>
      </c>
      <c r="E11" s="23">
        <f t="shared" si="5"/>
        <v>0.58845907814070664</v>
      </c>
      <c r="F11" s="30">
        <f t="shared" si="0"/>
        <v>0.27566380978227573</v>
      </c>
      <c r="G11" s="30">
        <f t="shared" si="1"/>
        <v>0.66596588997597517</v>
      </c>
      <c r="H11" s="30">
        <f t="shared" si="2"/>
        <v>-5.8370206443560377E-2</v>
      </c>
      <c r="I11" s="30">
        <f t="shared" si="3"/>
        <v>-9.1934731468291842E-2</v>
      </c>
      <c r="J11" s="2">
        <v>2316.6849999999999</v>
      </c>
      <c r="K11" s="23">
        <f>(Table2[[#This Row],[Cost Of Goods Sold]]-J12)/J12</f>
        <v>0.48769228002984782</v>
      </c>
      <c r="L11" s="2">
        <v>881.67110000000002</v>
      </c>
      <c r="M11" s="2">
        <v>464.7</v>
      </c>
      <c r="N11" s="2">
        <v>603.66</v>
      </c>
      <c r="O11" s="23">
        <f>Table2[[#This Row],[Cost Of Goods Sold]]/Table2[[#This Row],[Revenue $]]</f>
        <v>0.72433619021772433</v>
      </c>
      <c r="P11" s="23">
        <f>Table2[[#This Row],[          Research And Development Expenses]]/Table2[[#This Row],[Revenue $]]</f>
        <v>0.14529339448141482</v>
      </c>
      <c r="Q11" s="23">
        <f>Table2[[#This Row],[          SG&amp;A Expenses]]/Table2[[#This Row],[Revenue $]]</f>
        <v>0.18874071554260999</v>
      </c>
      <c r="R11" s="2"/>
      <c r="S11" s="2">
        <v>1068.3599999999999</v>
      </c>
      <c r="T11" s="23">
        <f>Table2[[#This Row],[Operating Expenses]]/Table2[[#This Row],[Revenue $]]</f>
        <v>0.33403411002402478</v>
      </c>
      <c r="U11" s="2">
        <v>-186.68870000000001</v>
      </c>
      <c r="V11" s="2">
        <v>-97.947000000000003</v>
      </c>
      <c r="W11" s="2">
        <v>-284.63600000000002</v>
      </c>
      <c r="X11" s="2">
        <v>9.4039999999999999</v>
      </c>
      <c r="Y11" s="2">
        <v>-294.04000000000002</v>
      </c>
      <c r="Z11" s="2"/>
      <c r="AA11" s="2">
        <v>-294.04000000000002</v>
      </c>
      <c r="AB11" s="2"/>
      <c r="AC11" s="2">
        <v>-294.04000000000002</v>
      </c>
      <c r="AD11" s="23">
        <f>(Table2[[#This Row],[Net Income]]-AC12)/AC12</f>
        <v>2.9727619099089364</v>
      </c>
      <c r="AE11" s="2">
        <v>114.97629999999999</v>
      </c>
      <c r="AF11" s="2">
        <v>-186.68870000000001</v>
      </c>
      <c r="AG11" s="2">
        <v>1868.085</v>
      </c>
      <c r="AH11" s="2">
        <v>1868.085</v>
      </c>
      <c r="AI11" s="2">
        <v>-0.1573</v>
      </c>
      <c r="AJ11" s="2">
        <v>-0.1573</v>
      </c>
      <c r="AK11" s="20"/>
      <c r="AL11" s="2">
        <v>1923.66</v>
      </c>
      <c r="AM11" s="2">
        <v>226.60400000000001</v>
      </c>
      <c r="AN11" s="2">
        <v>953.67499999999995</v>
      </c>
      <c r="AO11" s="2">
        <v>76.134</v>
      </c>
      <c r="AP11" s="2"/>
      <c r="AQ11" s="2">
        <v>3180.0729999999999</v>
      </c>
      <c r="AR11" s="2">
        <v>1829.2670000000001</v>
      </c>
      <c r="AS11" s="2"/>
      <c r="AT11" s="2"/>
      <c r="AU11" s="2">
        <v>54.582999999999998</v>
      </c>
      <c r="AV11" s="2">
        <v>2650.5940000000001</v>
      </c>
      <c r="AW11" s="2">
        <v>5830.6670000000004</v>
      </c>
      <c r="AX11" s="2">
        <v>2107.1660000000002</v>
      </c>
      <c r="AY11" s="2">
        <v>1876.981</v>
      </c>
      <c r="AZ11" s="2">
        <v>642.53899999999999</v>
      </c>
      <c r="BA11" s="2">
        <v>2811.7910000000002</v>
      </c>
      <c r="BB11" s="2">
        <v>4918.9570000000003</v>
      </c>
      <c r="BC11" s="2">
        <v>0.126</v>
      </c>
      <c r="BD11" s="2">
        <v>-1433.66</v>
      </c>
      <c r="BE11" s="2">
        <v>-2.1999999999999999E-2</v>
      </c>
      <c r="BF11" s="2"/>
      <c r="BG11" s="2">
        <v>911.71</v>
      </c>
      <c r="BH11" s="2">
        <v>5830.6670000000004</v>
      </c>
      <c r="BI11" s="21"/>
      <c r="BJ11" s="2">
        <v>-294.04000000000002</v>
      </c>
      <c r="BK11" s="2">
        <v>301.66500000000002</v>
      </c>
      <c r="BL11" s="2">
        <v>191.863</v>
      </c>
      <c r="BM11" s="2">
        <v>493.52800000000002</v>
      </c>
      <c r="BN11" s="2">
        <v>-183.65799999999999</v>
      </c>
      <c r="BO11" s="2">
        <v>-1050.2639999999999</v>
      </c>
      <c r="BP11" s="2"/>
      <c r="BQ11" s="2">
        <v>562.24099999999999</v>
      </c>
      <c r="BR11" s="2">
        <v>-256.82499999999999</v>
      </c>
      <c r="BS11" s="2">
        <v>-57.337000000000003</v>
      </c>
      <c r="BT11" s="2">
        <v>-969.88499999999999</v>
      </c>
      <c r="BU11" s="2"/>
      <c r="BV11" s="2"/>
      <c r="BW11" s="2">
        <v>-16.71</v>
      </c>
      <c r="BX11" s="2"/>
      <c r="BY11" s="2">
        <v>-16.71</v>
      </c>
      <c r="BZ11" s="2">
        <v>-3.8490000000000002</v>
      </c>
      <c r="CA11" s="2">
        <v>-990.44399999999996</v>
      </c>
      <c r="CB11" s="2">
        <v>1688.664</v>
      </c>
      <c r="CC11" s="2"/>
      <c r="CD11" s="2">
        <v>1688.664</v>
      </c>
      <c r="CE11" s="2">
        <v>489.61500000000001</v>
      </c>
      <c r="CF11" s="2">
        <v>489.61500000000001</v>
      </c>
      <c r="CG11" s="2"/>
      <c r="CH11" s="2">
        <v>-35.149000000000001</v>
      </c>
      <c r="CI11" s="2">
        <v>2143.13</v>
      </c>
      <c r="CJ11" s="2">
        <v>1059.8240000000001</v>
      </c>
      <c r="CK11" s="23">
        <f>(Table2[[#This Row],[Net Cash Flow]]-CJ12)/CJ12</f>
        <v>0.6456919964161435</v>
      </c>
      <c r="CL11" s="2">
        <v>156.49600000000001</v>
      </c>
      <c r="CM11" s="2"/>
      <c r="CN11" s="22"/>
      <c r="CO11" s="2">
        <v>1.5092000000000001</v>
      </c>
      <c r="CP11" s="2">
        <f t="shared" si="6"/>
        <v>1.056584056500532</v>
      </c>
      <c r="CQ11" s="2">
        <v>0.67310000000000003</v>
      </c>
      <c r="CR11" s="2">
        <v>2.7290000000000001</v>
      </c>
      <c r="CS11" s="2">
        <v>27.566400000000002</v>
      </c>
      <c r="CT11" s="2">
        <v>-5.8369999999999997</v>
      </c>
      <c r="CU11" s="2">
        <v>-5.8369999999999997</v>
      </c>
      <c r="CV11" s="2">
        <v>3.5949</v>
      </c>
      <c r="CW11" s="2">
        <v>-8.8994</v>
      </c>
      <c r="CX11" s="2">
        <v>-9.1935000000000002</v>
      </c>
      <c r="CY11" s="2">
        <v>0.54849999999999999</v>
      </c>
      <c r="CZ11" s="2">
        <v>2.4291999999999998</v>
      </c>
      <c r="DA11" s="2">
        <v>14.1143</v>
      </c>
      <c r="DB11" s="2">
        <v>25.860299999999999</v>
      </c>
      <c r="DC11" s="2">
        <v>-32.2515</v>
      </c>
      <c r="DD11" s="2">
        <v>-32.2515</v>
      </c>
      <c r="DE11" s="2">
        <v>-5.0430000000000001</v>
      </c>
      <c r="DF11" s="2">
        <v>-10.544</v>
      </c>
      <c r="DG11" s="2">
        <v>0.48359999999999997</v>
      </c>
      <c r="DH11" s="2">
        <v>-0.17849999999999999</v>
      </c>
      <c r="DI11" s="2">
        <v>-0.55020000000000002</v>
      </c>
      <c r="DJ11" s="113">
        <f>Table2[[#This Row],[Free Cash Flow Per Share]]-DI12/DI12</f>
        <v>-1.5502</v>
      </c>
      <c r="DK11" s="113">
        <f>(Table2[[#This Row],[ROE - Return on Equity]]-DC12)/DC12</f>
        <v>1.9069547347358176</v>
      </c>
      <c r="DL11" s="113">
        <f>(Table2[[#This Row],[Long-term Debt/ Capital]]-CQ12)/CQ12</f>
        <v>0.42274360600295924</v>
      </c>
      <c r="DM11" s="113">
        <f t="shared" si="7"/>
        <v>1072.9069999999997</v>
      </c>
      <c r="DN11" s="2">
        <v>14.83</v>
      </c>
      <c r="DO11" s="2">
        <f>Table2[[#This Row],[Historical Stock Price (Dec/year)]]/Table2[[#This Row],[Free Cash Flow Per Share]]</f>
        <v>-26.953834969102143</v>
      </c>
      <c r="DP11" s="2">
        <f>Table2[[#This Row],[Gross Profit]]/Table2[[#This Row],[Revenue $]]</f>
        <v>0.27566384104833858</v>
      </c>
    </row>
    <row r="12" spans="1:120" x14ac:dyDescent="0.25">
      <c r="A12" s="89">
        <v>41639</v>
      </c>
      <c r="B12" s="36">
        <f t="shared" si="4"/>
        <v>2013</v>
      </c>
      <c r="C12" s="120"/>
      <c r="D12" s="2">
        <v>2013.4960000000001</v>
      </c>
      <c r="E12" s="23">
        <f t="shared" si="5"/>
        <v>3.8722728768608325</v>
      </c>
      <c r="F12" s="30">
        <f t="shared" si="0"/>
        <v>0.22660189044328877</v>
      </c>
      <c r="G12" s="30">
        <f t="shared" si="1"/>
        <v>0.74296199247478012</v>
      </c>
      <c r="H12" s="30">
        <f t="shared" si="2"/>
        <v>-3.0436166746792642E-2</v>
      </c>
      <c r="I12" s="30">
        <f t="shared" si="3"/>
        <v>-3.6758950601342141E-2</v>
      </c>
      <c r="J12" s="2">
        <v>1557.2339999999999</v>
      </c>
      <c r="K12" s="23">
        <f>(Table2[[#This Row],[Cost Of Goods Sold]]-J13)/J13</f>
        <v>3.06387970427126</v>
      </c>
      <c r="L12" s="2">
        <v>456.262</v>
      </c>
      <c r="M12" s="2">
        <v>231.976</v>
      </c>
      <c r="N12" s="2">
        <v>285.56900000000002</v>
      </c>
      <c r="O12" s="23">
        <f>Table2[[#This Row],[Cost Of Goods Sold]]/Table2[[#This Row],[Revenue $]]</f>
        <v>0.77339810955671129</v>
      </c>
      <c r="P12" s="23">
        <f>Table2[[#This Row],[          Research And Development Expenses]]/Table2[[#This Row],[Revenue $]]</f>
        <v>0.11521055914687688</v>
      </c>
      <c r="Q12" s="23">
        <f>Table2[[#This Row],[          SG&amp;A Expenses]]/Table2[[#This Row],[Revenue $]]</f>
        <v>0.14182744837834294</v>
      </c>
      <c r="R12" s="2"/>
      <c r="S12" s="2">
        <v>517.54499999999996</v>
      </c>
      <c r="T12" s="23">
        <f>Table2[[#This Row],[Operating Expenses]]/Table2[[#This Row],[Revenue $]]</f>
        <v>0.25703800752521977</v>
      </c>
      <c r="U12" s="2">
        <v>-61.283099999999997</v>
      </c>
      <c r="V12" s="2">
        <v>-10.143000000000001</v>
      </c>
      <c r="W12" s="2">
        <v>-71.426000000000002</v>
      </c>
      <c r="X12" s="2">
        <v>2.5880000000000001</v>
      </c>
      <c r="Y12" s="2">
        <v>-74.013999999999996</v>
      </c>
      <c r="Z12" s="2"/>
      <c r="AA12" s="2">
        <v>-74.013999999999996</v>
      </c>
      <c r="AB12" s="2"/>
      <c r="AC12" s="2">
        <v>-74.013999999999996</v>
      </c>
      <c r="AD12" s="23">
        <f>(Table2[[#This Row],[Net Income]]-AC13)/AC13</f>
        <v>-0.81319643726985236</v>
      </c>
      <c r="AE12" s="2">
        <v>59.500900000000001</v>
      </c>
      <c r="AF12" s="2">
        <v>-61.283099999999997</v>
      </c>
      <c r="AG12" s="2">
        <v>1791.3150000000001</v>
      </c>
      <c r="AH12" s="2">
        <v>1791.3150000000001</v>
      </c>
      <c r="AI12" s="2">
        <v>-4.1300000000000003E-2</v>
      </c>
      <c r="AJ12" s="2">
        <v>-4.1300000000000003E-2</v>
      </c>
      <c r="AK12" s="20"/>
      <c r="AL12" s="2">
        <v>848.90099999999995</v>
      </c>
      <c r="AM12" s="2">
        <v>49.109000000000002</v>
      </c>
      <c r="AN12" s="2">
        <v>340.35500000000002</v>
      </c>
      <c r="AO12" s="2">
        <v>27.574000000000002</v>
      </c>
      <c r="AP12" s="2"/>
      <c r="AQ12" s="2">
        <v>1265.9390000000001</v>
      </c>
      <c r="AR12" s="2">
        <v>738.49400000000003</v>
      </c>
      <c r="AS12" s="2"/>
      <c r="AT12" s="2"/>
      <c r="AU12" s="2">
        <v>30.071999999999999</v>
      </c>
      <c r="AV12" s="2">
        <v>1150.991</v>
      </c>
      <c r="AW12" s="2">
        <v>2416.9299999999998</v>
      </c>
      <c r="AX12" s="2">
        <v>675.16</v>
      </c>
      <c r="AY12" s="2">
        <v>598.97400000000005</v>
      </c>
      <c r="AZ12" s="2">
        <v>294.49599999999998</v>
      </c>
      <c r="BA12" s="2">
        <v>1074.6500000000001</v>
      </c>
      <c r="BB12" s="2">
        <v>1749.81</v>
      </c>
      <c r="BC12" s="2">
        <v>0.123</v>
      </c>
      <c r="BD12" s="2">
        <v>-1139.6199999999999</v>
      </c>
      <c r="BE12" s="2"/>
      <c r="BF12" s="2"/>
      <c r="BG12" s="2">
        <v>667.12</v>
      </c>
      <c r="BH12" s="2">
        <v>2416.9299999999998</v>
      </c>
      <c r="BI12" s="21"/>
      <c r="BJ12" s="2">
        <v>-74.013999999999996</v>
      </c>
      <c r="BK12" s="2">
        <v>120.78400000000001</v>
      </c>
      <c r="BL12" s="2">
        <v>69.075999999999993</v>
      </c>
      <c r="BM12" s="2">
        <v>189.86</v>
      </c>
      <c r="BN12" s="2">
        <v>-21.704999999999998</v>
      </c>
      <c r="BO12" s="2">
        <v>-460.56099999999998</v>
      </c>
      <c r="BP12" s="2"/>
      <c r="BQ12" s="2">
        <v>543.81100000000004</v>
      </c>
      <c r="BR12" s="2">
        <v>148.958</v>
      </c>
      <c r="BS12" s="2">
        <v>264.80399999999997</v>
      </c>
      <c r="BT12" s="2">
        <v>-264.22399999999999</v>
      </c>
      <c r="BU12" s="2"/>
      <c r="BV12" s="2"/>
      <c r="BW12" s="2"/>
      <c r="BX12" s="2"/>
      <c r="BY12" s="2"/>
      <c r="BZ12" s="2">
        <v>14.807</v>
      </c>
      <c r="CA12" s="2">
        <v>-249.417</v>
      </c>
      <c r="CB12" s="2">
        <v>21.698</v>
      </c>
      <c r="CC12" s="2"/>
      <c r="CD12" s="2">
        <v>21.698</v>
      </c>
      <c r="CE12" s="2">
        <v>630.625</v>
      </c>
      <c r="CF12" s="2">
        <v>630.625</v>
      </c>
      <c r="CG12" s="2"/>
      <c r="CH12" s="2">
        <v>-16.901</v>
      </c>
      <c r="CI12" s="2">
        <v>635.42200000000003</v>
      </c>
      <c r="CJ12" s="2">
        <v>643.99900000000002</v>
      </c>
      <c r="CK12" s="23">
        <f>(Table2[[#This Row],[Net Cash Flow]]-CJ13)/CJ13</f>
        <v>-13.065328986810552</v>
      </c>
      <c r="CL12" s="2">
        <v>80.736999999999995</v>
      </c>
      <c r="CM12" s="2"/>
      <c r="CN12" s="22"/>
      <c r="CO12" s="2">
        <v>1.875</v>
      </c>
      <c r="CP12" s="2">
        <f t="shared" si="6"/>
        <v>1.3709105989691335</v>
      </c>
      <c r="CQ12" s="2">
        <v>0.47310000000000002</v>
      </c>
      <c r="CR12" s="2">
        <v>0.90969999999999995</v>
      </c>
      <c r="CS12" s="2">
        <v>22.6602</v>
      </c>
      <c r="CT12" s="2">
        <v>-3.0436000000000001</v>
      </c>
      <c r="CU12" s="2">
        <v>-3.0436000000000001</v>
      </c>
      <c r="CV12" s="2">
        <v>2.9550999999999998</v>
      </c>
      <c r="CW12" s="2">
        <v>-3.5474000000000001</v>
      </c>
      <c r="CX12" s="2">
        <v>-3.6758999999999999</v>
      </c>
      <c r="CY12" s="2">
        <v>0.83309999999999995</v>
      </c>
      <c r="CZ12" s="2">
        <v>4.5753000000000004</v>
      </c>
      <c r="DA12" s="2">
        <v>41.000599999999999</v>
      </c>
      <c r="DB12" s="2">
        <v>8.9023000000000003</v>
      </c>
      <c r="DC12" s="2">
        <v>-11.0946</v>
      </c>
      <c r="DD12" s="2">
        <v>-11.0946</v>
      </c>
      <c r="DE12" s="2">
        <v>-3.0623</v>
      </c>
      <c r="DF12" s="2">
        <v>-5.8459000000000003</v>
      </c>
      <c r="DG12" s="2">
        <v>0.36130000000000001</v>
      </c>
      <c r="DH12" s="2">
        <v>0.31159999999999999</v>
      </c>
      <c r="DI12" s="2">
        <v>0.31269999999999998</v>
      </c>
      <c r="DJ12" s="113">
        <f>Table2[[#This Row],[Free Cash Flow Per Share]]-DI13/DI13</f>
        <v>-0.68730000000000002</v>
      </c>
      <c r="DK12" s="113">
        <f>(Table2[[#This Row],[ROE - Return on Equity]]-DC13)/DC13</f>
        <v>-0.96508198083421037</v>
      </c>
      <c r="DL12" s="113">
        <f>(Table2[[#This Row],[Long-term Debt/ Capital]]-CQ13)/CQ13</f>
        <v>-0.38350273651290068</v>
      </c>
      <c r="DM12" s="113">
        <f t="shared" si="7"/>
        <v>590.77900000000011</v>
      </c>
      <c r="DN12" s="2">
        <v>10.029999999999999</v>
      </c>
      <c r="DO12" s="2">
        <f>Table2[[#This Row],[Historical Stock Price (Dec/year)]]/Table2[[#This Row],[Free Cash Flow Per Share]]</f>
        <v>32.075471698113205</v>
      </c>
      <c r="DP12" s="2">
        <f>Table2[[#This Row],[Gross Profit]]/Table2[[#This Row],[Revenue $]]</f>
        <v>0.22660189044328868</v>
      </c>
    </row>
    <row r="13" spans="1:120" x14ac:dyDescent="0.25">
      <c r="A13" s="89">
        <v>41274</v>
      </c>
      <c r="B13" s="36">
        <f t="shared" si="4"/>
        <v>2012</v>
      </c>
      <c r="C13" s="120"/>
      <c r="D13" s="2">
        <v>413.25599999999997</v>
      </c>
      <c r="E13" s="23">
        <f t="shared" si="5"/>
        <v>1.0233644402228728</v>
      </c>
      <c r="F13" s="30">
        <f t="shared" si="0"/>
        <v>7.2756354414696828E-2</v>
      </c>
      <c r="G13" s="30">
        <f t="shared" si="1"/>
        <v>-2.6845345258145196E-2</v>
      </c>
      <c r="H13" s="30">
        <f t="shared" si="2"/>
        <v>-0.95408899084344823</v>
      </c>
      <c r="I13" s="30">
        <f t="shared" si="3"/>
        <v>-0.95875921946686815</v>
      </c>
      <c r="J13" s="2">
        <v>383.18900000000002</v>
      </c>
      <c r="K13" s="23">
        <f>(Table2[[#This Row],[Cost Of Goods Sold]]-J14)/J14</f>
        <v>1.6862745098039218</v>
      </c>
      <c r="L13" s="2">
        <v>30.067</v>
      </c>
      <c r="M13" s="2">
        <v>273.97800000000001</v>
      </c>
      <c r="N13" s="2">
        <v>150.37200000000001</v>
      </c>
      <c r="O13" s="23">
        <f>Table2[[#This Row],[Cost Of Goods Sold]]/Table2[[#This Row],[Revenue $]]</f>
        <v>0.92724364558530314</v>
      </c>
      <c r="P13" s="23">
        <f>Table2[[#This Row],[          Research And Development Expenses]]/Table2[[#This Row],[Revenue $]]</f>
        <v>0.66297404030431506</v>
      </c>
      <c r="Q13" s="23">
        <f>Table2[[#This Row],[          SG&amp;A Expenses]]/Table2[[#This Row],[Revenue $]]</f>
        <v>0.36387130495383013</v>
      </c>
      <c r="R13" s="2"/>
      <c r="S13" s="2">
        <v>424.35</v>
      </c>
      <c r="T13" s="23">
        <f>Table2[[#This Row],[Operating Expenses]]/Table2[[#This Row],[Revenue $]]</f>
        <v>1.0268453452581452</v>
      </c>
      <c r="U13" s="2">
        <v>-394.28300000000002</v>
      </c>
      <c r="V13" s="2">
        <v>-1.794</v>
      </c>
      <c r="W13" s="2">
        <v>-396.077</v>
      </c>
      <c r="X13" s="2">
        <v>0.13600000000000001</v>
      </c>
      <c r="Y13" s="2">
        <v>-396.21300000000002</v>
      </c>
      <c r="Z13" s="2"/>
      <c r="AA13" s="2">
        <v>-396.21300000000002</v>
      </c>
      <c r="AB13" s="2"/>
      <c r="AC13" s="2">
        <v>-396.21300000000002</v>
      </c>
      <c r="AD13" s="23">
        <f>(Table2[[#This Row],[Net Income]]-AC14)/AC14</f>
        <v>0.55737369846429607</v>
      </c>
      <c r="AE13" s="2">
        <v>-365.45800000000003</v>
      </c>
      <c r="AF13" s="2">
        <v>-394.28300000000002</v>
      </c>
      <c r="AG13" s="2">
        <v>1610.2349999999999</v>
      </c>
      <c r="AH13" s="2">
        <v>1610.2349999999999</v>
      </c>
      <c r="AI13" s="2">
        <v>-0.246</v>
      </c>
      <c r="AJ13" s="2">
        <v>-0.246</v>
      </c>
      <c r="AK13" s="20"/>
      <c r="AL13" s="2">
        <v>220.98400000000001</v>
      </c>
      <c r="AM13" s="2">
        <v>26.841999999999999</v>
      </c>
      <c r="AN13" s="2">
        <v>268.50400000000002</v>
      </c>
      <c r="AO13" s="2">
        <v>8.4380000000000006</v>
      </c>
      <c r="AP13" s="2"/>
      <c r="AQ13" s="2">
        <v>524.76800000000003</v>
      </c>
      <c r="AR13" s="2">
        <v>552.22900000000004</v>
      </c>
      <c r="AS13" s="2"/>
      <c r="AT13" s="2"/>
      <c r="AU13" s="2">
        <v>27.122</v>
      </c>
      <c r="AV13" s="2">
        <v>589.42200000000003</v>
      </c>
      <c r="AW13" s="2">
        <v>1114.19</v>
      </c>
      <c r="AX13" s="2">
        <v>539.10799999999995</v>
      </c>
      <c r="AY13" s="2">
        <v>411.46</v>
      </c>
      <c r="AZ13" s="2">
        <v>35.862000000000002</v>
      </c>
      <c r="BA13" s="2">
        <v>450.38200000000001</v>
      </c>
      <c r="BB13" s="2">
        <v>989.49</v>
      </c>
      <c r="BC13" s="2">
        <v>0.115</v>
      </c>
      <c r="BD13" s="2">
        <v>-1065.606</v>
      </c>
      <c r="BE13" s="2"/>
      <c r="BF13" s="2"/>
      <c r="BG13" s="2">
        <v>124.7</v>
      </c>
      <c r="BH13" s="2">
        <v>1114.19</v>
      </c>
      <c r="BI13" s="21"/>
      <c r="BJ13" s="2">
        <v>-396.21300000000002</v>
      </c>
      <c r="BK13" s="2">
        <v>28.824999999999999</v>
      </c>
      <c r="BL13" s="2">
        <v>58.631</v>
      </c>
      <c r="BM13" s="2">
        <v>87.456000000000003</v>
      </c>
      <c r="BN13" s="2">
        <v>-17.303000000000001</v>
      </c>
      <c r="BO13" s="2">
        <v>-194.726</v>
      </c>
      <c r="BP13" s="2">
        <v>189.94399999999999</v>
      </c>
      <c r="BQ13" s="2">
        <v>57.423999999999999</v>
      </c>
      <c r="BR13" s="2">
        <v>44.942</v>
      </c>
      <c r="BS13" s="2">
        <v>-263.815</v>
      </c>
      <c r="BT13" s="2">
        <v>-239.22800000000001</v>
      </c>
      <c r="BU13" s="2"/>
      <c r="BV13" s="2"/>
      <c r="BW13" s="2">
        <v>25.007999999999999</v>
      </c>
      <c r="BX13" s="2"/>
      <c r="BY13" s="2">
        <v>25.007999999999999</v>
      </c>
      <c r="BZ13" s="2">
        <v>7.29</v>
      </c>
      <c r="CA13" s="2">
        <v>-206.93</v>
      </c>
      <c r="CB13" s="2">
        <v>173.25399999999999</v>
      </c>
      <c r="CC13" s="2"/>
      <c r="CD13" s="2">
        <v>173.25399999999999</v>
      </c>
      <c r="CE13" s="2">
        <v>246.381</v>
      </c>
      <c r="CF13" s="2">
        <v>246.381</v>
      </c>
      <c r="CG13" s="2"/>
      <c r="CH13" s="2"/>
      <c r="CI13" s="2">
        <v>419.63499999999999</v>
      </c>
      <c r="CJ13" s="2">
        <v>-53.375999999999998</v>
      </c>
      <c r="CK13" s="23">
        <f>(Table2[[#This Row],[Net Cash Flow]]-CJ14)/CJ14</f>
        <v>-1.3427954889922162</v>
      </c>
      <c r="CL13" s="2">
        <v>50.145000000000003</v>
      </c>
      <c r="CM13" s="2"/>
      <c r="CN13" s="22"/>
      <c r="CO13" s="2">
        <v>0.97340000000000004</v>
      </c>
      <c r="CP13" s="2">
        <f t="shared" si="6"/>
        <v>0.4753481677140759</v>
      </c>
      <c r="CQ13" s="2">
        <v>0.76739999999999997</v>
      </c>
      <c r="CR13" s="2">
        <v>3.7423000000000002</v>
      </c>
      <c r="CS13" s="2">
        <v>7.2755999999999998</v>
      </c>
      <c r="CT13" s="2">
        <v>-95.408900000000003</v>
      </c>
      <c r="CU13" s="2">
        <v>-95.408900000000003</v>
      </c>
      <c r="CV13" s="2">
        <v>-88.433800000000005</v>
      </c>
      <c r="CW13" s="2">
        <v>-95.843000000000004</v>
      </c>
      <c r="CX13" s="2">
        <v>-95.875900000000001</v>
      </c>
      <c r="CY13" s="2">
        <v>0.37090000000000001</v>
      </c>
      <c r="CZ13" s="2">
        <v>1.4271</v>
      </c>
      <c r="DA13" s="2">
        <v>15.395899999999999</v>
      </c>
      <c r="DB13" s="2">
        <v>23.707699999999999</v>
      </c>
      <c r="DC13" s="2">
        <v>-317.7328</v>
      </c>
      <c r="DD13" s="2">
        <v>-317.73309999999998</v>
      </c>
      <c r="DE13" s="2">
        <v>-35.560600000000001</v>
      </c>
      <c r="DF13" s="2">
        <v>-73.898300000000006</v>
      </c>
      <c r="DG13" s="2">
        <v>7.2800000000000004E-2</v>
      </c>
      <c r="DH13" s="2">
        <v>-7.8799999999999995E-2</v>
      </c>
      <c r="DI13" s="2">
        <v>-0.105</v>
      </c>
      <c r="DJ13" s="113">
        <f>Table2[[#This Row],[Free Cash Flow Per Share]]-DI14/DI14</f>
        <v>-1.105</v>
      </c>
      <c r="DK13" s="113">
        <f>(Table2[[#This Row],[ROE - Return on Equity]]-DC14)/DC14</f>
        <v>1.7980890065035424</v>
      </c>
      <c r="DL13" s="113">
        <f>(Table2[[#This Row],[Long-term Debt/ Capital]]-CQ14)/CQ14</f>
        <v>0.40138787436084733</v>
      </c>
      <c r="DM13" s="113">
        <f t="shared" si="7"/>
        <v>-14.339999999999918</v>
      </c>
      <c r="DN13" s="2">
        <v>2.2599999999999998</v>
      </c>
      <c r="DO13" s="2">
        <f>Table2[[#This Row],[Historical Stock Price (Dec/year)]]/Table2[[#This Row],[Free Cash Flow Per Share]]</f>
        <v>-21.523809523809522</v>
      </c>
      <c r="DP13" s="2">
        <f>Table2[[#This Row],[Gross Profit]]/Table2[[#This Row],[Revenue $]]</f>
        <v>7.2756354414696953E-2</v>
      </c>
    </row>
    <row r="14" spans="1:120" x14ac:dyDescent="0.25">
      <c r="A14" s="89">
        <v>40908</v>
      </c>
      <c r="B14" s="36">
        <f t="shared" si="4"/>
        <v>2011</v>
      </c>
      <c r="C14" s="120"/>
      <c r="D14" s="2">
        <v>204.24199999999999</v>
      </c>
      <c r="E14" s="23">
        <f t="shared" si="5"/>
        <v>0.74948605495785636</v>
      </c>
      <c r="F14" s="30">
        <f t="shared" si="0"/>
        <v>0.30157851959929888</v>
      </c>
      <c r="G14" s="30">
        <f t="shared" si="1"/>
        <v>-0.532902145494071</v>
      </c>
      <c r="H14" s="30">
        <f t="shared" si="2"/>
        <v>-1.231323625894772</v>
      </c>
      <c r="I14" s="30">
        <f t="shared" si="3"/>
        <v>-1.245635079954172</v>
      </c>
      <c r="J14" s="2">
        <v>142.64699999999999</v>
      </c>
      <c r="K14" s="23">
        <f>(Table2[[#This Row],[Cost Of Goods Sold]]-J15)/J15</f>
        <v>0.65843535279550747</v>
      </c>
      <c r="L14" s="2">
        <v>61.594999999999999</v>
      </c>
      <c r="M14" s="2">
        <v>208.98099999999999</v>
      </c>
      <c r="N14" s="2">
        <v>104.102</v>
      </c>
      <c r="O14" s="23">
        <f>Table2[[#This Row],[Cost Of Goods Sold]]/Table2[[#This Row],[Revenue $]]</f>
        <v>0.69842148040070107</v>
      </c>
      <c r="P14" s="23">
        <f>Table2[[#This Row],[          Research And Development Expenses]]/Table2[[#This Row],[Revenue $]]</f>
        <v>1.0232028671869644</v>
      </c>
      <c r="Q14" s="23">
        <f>Table2[[#This Row],[          SG&amp;A Expenses]]/Table2[[#This Row],[Revenue $]]</f>
        <v>0.50969927830710637</v>
      </c>
      <c r="R14" s="2"/>
      <c r="S14" s="2">
        <v>313.08300000000003</v>
      </c>
      <c r="T14" s="23">
        <f>Table2[[#This Row],[Operating Expenses]]/Table2[[#This Row],[Revenue $]]</f>
        <v>1.532902145494071</v>
      </c>
      <c r="U14" s="2">
        <v>-251.488</v>
      </c>
      <c r="V14" s="2">
        <v>-2.4340000000000002</v>
      </c>
      <c r="W14" s="2">
        <v>-253.922</v>
      </c>
      <c r="X14" s="2">
        <v>0.48899999999999999</v>
      </c>
      <c r="Y14" s="2">
        <v>-254.411</v>
      </c>
      <c r="Z14" s="2"/>
      <c r="AA14" s="2">
        <v>-254.411</v>
      </c>
      <c r="AB14" s="2"/>
      <c r="AC14" s="2">
        <v>-254.411</v>
      </c>
      <c r="AD14" s="23">
        <f>(Table2[[#This Row],[Net Income]]-AC15)/AC15</f>
        <v>0.64850837177958631</v>
      </c>
      <c r="AE14" s="2">
        <v>-234.56899999999999</v>
      </c>
      <c r="AF14" s="2">
        <v>-251.488</v>
      </c>
      <c r="AG14" s="2">
        <v>1505.835</v>
      </c>
      <c r="AH14" s="2">
        <v>1505.835</v>
      </c>
      <c r="AI14" s="2">
        <v>-0.16869999999999999</v>
      </c>
      <c r="AJ14" s="2">
        <v>-0.16869999999999999</v>
      </c>
      <c r="AK14" s="20"/>
      <c r="AL14" s="2">
        <v>303.803</v>
      </c>
      <c r="AM14" s="2">
        <v>9.5389999999999997</v>
      </c>
      <c r="AN14" s="2">
        <v>50.082000000000001</v>
      </c>
      <c r="AO14" s="2">
        <v>9.4139999999999997</v>
      </c>
      <c r="AP14" s="2"/>
      <c r="AQ14" s="2">
        <v>372.83800000000002</v>
      </c>
      <c r="AR14" s="2">
        <v>298.41399999999999</v>
      </c>
      <c r="AS14" s="2"/>
      <c r="AT14" s="2"/>
      <c r="AU14" s="2">
        <v>30.439</v>
      </c>
      <c r="AV14" s="2">
        <v>340.61</v>
      </c>
      <c r="AW14" s="2">
        <v>713.44799999999998</v>
      </c>
      <c r="AX14" s="2">
        <v>191.339</v>
      </c>
      <c r="AY14" s="2">
        <v>271.16500000000002</v>
      </c>
      <c r="AZ14" s="2">
        <v>23.753</v>
      </c>
      <c r="BA14" s="2">
        <v>298.06400000000002</v>
      </c>
      <c r="BB14" s="2">
        <v>489.40300000000002</v>
      </c>
      <c r="BC14" s="2">
        <v>0.104</v>
      </c>
      <c r="BD14" s="2">
        <v>-669.39200000000005</v>
      </c>
      <c r="BE14" s="2">
        <v>-3.0000000000000001E-3</v>
      </c>
      <c r="BF14" s="2"/>
      <c r="BG14" s="2">
        <v>224.04499999999999</v>
      </c>
      <c r="BH14" s="2">
        <v>713.44799999999998</v>
      </c>
      <c r="BI14" s="21"/>
      <c r="BJ14" s="2">
        <v>-254.411</v>
      </c>
      <c r="BK14" s="2">
        <v>16.919</v>
      </c>
      <c r="BL14" s="2">
        <v>34.229999999999997</v>
      </c>
      <c r="BM14" s="2">
        <v>51.149000000000001</v>
      </c>
      <c r="BN14" s="2">
        <v>-2.8290000000000002</v>
      </c>
      <c r="BO14" s="2">
        <v>-13.638</v>
      </c>
      <c r="BP14" s="2">
        <v>19.890999999999998</v>
      </c>
      <c r="BQ14" s="2">
        <v>61.183999999999997</v>
      </c>
      <c r="BR14" s="2">
        <v>75.227999999999994</v>
      </c>
      <c r="BS14" s="2">
        <v>-128.03399999999999</v>
      </c>
      <c r="BT14" s="2">
        <v>-184.226</v>
      </c>
      <c r="BU14" s="2"/>
      <c r="BV14" s="2"/>
      <c r="BW14" s="2">
        <v>-24.952000000000002</v>
      </c>
      <c r="BX14" s="2"/>
      <c r="BY14" s="2">
        <v>-24.952000000000002</v>
      </c>
      <c r="BZ14" s="2">
        <v>46.92</v>
      </c>
      <c r="CA14" s="2">
        <v>-162.25800000000001</v>
      </c>
      <c r="CB14" s="2">
        <v>204.00700000000001</v>
      </c>
      <c r="CC14" s="2"/>
      <c r="CD14" s="2">
        <v>204.00700000000001</v>
      </c>
      <c r="CE14" s="2">
        <v>241.99299999999999</v>
      </c>
      <c r="CF14" s="2">
        <v>241.99299999999999</v>
      </c>
      <c r="CG14" s="2"/>
      <c r="CH14" s="2"/>
      <c r="CI14" s="2">
        <v>446</v>
      </c>
      <c r="CJ14" s="2">
        <v>155.708</v>
      </c>
      <c r="CK14" s="23">
        <f>(Table2[[#This Row],[Net Cash Flow]]-CJ15)/CJ15</f>
        <v>4.2022317998062206</v>
      </c>
      <c r="CL14" s="2">
        <v>29.419</v>
      </c>
      <c r="CM14" s="2"/>
      <c r="CN14" s="22"/>
      <c r="CO14" s="2">
        <v>1.9486000000000001</v>
      </c>
      <c r="CP14" s="2">
        <f t="shared" si="6"/>
        <v>1.6868280904572515</v>
      </c>
      <c r="CQ14" s="2">
        <v>0.54759999999999998</v>
      </c>
      <c r="CR14" s="2">
        <v>1.2504</v>
      </c>
      <c r="CS14" s="2">
        <v>30.157900000000001</v>
      </c>
      <c r="CT14" s="2">
        <v>-123.1323</v>
      </c>
      <c r="CU14" s="2">
        <v>-123.1323</v>
      </c>
      <c r="CV14" s="2">
        <v>-114.8485</v>
      </c>
      <c r="CW14" s="2">
        <v>-124.3241</v>
      </c>
      <c r="CX14" s="2">
        <v>-124.5635</v>
      </c>
      <c r="CY14" s="2">
        <v>0.2863</v>
      </c>
      <c r="CZ14" s="2">
        <v>2.8483000000000001</v>
      </c>
      <c r="DA14" s="2">
        <v>21.411300000000001</v>
      </c>
      <c r="DB14" s="2">
        <v>17.0471</v>
      </c>
      <c r="DC14" s="2">
        <v>-113.5535</v>
      </c>
      <c r="DD14" s="2">
        <v>-113.5535</v>
      </c>
      <c r="DE14" s="2">
        <v>-35.659399999999998</v>
      </c>
      <c r="DF14" s="2">
        <v>-51.374400000000001</v>
      </c>
      <c r="DG14" s="2">
        <v>0.1429</v>
      </c>
      <c r="DH14" s="2">
        <v>8.3000000000000004E-2</v>
      </c>
      <c r="DI14" s="2">
        <v>1.35E-2</v>
      </c>
      <c r="DJ14" s="113">
        <f>Table2[[#This Row],[Free Cash Flow Per Share]]-DI15/DI15</f>
        <v>-0.98650000000000004</v>
      </c>
      <c r="DK14" s="113">
        <f>(Table2[[#This Row],[ROE - Return on Equity]]-DC15)/DC15</f>
        <v>0.52344530859046401</v>
      </c>
      <c r="DL14" s="113">
        <f>(Table2[[#This Row],[Long-term Debt/ Capital]]-CQ15)/CQ15</f>
        <v>1.1151023561220545</v>
      </c>
      <c r="DM14" s="113">
        <f t="shared" si="7"/>
        <v>181.49900000000002</v>
      </c>
      <c r="DN14" s="2">
        <v>1.9</v>
      </c>
      <c r="DO14" s="2">
        <f>Table2[[#This Row],[Historical Stock Price (Dec/year)]]/Table2[[#This Row],[Free Cash Flow Per Share]]</f>
        <v>140.74074074074073</v>
      </c>
      <c r="DP14" s="2">
        <f>Table2[[#This Row],[Gross Profit]]/Table2[[#This Row],[Revenue $]]</f>
        <v>0.30157851959929888</v>
      </c>
    </row>
    <row r="15" spans="1:120" x14ac:dyDescent="0.25">
      <c r="A15" s="89">
        <v>40543</v>
      </c>
      <c r="B15" s="36">
        <f t="shared" si="4"/>
        <v>2010</v>
      </c>
      <c r="C15" s="120"/>
      <c r="D15" s="2">
        <v>116.744</v>
      </c>
      <c r="E15" s="23">
        <f t="shared" si="5"/>
        <v>4.2887898305387528E-2</v>
      </c>
      <c r="F15" s="30">
        <f t="shared" si="0"/>
        <v>0.26323408483519489</v>
      </c>
      <c r="G15" s="30">
        <f t="shared" si="1"/>
        <v>-0.52101178647296642</v>
      </c>
      <c r="H15" s="30">
        <f t="shared" si="2"/>
        <v>-1.2577777016377716</v>
      </c>
      <c r="I15" s="30">
        <f t="shared" si="3"/>
        <v>-1.3219351743986842</v>
      </c>
      <c r="J15" s="2">
        <v>86.013000000000005</v>
      </c>
      <c r="K15" s="23">
        <f>(Table2[[#This Row],[Cost Of Goods Sold]]-J16)/J16</f>
        <v>-0.16009491445980778</v>
      </c>
      <c r="L15" s="2">
        <v>30.731000000000002</v>
      </c>
      <c r="M15" s="2">
        <v>92.995999999999995</v>
      </c>
      <c r="N15" s="2">
        <v>84.572999999999993</v>
      </c>
      <c r="O15" s="23">
        <f>Table2[[#This Row],[Cost Of Goods Sold]]/Table2[[#This Row],[Revenue $]]</f>
        <v>0.73676591516480505</v>
      </c>
      <c r="P15" s="23">
        <f>Table2[[#This Row],[          Research And Development Expenses]]/Table2[[#This Row],[Revenue $]]</f>
        <v>0.79658055231960523</v>
      </c>
      <c r="Q15" s="23">
        <f>Table2[[#This Row],[          SG&amp;A Expenses]]/Table2[[#This Row],[Revenue $]]</f>
        <v>0.72443123415336119</v>
      </c>
      <c r="R15" s="2"/>
      <c r="S15" s="2">
        <v>177.56899999999999</v>
      </c>
      <c r="T15" s="23">
        <f>Table2[[#This Row],[Operating Expenses]]/Table2[[#This Row],[Revenue $]]</f>
        <v>1.5210117864729664</v>
      </c>
      <c r="U15" s="2">
        <v>-146.83799999999999</v>
      </c>
      <c r="V15" s="2">
        <v>-7.3170000000000002</v>
      </c>
      <c r="W15" s="2">
        <v>-154.155</v>
      </c>
      <c r="X15" s="2">
        <v>0.17299999999999999</v>
      </c>
      <c r="Y15" s="2">
        <v>-154.328</v>
      </c>
      <c r="Z15" s="2"/>
      <c r="AA15" s="2">
        <v>-154.328</v>
      </c>
      <c r="AB15" s="2"/>
      <c r="AC15" s="2">
        <v>-154.328</v>
      </c>
      <c r="AD15" s="23">
        <f>(Table2[[#This Row],[Net Income]]-AC16)/AC16</f>
        <v>1.7687118765697882</v>
      </c>
      <c r="AE15" s="2">
        <v>-136.215</v>
      </c>
      <c r="AF15" s="2">
        <v>-146.83799999999999</v>
      </c>
      <c r="AG15" s="2">
        <v>760.77</v>
      </c>
      <c r="AH15" s="2">
        <v>760.77</v>
      </c>
      <c r="AI15" s="2">
        <v>-0.20269999999999999</v>
      </c>
      <c r="AJ15" s="2">
        <v>-0.20269999999999999</v>
      </c>
      <c r="AK15" s="20"/>
      <c r="AL15" s="2">
        <v>173.155</v>
      </c>
      <c r="AM15" s="2">
        <v>6.71</v>
      </c>
      <c r="AN15" s="2">
        <v>45.182000000000002</v>
      </c>
      <c r="AO15" s="2">
        <v>10.839</v>
      </c>
      <c r="AP15" s="2"/>
      <c r="AQ15" s="2">
        <v>235.886</v>
      </c>
      <c r="AR15" s="2">
        <v>114.636</v>
      </c>
      <c r="AS15" s="2"/>
      <c r="AT15" s="2"/>
      <c r="AU15" s="2">
        <v>27.597000000000001</v>
      </c>
      <c r="AV15" s="2">
        <v>150.196</v>
      </c>
      <c r="AW15" s="2">
        <v>386.08199999999999</v>
      </c>
      <c r="AX15" s="2">
        <v>85.564999999999998</v>
      </c>
      <c r="AY15" s="2">
        <v>72.323999999999998</v>
      </c>
      <c r="AZ15" s="2">
        <v>18.361999999999998</v>
      </c>
      <c r="BA15" s="2">
        <v>93.468999999999994</v>
      </c>
      <c r="BB15" s="2">
        <v>179.03399999999999</v>
      </c>
      <c r="BC15" s="2">
        <v>9.5000000000000001E-2</v>
      </c>
      <c r="BD15" s="2">
        <v>-414.98200000000003</v>
      </c>
      <c r="BE15" s="2"/>
      <c r="BF15" s="2"/>
      <c r="BG15" s="2">
        <v>207.048</v>
      </c>
      <c r="BH15" s="2">
        <v>386.08199999999999</v>
      </c>
      <c r="BI15" s="21"/>
      <c r="BJ15" s="2">
        <v>-154.328</v>
      </c>
      <c r="BK15" s="2">
        <v>10.622999999999999</v>
      </c>
      <c r="BL15" s="2">
        <v>27.062999999999999</v>
      </c>
      <c r="BM15" s="2">
        <v>37.686</v>
      </c>
      <c r="BN15" s="2">
        <v>-3.222</v>
      </c>
      <c r="BO15" s="2">
        <v>-28.513000000000002</v>
      </c>
      <c r="BP15" s="2">
        <v>-0.21199999999999999</v>
      </c>
      <c r="BQ15" s="2">
        <v>7.4269999999999996</v>
      </c>
      <c r="BR15" s="2">
        <v>-11.175000000000001</v>
      </c>
      <c r="BS15" s="2">
        <v>-127.81699999999999</v>
      </c>
      <c r="BT15" s="2">
        <v>-40.203000000000003</v>
      </c>
      <c r="BU15" s="2"/>
      <c r="BV15" s="2">
        <v>-65.209999999999994</v>
      </c>
      <c r="BW15" s="2"/>
      <c r="BX15" s="2"/>
      <c r="BY15" s="2"/>
      <c r="BZ15" s="2">
        <v>-74.884</v>
      </c>
      <c r="CA15" s="2">
        <v>-180.297</v>
      </c>
      <c r="CB15" s="2">
        <v>71.513000000000005</v>
      </c>
      <c r="CC15" s="2"/>
      <c r="CD15" s="2">
        <v>71.513000000000005</v>
      </c>
      <c r="CE15" s="2">
        <v>270.19200000000001</v>
      </c>
      <c r="CF15" s="2">
        <v>270.19200000000001</v>
      </c>
      <c r="CG15" s="2"/>
      <c r="CH15" s="2">
        <v>-3.66</v>
      </c>
      <c r="CI15" s="2">
        <v>338.04500000000002</v>
      </c>
      <c r="CJ15" s="2">
        <v>29.931000000000001</v>
      </c>
      <c r="CK15" s="23">
        <f>(Table2[[#This Row],[Net Cash Flow]]-CJ16)/CJ16</f>
        <v>-0.50404308202154102</v>
      </c>
      <c r="CL15" s="2">
        <v>21.155999999999999</v>
      </c>
      <c r="CM15" s="2"/>
      <c r="CN15" s="22"/>
      <c r="CO15" s="2">
        <v>2.7568000000000001</v>
      </c>
      <c r="CP15" s="2">
        <f t="shared" si="6"/>
        <v>2.2287617600654475</v>
      </c>
      <c r="CQ15" s="2">
        <v>0.25890000000000002</v>
      </c>
      <c r="CR15" s="2">
        <v>0.35070000000000001</v>
      </c>
      <c r="CS15" s="2">
        <v>26.323399999999999</v>
      </c>
      <c r="CT15" s="2">
        <v>-125.7778</v>
      </c>
      <c r="CU15" s="2">
        <v>-125.7778</v>
      </c>
      <c r="CV15" s="2">
        <v>-116.6784</v>
      </c>
      <c r="CW15" s="2">
        <v>-132.0453</v>
      </c>
      <c r="CX15" s="2">
        <v>-132.1935</v>
      </c>
      <c r="CY15" s="2">
        <v>0.3024</v>
      </c>
      <c r="CZ15" s="2">
        <v>1.9036999999999999</v>
      </c>
      <c r="DA15" s="2">
        <v>17.398499999999999</v>
      </c>
      <c r="DB15" s="2">
        <v>20.9788</v>
      </c>
      <c r="DC15" s="2">
        <v>-74.537300000000002</v>
      </c>
      <c r="DD15" s="2">
        <v>-74.537300000000002</v>
      </c>
      <c r="DE15" s="2">
        <v>-39.972900000000003</v>
      </c>
      <c r="DF15" s="2">
        <v>-55.241</v>
      </c>
      <c r="DG15" s="2">
        <v>0.1454</v>
      </c>
      <c r="DH15" s="2">
        <v>0.59940000000000004</v>
      </c>
      <c r="DI15" s="2">
        <v>0.6593</v>
      </c>
      <c r="DJ15" s="113">
        <f>Table2[[#This Row],[Free Cash Flow Per Share]]-DI16/DI16</f>
        <v>-0.3407</v>
      </c>
      <c r="DK15" s="113">
        <f>(Table2[[#This Row],[ROE - Return on Equity]]-DC16)/DC16</f>
        <v>-4.3901856619152015</v>
      </c>
      <c r="DL15" s="113">
        <f>(Table2[[#This Row],[Long-term Debt/ Capital]]-CQ16)/CQ16</f>
        <v>-81.90625</v>
      </c>
      <c r="DM15" s="113">
        <f t="shared" si="7"/>
        <v>150.321</v>
      </c>
      <c r="DN15" s="2">
        <v>1.78</v>
      </c>
      <c r="DO15" s="2">
        <f>Table2[[#This Row],[Historical Stock Price (Dec/year)]]/Table2[[#This Row],[Free Cash Flow Per Share]]</f>
        <v>2.6998331563779767</v>
      </c>
      <c r="DP15" s="2">
        <f>Table2[[#This Row],[Gross Profit]]/Table2[[#This Row],[Revenue $]]</f>
        <v>0.26323408483519495</v>
      </c>
    </row>
    <row r="16" spans="1:120" x14ac:dyDescent="0.25">
      <c r="A16" s="89">
        <v>40178</v>
      </c>
      <c r="B16" s="36">
        <f t="shared" si="4"/>
        <v>2009</v>
      </c>
      <c r="C16" s="120"/>
      <c r="D16" s="2">
        <v>111.943</v>
      </c>
      <c r="E16" s="71"/>
      <c r="F16" s="72">
        <f t="shared" si="0"/>
        <v>8.5177277721697614E-2</v>
      </c>
      <c r="G16" s="72">
        <f t="shared" si="1"/>
        <v>0.45122071054018559</v>
      </c>
      <c r="H16" s="72">
        <f t="shared" si="2"/>
        <v>-0.46360201173811671</v>
      </c>
      <c r="I16" s="72">
        <f t="shared" si="3"/>
        <v>-0.49793198324147114</v>
      </c>
      <c r="J16" s="70">
        <v>102.408</v>
      </c>
      <c r="K16" s="96"/>
      <c r="L16" s="70">
        <v>9.5350000000000001</v>
      </c>
      <c r="M16" s="70">
        <v>19.282</v>
      </c>
      <c r="N16" s="70">
        <v>42.15</v>
      </c>
      <c r="O16" s="96">
        <f>Table2[[#This Row],[Cost Of Goods Sold]]/Table2[[#This Row],[Revenue $]]</f>
        <v>0.91482272227830241</v>
      </c>
      <c r="P16" s="96">
        <f>Table2[[#This Row],[          Research And Development Expenses]]/Table2[[#This Row],[Revenue $]]</f>
        <v>0.17224837640584942</v>
      </c>
      <c r="Q16" s="96">
        <f>Table2[[#This Row],[          SG&amp;A Expenses]]/Table2[[#This Row],[Revenue $]]</f>
        <v>0.37653091305396497</v>
      </c>
      <c r="R16" s="70"/>
      <c r="S16" s="70">
        <v>61.432000000000002</v>
      </c>
      <c r="T16" s="96">
        <f>Table2[[#This Row],[Operating Expenses]]/Table2[[#This Row],[Revenue $]]</f>
        <v>0.54877928945981436</v>
      </c>
      <c r="U16" s="70">
        <v>-51.896999999999998</v>
      </c>
      <c r="V16" s="70">
        <v>-3.8170000000000002</v>
      </c>
      <c r="W16" s="70">
        <v>-55.713999999999999</v>
      </c>
      <c r="X16" s="70">
        <v>2.5999999999999999E-2</v>
      </c>
      <c r="Y16" s="70">
        <v>-55.74</v>
      </c>
      <c r="Z16" s="70"/>
      <c r="AA16" s="70">
        <v>-55.74</v>
      </c>
      <c r="AB16" s="70"/>
      <c r="AC16" s="70">
        <v>-55.74</v>
      </c>
      <c r="AD16" s="70"/>
      <c r="AE16" s="70">
        <v>-44.957000000000001</v>
      </c>
      <c r="AF16" s="70">
        <v>-51.896999999999998</v>
      </c>
      <c r="AG16" s="70">
        <v>105.33</v>
      </c>
      <c r="AH16" s="70">
        <v>105.33</v>
      </c>
      <c r="AI16" s="70">
        <v>-0.52929999999999999</v>
      </c>
      <c r="AJ16" s="70">
        <v>-0.52929999999999999</v>
      </c>
      <c r="AK16" s="73"/>
      <c r="AL16" s="70">
        <v>69.626999999999995</v>
      </c>
      <c r="AM16" s="70">
        <v>3.488</v>
      </c>
      <c r="AN16" s="70">
        <v>23.222000000000001</v>
      </c>
      <c r="AO16" s="70">
        <v>4.2220000000000004</v>
      </c>
      <c r="AP16" s="70"/>
      <c r="AQ16" s="70">
        <v>100.559</v>
      </c>
      <c r="AR16" s="70">
        <v>23.535</v>
      </c>
      <c r="AS16" s="70"/>
      <c r="AT16" s="70"/>
      <c r="AU16" s="70">
        <v>6.33</v>
      </c>
      <c r="AV16" s="70">
        <v>29.864999999999998</v>
      </c>
      <c r="AW16" s="70">
        <v>130.42400000000001</v>
      </c>
      <c r="AX16" s="70">
        <v>57.488999999999997</v>
      </c>
      <c r="AY16" s="70">
        <v>0.8</v>
      </c>
      <c r="AZ16" s="70">
        <v>3.4590000000000001</v>
      </c>
      <c r="BA16" s="70">
        <v>326.45800000000003</v>
      </c>
      <c r="BB16" s="70">
        <v>383.947</v>
      </c>
      <c r="BC16" s="70">
        <v>7.0000000000000001E-3</v>
      </c>
      <c r="BD16" s="70">
        <v>-260.654</v>
      </c>
      <c r="BE16" s="70"/>
      <c r="BF16" s="70"/>
      <c r="BG16" s="70">
        <v>-253.523</v>
      </c>
      <c r="BH16" s="70">
        <v>130.42400000000001</v>
      </c>
      <c r="BI16" s="74"/>
      <c r="BJ16" s="70">
        <v>-55.74</v>
      </c>
      <c r="BK16" s="70">
        <v>6.94</v>
      </c>
      <c r="BL16" s="70">
        <v>5.5179999999999998</v>
      </c>
      <c r="BM16" s="70">
        <v>12.458</v>
      </c>
      <c r="BN16" s="70">
        <v>-0.16800000000000001</v>
      </c>
      <c r="BO16" s="70">
        <v>-7.9249999999999998</v>
      </c>
      <c r="BP16" s="70">
        <v>0.90200000000000002</v>
      </c>
      <c r="BQ16" s="70">
        <v>-33.738999999999997</v>
      </c>
      <c r="BR16" s="70">
        <v>-37.542999999999999</v>
      </c>
      <c r="BS16" s="70">
        <v>-80.825000000000003</v>
      </c>
      <c r="BT16" s="70">
        <v>-11.884</v>
      </c>
      <c r="BU16" s="70"/>
      <c r="BV16" s="70"/>
      <c r="BW16" s="70"/>
      <c r="BX16" s="70"/>
      <c r="BY16" s="70"/>
      <c r="BZ16" s="70">
        <v>-2.36</v>
      </c>
      <c r="CA16" s="70">
        <v>-14.244</v>
      </c>
      <c r="CB16" s="70">
        <v>25.146000000000001</v>
      </c>
      <c r="CC16" s="70"/>
      <c r="CD16" s="70">
        <v>25.146000000000001</v>
      </c>
      <c r="CE16" s="70">
        <v>0.497</v>
      </c>
      <c r="CF16" s="70">
        <v>132.31899999999999</v>
      </c>
      <c r="CG16" s="70"/>
      <c r="CH16" s="70">
        <v>-2.0459999999999998</v>
      </c>
      <c r="CI16" s="70">
        <v>155.41900000000001</v>
      </c>
      <c r="CJ16" s="70">
        <v>60.35</v>
      </c>
      <c r="CK16" s="70"/>
      <c r="CL16" s="70">
        <v>1.4339999999999999</v>
      </c>
      <c r="CM16" s="70"/>
      <c r="CN16" s="75"/>
      <c r="CO16" s="70">
        <v>1.7492000000000001</v>
      </c>
      <c r="CP16" s="70">
        <f t="shared" si="6"/>
        <v>1.3452486562646766</v>
      </c>
      <c r="CQ16" s="70">
        <v>-3.2000000000000002E-3</v>
      </c>
      <c r="CR16" s="70">
        <v>-4.3E-3</v>
      </c>
      <c r="CS16" s="70">
        <v>8.5176999999999996</v>
      </c>
      <c r="CT16" s="70">
        <v>-46.360199999999999</v>
      </c>
      <c r="CU16" s="70">
        <v>-46.360199999999999</v>
      </c>
      <c r="CV16" s="70">
        <v>-40.160600000000002</v>
      </c>
      <c r="CW16" s="70">
        <v>-49.77</v>
      </c>
      <c r="CX16" s="70">
        <v>-49.793199999999999</v>
      </c>
      <c r="CY16" s="70">
        <v>0.85829999999999995</v>
      </c>
      <c r="CZ16" s="70">
        <v>4.41</v>
      </c>
      <c r="DA16" s="70">
        <v>32.093800000000002</v>
      </c>
      <c r="DB16" s="70">
        <v>11.3729</v>
      </c>
      <c r="DC16" s="70">
        <v>21.9862</v>
      </c>
      <c r="DD16" s="70">
        <v>21.9862</v>
      </c>
      <c r="DE16" s="70">
        <v>-42.737499999999997</v>
      </c>
      <c r="DF16" s="70">
        <v>22.055800000000001</v>
      </c>
      <c r="DG16" s="70">
        <v>-2.3203999999999998</v>
      </c>
      <c r="DH16" s="70">
        <v>-0.76739999999999997</v>
      </c>
      <c r="DI16" s="70">
        <v>-0.88019999999999998</v>
      </c>
      <c r="DJ16" s="114"/>
      <c r="DK16" s="114"/>
      <c r="DL16" s="114"/>
      <c r="DM16" s="114">
        <f t="shared" si="7"/>
        <v>43.07</v>
      </c>
      <c r="DN16" s="70"/>
      <c r="DO16" s="70">
        <f>Table2[[#This Row],[Historical Stock Price (Dec/year)]]/Table2[[#This Row],[Free Cash Flow Per Share]]</f>
        <v>0</v>
      </c>
      <c r="DP16" s="2">
        <f>Table2[[#This Row],[Gross Profit]]/Table2[[#This Row],[Revenue $]]</f>
        <v>8.5177277721697656E-2</v>
      </c>
    </row>
    <row r="18" spans="1:116" ht="24" x14ac:dyDescent="0.4">
      <c r="A18" s="18" t="s">
        <v>98</v>
      </c>
      <c r="B18" s="18"/>
    </row>
    <row r="19" spans="1:116" x14ac:dyDescent="0.25">
      <c r="J19" s="23" t="s">
        <v>141</v>
      </c>
      <c r="K19" s="23">
        <f>MEDIAN(K3:K15)</f>
        <v>0.61475146551031878</v>
      </c>
      <c r="T19" s="124"/>
      <c r="AC19" s="28"/>
      <c r="AD19" s="125"/>
      <c r="CJ19" s="87"/>
      <c r="CK19" s="126"/>
      <c r="DI19" s="28"/>
      <c r="DJ19" s="28"/>
      <c r="DK19" s="28"/>
      <c r="DL19" s="28"/>
    </row>
    <row r="20" spans="1:116" x14ac:dyDescent="0.25">
      <c r="B20" s="37"/>
      <c r="C20" s="166" t="s">
        <v>111</v>
      </c>
      <c r="D20" s="166"/>
      <c r="E20" s="166"/>
      <c r="J20" s="23" t="s">
        <v>152</v>
      </c>
      <c r="K20" s="23">
        <f>AVERAGE(K3:K15)</f>
        <v>0.76304328047778813</v>
      </c>
      <c r="T20" s="124"/>
      <c r="AC20" s="28"/>
      <c r="AD20" s="125"/>
      <c r="CJ20" s="87"/>
      <c r="CK20" s="126"/>
      <c r="DI20" s="28"/>
      <c r="DJ20" s="28"/>
      <c r="DK20" s="28"/>
      <c r="DL20" s="28"/>
    </row>
    <row r="21" spans="1:116" x14ac:dyDescent="0.25">
      <c r="B21" s="38"/>
      <c r="C21" s="166" t="s">
        <v>112</v>
      </c>
      <c r="D21" s="166"/>
      <c r="E21" s="166"/>
      <c r="G21" s="91"/>
      <c r="J21" s="2" t="s">
        <v>159</v>
      </c>
      <c r="K21" s="23">
        <f>_xlfn.QUARTILE.INC(K3:K15,3)</f>
        <v>0.76563982687990373</v>
      </c>
      <c r="T21" s="124"/>
      <c r="AC21" s="28"/>
      <c r="AD21" s="125"/>
      <c r="CJ21" s="126"/>
      <c r="CK21" s="127"/>
      <c r="DI21" s="28"/>
      <c r="DJ21" s="28"/>
      <c r="DK21" s="28"/>
      <c r="DL21" s="28"/>
    </row>
    <row r="22" spans="1:116" x14ac:dyDescent="0.25">
      <c r="B22" s="39"/>
      <c r="C22" s="166" t="s">
        <v>113</v>
      </c>
      <c r="D22" s="166"/>
      <c r="E22" s="166"/>
      <c r="M22" s="91"/>
    </row>
    <row r="23" spans="1:116" x14ac:dyDescent="0.25">
      <c r="B23" s="40"/>
      <c r="C23" s="166" t="s">
        <v>114</v>
      </c>
      <c r="D23" s="166"/>
      <c r="E23" s="166"/>
    </row>
    <row r="24" spans="1:116" x14ac:dyDescent="0.25">
      <c r="B24" s="41"/>
      <c r="C24" s="166" t="s">
        <v>115</v>
      </c>
      <c r="D24" s="166"/>
      <c r="E24" s="166"/>
      <c r="DJ24" s="28"/>
      <c r="DK24" s="123"/>
      <c r="DL24" s="123"/>
    </row>
    <row r="25" spans="1:116" x14ac:dyDescent="0.25">
      <c r="DJ25" s="28"/>
      <c r="DK25" s="123"/>
      <c r="DL25" s="123"/>
    </row>
    <row r="26" spans="1:116" x14ac:dyDescent="0.25">
      <c r="DJ26" s="28"/>
      <c r="DK26" s="123"/>
      <c r="DL26" s="123"/>
    </row>
    <row r="29" spans="1:116" x14ac:dyDescent="0.25">
      <c r="DK29" s="28"/>
      <c r="DL29" s="28"/>
    </row>
    <row r="30" spans="1:116" x14ac:dyDescent="0.25">
      <c r="DK30" s="28"/>
      <c r="DL30" s="28"/>
    </row>
    <row r="31" spans="1:116" x14ac:dyDescent="0.25">
      <c r="DK31" s="28"/>
      <c r="DL31" s="28"/>
    </row>
  </sheetData>
  <mergeCells count="5">
    <mergeCell ref="C20:E20"/>
    <mergeCell ref="C21:E21"/>
    <mergeCell ref="C22:E22"/>
    <mergeCell ref="C23:E23"/>
    <mergeCell ref="C24:E2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124A-AC46-4F58-A8B9-57DF6D30DEF7}">
  <sheetPr>
    <tabColor rgb="FFFFFF00"/>
  </sheetPr>
  <dimension ref="A1:AN265"/>
  <sheetViews>
    <sheetView showGridLines="0" tabSelected="1" workbookViewId="0">
      <selection activeCell="Z4" sqref="Z4"/>
    </sheetView>
  </sheetViews>
  <sheetFormatPr defaultRowHeight="15" x14ac:dyDescent="0.25"/>
  <cols>
    <col min="4" max="4" width="9.140625" customWidth="1"/>
    <col min="5" max="5" width="10.42578125" bestFit="1" customWidth="1"/>
    <col min="26" max="26" width="9.5703125" customWidth="1"/>
    <col min="65" max="65" width="9.85546875" customWidth="1"/>
  </cols>
  <sheetData>
    <row r="1" s="49" customFormat="1" x14ac:dyDescent="0.25"/>
    <row r="2" s="49" customFormat="1" x14ac:dyDescent="0.25"/>
    <row r="3" s="49" customFormat="1" x14ac:dyDescent="0.25"/>
    <row r="4" s="49" customFormat="1" x14ac:dyDescent="0.25"/>
    <row r="5" s="49" customFormat="1" x14ac:dyDescent="0.25"/>
    <row r="6" s="49" customFormat="1" x14ac:dyDescent="0.25"/>
    <row r="7" s="49" customFormat="1" x14ac:dyDescent="0.25"/>
    <row r="8" s="49" customFormat="1" x14ac:dyDescent="0.25"/>
    <row r="9" s="49" customFormat="1" x14ac:dyDescent="0.25"/>
    <row r="10" s="49" customFormat="1" x14ac:dyDescent="0.25"/>
    <row r="11" s="49" customFormat="1" x14ac:dyDescent="0.25"/>
    <row r="12" s="49" customFormat="1" x14ac:dyDescent="0.25"/>
    <row r="13" s="49" customFormat="1" x14ac:dyDescent="0.25"/>
    <row r="14" s="49" customFormat="1" x14ac:dyDescent="0.25"/>
    <row r="15" s="49" customFormat="1" x14ac:dyDescent="0.25"/>
    <row r="16" s="49" customFormat="1" x14ac:dyDescent="0.25"/>
    <row r="17" s="49" customFormat="1" x14ac:dyDescent="0.25"/>
    <row r="18" s="49" customFormat="1" x14ac:dyDescent="0.25"/>
    <row r="19" s="49" customFormat="1" x14ac:dyDescent="0.25"/>
    <row r="20" s="49" customFormat="1" x14ac:dyDescent="0.25"/>
    <row r="21" s="49" customFormat="1" x14ac:dyDescent="0.25"/>
    <row r="22" s="49" customFormat="1" x14ac:dyDescent="0.25"/>
    <row r="23" s="49" customFormat="1" x14ac:dyDescent="0.25"/>
    <row r="24" s="49" customFormat="1" x14ac:dyDescent="0.25"/>
    <row r="25" s="49" customFormat="1" x14ac:dyDescent="0.25"/>
    <row r="26" s="49" customFormat="1" x14ac:dyDescent="0.25"/>
    <row r="27" s="49" customFormat="1" x14ac:dyDescent="0.25"/>
    <row r="28" s="49" customFormat="1" x14ac:dyDescent="0.25"/>
    <row r="29" s="49" customFormat="1" x14ac:dyDescent="0.25"/>
    <row r="30" s="49" customFormat="1" x14ac:dyDescent="0.25"/>
    <row r="31" s="49" customFormat="1" x14ac:dyDescent="0.25"/>
    <row r="32" s="49" customFormat="1" x14ac:dyDescent="0.25"/>
    <row r="33" s="49" customFormat="1" x14ac:dyDescent="0.25"/>
    <row r="34" s="49" customFormat="1" x14ac:dyDescent="0.25"/>
    <row r="35" s="49" customFormat="1" x14ac:dyDescent="0.25"/>
    <row r="36" s="49" customFormat="1" x14ac:dyDescent="0.25"/>
    <row r="37" s="49" customFormat="1" x14ac:dyDescent="0.25"/>
    <row r="38" s="49" customFormat="1" x14ac:dyDescent="0.25"/>
    <row r="39" s="49" customFormat="1" x14ac:dyDescent="0.25"/>
    <row r="40" s="49" customFormat="1" x14ac:dyDescent="0.25"/>
    <row r="41" s="49" customFormat="1" x14ac:dyDescent="0.25"/>
    <row r="42" s="49" customFormat="1" x14ac:dyDescent="0.25"/>
    <row r="43" s="49" customFormat="1" x14ac:dyDescent="0.25"/>
    <row r="44" s="49" customFormat="1" x14ac:dyDescent="0.25"/>
    <row r="45" s="49" customFormat="1" x14ac:dyDescent="0.25"/>
    <row r="46" s="49" customFormat="1" x14ac:dyDescent="0.25"/>
    <row r="47" s="49" customFormat="1" x14ac:dyDescent="0.25"/>
    <row r="48" s="49" customFormat="1" x14ac:dyDescent="0.25"/>
    <row r="49" s="49" customFormat="1" x14ac:dyDescent="0.25"/>
    <row r="50" s="49" customFormat="1" x14ac:dyDescent="0.25"/>
    <row r="51" s="49" customFormat="1" x14ac:dyDescent="0.25"/>
    <row r="52" s="49" customFormat="1" x14ac:dyDescent="0.25"/>
    <row r="53" s="49" customFormat="1" x14ac:dyDescent="0.25"/>
    <row r="54" s="49" customFormat="1" x14ac:dyDescent="0.25"/>
    <row r="55" s="49" customFormat="1" x14ac:dyDescent="0.25"/>
    <row r="56" s="49" customFormat="1" x14ac:dyDescent="0.25"/>
    <row r="57" s="49" customFormat="1" x14ac:dyDescent="0.25"/>
    <row r="58" s="49" customFormat="1" x14ac:dyDescent="0.25"/>
    <row r="59" s="49" customFormat="1" x14ac:dyDescent="0.25"/>
    <row r="60" s="49" customFormat="1" x14ac:dyDescent="0.25"/>
    <row r="61" s="49" customFormat="1" x14ac:dyDescent="0.25"/>
    <row r="62" s="49" customFormat="1" x14ac:dyDescent="0.25"/>
    <row r="63" s="49" customFormat="1" x14ac:dyDescent="0.25"/>
    <row r="64" s="49" customFormat="1" x14ac:dyDescent="0.25"/>
    <row r="65" s="49" customFormat="1" x14ac:dyDescent="0.25"/>
    <row r="66" s="49" customFormat="1" x14ac:dyDescent="0.25"/>
    <row r="67" s="49" customFormat="1" x14ac:dyDescent="0.25"/>
    <row r="68" s="49" customFormat="1" x14ac:dyDescent="0.25"/>
    <row r="69" s="49" customFormat="1" x14ac:dyDescent="0.25"/>
    <row r="70" s="49" customFormat="1" x14ac:dyDescent="0.25"/>
    <row r="71" s="49" customFormat="1" x14ac:dyDescent="0.25"/>
    <row r="72" s="49" customFormat="1" x14ac:dyDescent="0.25"/>
    <row r="73" s="49" customFormat="1" x14ac:dyDescent="0.25"/>
    <row r="74" s="49" customFormat="1" x14ac:dyDescent="0.25"/>
    <row r="75" s="49" customFormat="1" x14ac:dyDescent="0.25"/>
    <row r="76" s="49" customFormat="1" x14ac:dyDescent="0.25"/>
    <row r="77" s="49" customFormat="1" x14ac:dyDescent="0.25"/>
    <row r="78" s="49" customFormat="1" x14ac:dyDescent="0.25"/>
    <row r="79" s="49" customFormat="1" x14ac:dyDescent="0.25"/>
    <row r="80" s="49" customFormat="1" x14ac:dyDescent="0.25"/>
    <row r="81" s="49" customFormat="1" x14ac:dyDescent="0.25"/>
    <row r="82" s="49" customFormat="1" x14ac:dyDescent="0.25"/>
    <row r="83" s="49" customFormat="1" x14ac:dyDescent="0.25"/>
    <row r="84" s="49" customFormat="1" x14ac:dyDescent="0.25"/>
    <row r="85" s="49" customFormat="1" x14ac:dyDescent="0.25"/>
    <row r="86" s="49" customFormat="1" x14ac:dyDescent="0.25"/>
    <row r="87" s="49" customFormat="1" x14ac:dyDescent="0.25"/>
    <row r="88" s="49" customFormat="1" x14ac:dyDescent="0.25"/>
    <row r="89" s="49" customFormat="1" x14ac:dyDescent="0.25"/>
    <row r="90" s="49" customFormat="1" x14ac:dyDescent="0.25"/>
    <row r="91" s="49" customFormat="1" x14ac:dyDescent="0.25"/>
    <row r="92" s="49" customFormat="1" x14ac:dyDescent="0.25"/>
    <row r="93" s="49" customFormat="1" x14ac:dyDescent="0.25"/>
    <row r="94" s="49" customFormat="1" x14ac:dyDescent="0.25"/>
    <row r="95" s="49" customFormat="1" x14ac:dyDescent="0.25"/>
    <row r="96" s="49" customFormat="1" x14ac:dyDescent="0.25"/>
    <row r="97" s="49" customFormat="1" x14ac:dyDescent="0.25"/>
    <row r="98" s="49" customFormat="1" x14ac:dyDescent="0.25"/>
    <row r="99" s="49" customFormat="1" x14ac:dyDescent="0.25"/>
    <row r="100" s="49" customFormat="1" x14ac:dyDescent="0.25"/>
    <row r="101" s="49" customFormat="1" x14ac:dyDescent="0.25"/>
    <row r="102" s="49" customFormat="1" x14ac:dyDescent="0.25"/>
    <row r="103" s="49" customFormat="1" x14ac:dyDescent="0.25"/>
    <row r="104" s="49" customFormat="1" x14ac:dyDescent="0.25"/>
    <row r="105" s="49" customFormat="1" x14ac:dyDescent="0.25"/>
    <row r="106" s="49" customFormat="1" x14ac:dyDescent="0.25"/>
    <row r="107" s="49" customFormat="1" x14ac:dyDescent="0.25"/>
    <row r="108" s="49" customFormat="1" x14ac:dyDescent="0.25"/>
    <row r="109" s="49" customFormat="1" x14ac:dyDescent="0.25"/>
    <row r="110" s="49" customFormat="1" x14ac:dyDescent="0.25"/>
    <row r="111" s="49" customFormat="1" x14ac:dyDescent="0.25"/>
    <row r="112" s="49" customFormat="1" x14ac:dyDescent="0.25"/>
    <row r="113" s="49" customFormat="1" x14ac:dyDescent="0.25"/>
    <row r="114" s="49" customFormat="1" x14ac:dyDescent="0.25"/>
    <row r="115" s="49" customFormat="1" x14ac:dyDescent="0.25"/>
    <row r="116" s="49" customFormat="1" x14ac:dyDescent="0.25"/>
    <row r="117" s="49" customFormat="1" x14ac:dyDescent="0.25"/>
    <row r="118" s="49" customFormat="1" x14ac:dyDescent="0.25"/>
    <row r="119" s="49" customFormat="1" x14ac:dyDescent="0.25"/>
    <row r="120" s="49" customFormat="1" x14ac:dyDescent="0.25"/>
    <row r="121" s="49" customFormat="1" x14ac:dyDescent="0.25"/>
    <row r="122" s="49" customFormat="1" x14ac:dyDescent="0.25"/>
    <row r="123" s="49" customFormat="1" x14ac:dyDescent="0.25"/>
    <row r="124" s="49" customFormat="1" x14ac:dyDescent="0.25"/>
    <row r="125" s="49" customFormat="1" x14ac:dyDescent="0.25"/>
    <row r="126" s="49" customFormat="1" x14ac:dyDescent="0.25"/>
    <row r="127" s="49" customFormat="1" x14ac:dyDescent="0.25"/>
    <row r="130" spans="1:40" ht="18.75" x14ac:dyDescent="0.3">
      <c r="A130" s="53" t="s">
        <v>132</v>
      </c>
      <c r="M130" s="54" t="s">
        <v>121</v>
      </c>
      <c r="S130" s="55" t="s">
        <v>122</v>
      </c>
      <c r="AG130" s="54" t="s">
        <v>125</v>
      </c>
    </row>
    <row r="131" spans="1:40" ht="40.5" customHeight="1" x14ac:dyDescent="0.25">
      <c r="A131" t="s">
        <v>101</v>
      </c>
      <c r="E131" t="s">
        <v>102</v>
      </c>
      <c r="J131" s="167" t="s">
        <v>120</v>
      </c>
      <c r="K131" s="167"/>
      <c r="M131" s="46" t="s">
        <v>123</v>
      </c>
      <c r="S131" s="46" t="s">
        <v>124</v>
      </c>
      <c r="X131" s="56" t="s">
        <v>268</v>
      </c>
      <c r="AG131" s="51" t="s">
        <v>126</v>
      </c>
      <c r="AL131" s="168"/>
      <c r="AM131" s="168"/>
      <c r="AN131" s="168"/>
    </row>
    <row r="132" spans="1:40" ht="48" x14ac:dyDescent="0.25">
      <c r="A132" s="34" t="s">
        <v>97</v>
      </c>
      <c r="B132" s="32" t="s">
        <v>0</v>
      </c>
      <c r="C132" s="32" t="s">
        <v>101</v>
      </c>
      <c r="D132" s="76"/>
      <c r="E132" s="34" t="s">
        <v>96</v>
      </c>
      <c r="F132" s="31" t="s">
        <v>103</v>
      </c>
      <c r="G132" s="32" t="s">
        <v>0</v>
      </c>
      <c r="H132" s="32" t="s">
        <v>102</v>
      </c>
      <c r="J132" s="162" t="s">
        <v>272</v>
      </c>
      <c r="K132" s="162" t="s">
        <v>273</v>
      </c>
      <c r="M132" s="34" t="s">
        <v>97</v>
      </c>
      <c r="N132" s="34" t="s">
        <v>106</v>
      </c>
      <c r="O132" s="34" t="s">
        <v>107</v>
      </c>
      <c r="P132" s="34" t="s">
        <v>108</v>
      </c>
      <c r="Q132" s="34" t="s">
        <v>109</v>
      </c>
      <c r="S132" s="42" t="s">
        <v>97</v>
      </c>
      <c r="T132" s="47" t="s">
        <v>77</v>
      </c>
      <c r="U132" s="47" t="s">
        <v>110</v>
      </c>
      <c r="V132" s="47" t="s">
        <v>94</v>
      </c>
      <c r="X132" s="42" t="s">
        <v>97</v>
      </c>
      <c r="Y132" s="48" t="s">
        <v>116</v>
      </c>
      <c r="AA132" s="44" t="s">
        <v>97</v>
      </c>
      <c r="AB132" s="34" t="s">
        <v>45</v>
      </c>
      <c r="AC132" s="34" t="s">
        <v>46</v>
      </c>
      <c r="AD132" s="34" t="s">
        <v>47</v>
      </c>
      <c r="AE132" s="34" t="s">
        <v>48</v>
      </c>
      <c r="AG132" s="34" t="s">
        <v>97</v>
      </c>
      <c r="AH132" s="34" t="s">
        <v>84</v>
      </c>
      <c r="AI132" s="50" t="s">
        <v>127</v>
      </c>
      <c r="AJ132" s="50" t="s">
        <v>85</v>
      </c>
      <c r="AL132" s="169" t="s">
        <v>128</v>
      </c>
      <c r="AM132" s="169"/>
      <c r="AN132" s="169"/>
    </row>
    <row r="133" spans="1:40" ht="24" x14ac:dyDescent="0.25">
      <c r="A133" s="2">
        <v>2009</v>
      </c>
      <c r="B133" s="2">
        <v>111.943</v>
      </c>
      <c r="C133" s="24"/>
      <c r="E133" s="9">
        <v>39994</v>
      </c>
      <c r="F133" s="26" t="str">
        <f t="shared" ref="F133:F164" si="0">"Q" &amp; INT((MONTH(E133)-1)/3)+1 &amp; " " &amp; YEAR(E133)</f>
        <v>Q2 2009</v>
      </c>
      <c r="G133" s="2">
        <v>26.945</v>
      </c>
      <c r="H133" s="2"/>
      <c r="J133" s="36" t="s">
        <v>270</v>
      </c>
      <c r="K133" s="161">
        <v>0.216</v>
      </c>
      <c r="M133" s="36">
        <v>2009</v>
      </c>
      <c r="N133" s="23">
        <v>8.5177277721697614E-2</v>
      </c>
      <c r="O133" s="23">
        <v>0.45122071054018559</v>
      </c>
      <c r="P133" s="23">
        <v>-0.46360201173811671</v>
      </c>
      <c r="Q133" s="23">
        <v>-0.49793198324147114</v>
      </c>
      <c r="S133" s="43">
        <v>2009</v>
      </c>
      <c r="T133" s="159">
        <v>1.75</v>
      </c>
      <c r="U133" s="43">
        <v>1.35</v>
      </c>
      <c r="V133" s="43">
        <v>0</v>
      </c>
      <c r="X133" s="43">
        <v>2009</v>
      </c>
      <c r="Y133" s="45">
        <v>43.07</v>
      </c>
      <c r="AA133" s="2">
        <v>2009</v>
      </c>
      <c r="AB133" s="2">
        <v>-80.825000000000003</v>
      </c>
      <c r="AC133" s="2">
        <v>-14.244</v>
      </c>
      <c r="AD133" s="2">
        <v>155.41900000000001</v>
      </c>
      <c r="AE133" s="2">
        <v>60.35</v>
      </c>
      <c r="AG133" s="36">
        <v>2009</v>
      </c>
      <c r="AH133" s="52">
        <v>0.85829999999999995</v>
      </c>
      <c r="AI133" s="52">
        <v>4.41</v>
      </c>
      <c r="AJ133" s="52">
        <v>32.093800000000002</v>
      </c>
      <c r="AL133" s="50" t="s">
        <v>129</v>
      </c>
      <c r="AM133" s="50" t="s">
        <v>130</v>
      </c>
      <c r="AN133" s="50" t="s">
        <v>131</v>
      </c>
    </row>
    <row r="134" spans="1:40" x14ac:dyDescent="0.25">
      <c r="A134" s="2">
        <v>2010</v>
      </c>
      <c r="B134" s="2">
        <v>116.744</v>
      </c>
      <c r="C134" s="23">
        <v>4.2887898305387501E-2</v>
      </c>
      <c r="E134" s="9">
        <v>40086</v>
      </c>
      <c r="F134" s="26" t="str">
        <f t="shared" si="0"/>
        <v>Q3 2009</v>
      </c>
      <c r="G134" s="2">
        <v>45.527000000000001</v>
      </c>
      <c r="H134" s="23">
        <v>0.68962701799962889</v>
      </c>
      <c r="J134" s="36" t="s">
        <v>269</v>
      </c>
      <c r="K134" s="161">
        <v>0.315</v>
      </c>
      <c r="M134" s="36">
        <v>2010</v>
      </c>
      <c r="N134" s="23">
        <v>0.26323408483519489</v>
      </c>
      <c r="O134" s="23">
        <v>-0.52101178647296642</v>
      </c>
      <c r="P134" s="23">
        <v>-1.25777770163777</v>
      </c>
      <c r="Q134" s="23">
        <v>-1.3219351743986842</v>
      </c>
      <c r="S134" s="43">
        <v>2010</v>
      </c>
      <c r="T134" s="159">
        <v>2.76</v>
      </c>
      <c r="U134" s="43">
        <v>2.23</v>
      </c>
      <c r="V134" s="43">
        <v>0.35</v>
      </c>
      <c r="X134" s="43">
        <v>2010</v>
      </c>
      <c r="Y134" s="45">
        <v>150.321</v>
      </c>
      <c r="AA134" s="2">
        <v>2010</v>
      </c>
      <c r="AB134" s="2">
        <v>-127.81699999999999</v>
      </c>
      <c r="AC134" s="2">
        <v>-180.297</v>
      </c>
      <c r="AD134" s="2">
        <v>338.04500000000002</v>
      </c>
      <c r="AE134" s="2">
        <v>29.931000000000001</v>
      </c>
      <c r="AG134" s="36">
        <v>2010</v>
      </c>
      <c r="AH134" s="52">
        <v>0.3024</v>
      </c>
      <c r="AI134" s="52">
        <v>1.9036999999999999</v>
      </c>
      <c r="AJ134" s="52">
        <v>17.398499999999999</v>
      </c>
      <c r="AL134" s="1">
        <v>0.72256946445520998</v>
      </c>
      <c r="AM134" s="1">
        <v>0.67128019342131584</v>
      </c>
      <c r="AN134" s="1">
        <v>0.40093691369349199</v>
      </c>
    </row>
    <row r="135" spans="1:40" x14ac:dyDescent="0.25">
      <c r="A135" s="2">
        <v>2011</v>
      </c>
      <c r="B135" s="2">
        <v>204.24199999999999</v>
      </c>
      <c r="C135" s="23">
        <v>0.74948605495785603</v>
      </c>
      <c r="E135" s="9">
        <v>40178</v>
      </c>
      <c r="F135" s="26" t="str">
        <f t="shared" si="0"/>
        <v>Q4 2009</v>
      </c>
      <c r="G135" s="2"/>
      <c r="H135" s="23">
        <v>-1</v>
      </c>
      <c r="J135" s="36" t="s">
        <v>271</v>
      </c>
      <c r="K135" s="161">
        <v>0.40600000000000003</v>
      </c>
      <c r="M135" s="36">
        <v>2011</v>
      </c>
      <c r="N135" s="23">
        <v>0.30157851959929888</v>
      </c>
      <c r="O135" s="23">
        <v>-0.532902145494071</v>
      </c>
      <c r="P135" s="23">
        <v>-1.231323625894772</v>
      </c>
      <c r="Q135" s="23">
        <v>-1.245635079954172</v>
      </c>
      <c r="S135" s="43">
        <v>2011</v>
      </c>
      <c r="T135" s="159">
        <v>1.95</v>
      </c>
      <c r="U135" s="43">
        <v>1.69</v>
      </c>
      <c r="V135" s="43">
        <v>1.25</v>
      </c>
      <c r="X135" s="43">
        <v>2011</v>
      </c>
      <c r="Y135" s="45">
        <v>181.499</v>
      </c>
      <c r="AA135" s="2">
        <v>2011</v>
      </c>
      <c r="AB135" s="2">
        <v>-128.03399999999999</v>
      </c>
      <c r="AC135" s="2">
        <v>-162.25800000000001</v>
      </c>
      <c r="AD135" s="2">
        <v>446</v>
      </c>
      <c r="AE135" s="2">
        <v>155.708</v>
      </c>
      <c r="AG135" s="36">
        <v>2011</v>
      </c>
      <c r="AH135" s="52">
        <v>0.2863</v>
      </c>
      <c r="AI135" s="52">
        <v>2.8483000000000001</v>
      </c>
      <c r="AJ135" s="52">
        <v>21.411300000000001</v>
      </c>
    </row>
    <row r="136" spans="1:40" x14ac:dyDescent="0.25">
      <c r="A136" s="2">
        <v>2012</v>
      </c>
      <c r="B136" s="2">
        <v>413.25599999999997</v>
      </c>
      <c r="C136" s="23">
        <v>1.0233644402228728</v>
      </c>
      <c r="E136" s="9">
        <v>40268</v>
      </c>
      <c r="F136" s="26" t="str">
        <f t="shared" si="0"/>
        <v>Q1 2010</v>
      </c>
      <c r="G136" s="2">
        <v>20.812000000000001</v>
      </c>
      <c r="H136" s="23"/>
      <c r="J136" s="28"/>
      <c r="K136" s="163"/>
      <c r="M136" s="36">
        <v>2012</v>
      </c>
      <c r="N136" s="23">
        <v>7.2756354414696828E-2</v>
      </c>
      <c r="O136" s="23">
        <v>-2.6845345258145196E-2</v>
      </c>
      <c r="P136" s="23">
        <v>-0.95408899084344823</v>
      </c>
      <c r="Q136" s="23">
        <v>-0.95875921946686815</v>
      </c>
      <c r="S136" s="43">
        <v>2012</v>
      </c>
      <c r="T136" s="159">
        <v>0.97</v>
      </c>
      <c r="U136" s="43">
        <v>0.48</v>
      </c>
      <c r="V136" s="43">
        <v>3.74</v>
      </c>
      <c r="X136" s="43">
        <v>2012</v>
      </c>
      <c r="Y136" s="45">
        <v>-14.34</v>
      </c>
      <c r="AA136" s="2">
        <v>2012</v>
      </c>
      <c r="AB136" s="2">
        <v>-263.815</v>
      </c>
      <c r="AC136" s="2">
        <v>-206.93</v>
      </c>
      <c r="AD136" s="2">
        <v>419.63499999999999</v>
      </c>
      <c r="AE136" s="2">
        <v>-53.375999999999998</v>
      </c>
      <c r="AG136" s="36">
        <v>2012</v>
      </c>
      <c r="AH136" s="52">
        <v>0.37090000000000001</v>
      </c>
      <c r="AI136" s="52">
        <v>1.4271</v>
      </c>
      <c r="AJ136" s="52">
        <v>15.395899999999999</v>
      </c>
    </row>
    <row r="137" spans="1:40" x14ac:dyDescent="0.25">
      <c r="A137" s="2">
        <v>2013</v>
      </c>
      <c r="B137" s="2">
        <v>2013.4960000000001</v>
      </c>
      <c r="C137" s="23">
        <v>3.8722728768608325</v>
      </c>
      <c r="E137" s="9">
        <v>40359</v>
      </c>
      <c r="F137" s="26" t="str">
        <f t="shared" si="0"/>
        <v>Q2 2010</v>
      </c>
      <c r="G137" s="2">
        <v>28.405000000000001</v>
      </c>
      <c r="H137" s="23">
        <v>0.36483759369594471</v>
      </c>
      <c r="J137" s="28"/>
      <c r="K137" s="163"/>
      <c r="M137" s="36">
        <v>2013</v>
      </c>
      <c r="N137" s="23">
        <v>0.22660189044328877</v>
      </c>
      <c r="O137" s="23">
        <v>0.74296199247478012</v>
      </c>
      <c r="P137" s="23">
        <v>-3.0436166746792642E-2</v>
      </c>
      <c r="Q137" s="23">
        <v>-3.6758950601342141E-2</v>
      </c>
      <c r="S137" s="43">
        <v>2013</v>
      </c>
      <c r="T137" s="159">
        <v>1.88</v>
      </c>
      <c r="U137" s="43">
        <v>1.37</v>
      </c>
      <c r="V137" s="43">
        <v>0.91</v>
      </c>
      <c r="X137" s="43">
        <v>2013</v>
      </c>
      <c r="Y137" s="45">
        <v>590.779</v>
      </c>
      <c r="AA137" s="2">
        <v>2013</v>
      </c>
      <c r="AB137" s="2">
        <v>264.80399999999997</v>
      </c>
      <c r="AC137" s="2">
        <v>-249.417</v>
      </c>
      <c r="AD137" s="2">
        <v>635.42200000000003</v>
      </c>
      <c r="AE137" s="2">
        <v>643.99900000000002</v>
      </c>
      <c r="AG137" s="36">
        <v>2013</v>
      </c>
      <c r="AH137" s="52">
        <v>0.83309999999999995</v>
      </c>
      <c r="AI137" s="52">
        <v>4.5753000000000004</v>
      </c>
      <c r="AJ137" s="52">
        <v>41.000599999999999</v>
      </c>
    </row>
    <row r="138" spans="1:40" x14ac:dyDescent="0.25">
      <c r="A138" s="2">
        <v>2014</v>
      </c>
      <c r="B138" s="2">
        <v>3198.3560000000002</v>
      </c>
      <c r="C138" s="23">
        <v>0.58845907814070697</v>
      </c>
      <c r="E138" s="9">
        <v>40451</v>
      </c>
      <c r="F138" s="26" t="str">
        <f t="shared" si="0"/>
        <v>Q3 2010</v>
      </c>
      <c r="G138" s="2">
        <v>31.241</v>
      </c>
      <c r="H138" s="23">
        <v>9.9841577187114838E-2</v>
      </c>
      <c r="J138" s="28"/>
      <c r="K138" s="163"/>
      <c r="M138" s="36">
        <v>2014</v>
      </c>
      <c r="N138" s="23">
        <v>0.27566380978227573</v>
      </c>
      <c r="O138" s="23">
        <v>0.66596588997597517</v>
      </c>
      <c r="P138" s="23">
        <v>-5.8370206443560377E-2</v>
      </c>
      <c r="Q138" s="23">
        <v>-9.1934731468291842E-2</v>
      </c>
      <c r="S138" s="43">
        <v>2014</v>
      </c>
      <c r="T138" s="159">
        <v>1.51</v>
      </c>
      <c r="U138" s="43">
        <v>1.06</v>
      </c>
      <c r="V138" s="43">
        <v>2.73</v>
      </c>
      <c r="X138" s="43">
        <v>2014</v>
      </c>
      <c r="Y138" s="45">
        <v>1072.9069999999999</v>
      </c>
      <c r="AA138" s="2">
        <v>2014</v>
      </c>
      <c r="AB138" s="2">
        <v>-57.337000000000003</v>
      </c>
      <c r="AC138" s="2">
        <v>-990.44399999999996</v>
      </c>
      <c r="AD138" s="2">
        <v>2143.13</v>
      </c>
      <c r="AE138" s="2">
        <v>1059.8240000000001</v>
      </c>
      <c r="AG138" s="36">
        <v>2014</v>
      </c>
      <c r="AH138" s="52">
        <v>0.54849999999999999</v>
      </c>
      <c r="AI138" s="52">
        <v>2.4291999999999998</v>
      </c>
      <c r="AJ138" s="52">
        <v>14.1143</v>
      </c>
    </row>
    <row r="139" spans="1:40" x14ac:dyDescent="0.25">
      <c r="A139" s="2">
        <v>2015</v>
      </c>
      <c r="B139" s="2">
        <v>4046.0250000000001</v>
      </c>
      <c r="C139" s="23">
        <v>0.26503272306147285</v>
      </c>
      <c r="E139" s="9">
        <v>40543</v>
      </c>
      <c r="F139" s="26" t="str">
        <f t="shared" si="0"/>
        <v>Q4 2010</v>
      </c>
      <c r="G139" s="2">
        <v>36.286000000000001</v>
      </c>
      <c r="H139" s="23">
        <v>0.16148650811433707</v>
      </c>
      <c r="J139" s="28"/>
      <c r="K139" s="163"/>
      <c r="M139" s="36">
        <v>2015</v>
      </c>
      <c r="N139" s="23">
        <v>0.22824945471172328</v>
      </c>
      <c r="O139" s="23">
        <v>0.59463127390463477</v>
      </c>
      <c r="P139" s="23">
        <v>-0.17711937024610575</v>
      </c>
      <c r="Q139" s="23">
        <v>-0.21963853411681836</v>
      </c>
      <c r="S139" s="43">
        <v>2015</v>
      </c>
      <c r="T139" s="159">
        <v>0.99</v>
      </c>
      <c r="U139" s="43">
        <v>0.54</v>
      </c>
      <c r="V139" s="43">
        <v>2.4900000000000002</v>
      </c>
      <c r="X139" s="43">
        <v>2015</v>
      </c>
      <c r="Y139" s="45">
        <v>-29.029</v>
      </c>
      <c r="AA139" s="2">
        <v>2015</v>
      </c>
      <c r="AB139" s="2">
        <v>-524.49900000000002</v>
      </c>
      <c r="AC139" s="2">
        <v>-1673.5509999999999</v>
      </c>
      <c r="AD139" s="2">
        <v>1523.5229999999999</v>
      </c>
      <c r="AE139" s="2">
        <v>-708.80499999999995</v>
      </c>
      <c r="AG139" s="36">
        <v>2015</v>
      </c>
      <c r="AH139" s="52">
        <v>0.50149999999999995</v>
      </c>
      <c r="AI139" s="52">
        <v>2.4436</v>
      </c>
      <c r="AJ139" s="52">
        <v>23.945900000000002</v>
      </c>
    </row>
    <row r="140" spans="1:40" x14ac:dyDescent="0.25">
      <c r="A140" s="2">
        <v>2016</v>
      </c>
      <c r="B140" s="2">
        <v>7000.1319999999996</v>
      </c>
      <c r="C140" s="23">
        <v>0.73012574069611524</v>
      </c>
      <c r="E140" s="9">
        <v>40633</v>
      </c>
      <c r="F140" s="26" t="str">
        <f t="shared" si="0"/>
        <v>Q1 2011</v>
      </c>
      <c r="G140" s="2">
        <v>49.03</v>
      </c>
      <c r="H140" s="23">
        <v>0.351209832993441</v>
      </c>
      <c r="J140" s="28"/>
      <c r="K140" s="163"/>
      <c r="M140" s="36">
        <v>2016</v>
      </c>
      <c r="N140" s="23">
        <v>0.22846097759299391</v>
      </c>
      <c r="O140" s="23">
        <v>0.67620653439106582</v>
      </c>
      <c r="P140" s="23">
        <v>-9.5332530872274973E-2</v>
      </c>
      <c r="Q140" s="23">
        <v>-9.6414467612896446E-2</v>
      </c>
      <c r="S140" s="43">
        <v>2016</v>
      </c>
      <c r="T140" s="159">
        <v>1.07</v>
      </c>
      <c r="U140" s="43">
        <v>0.72</v>
      </c>
      <c r="V140" s="43">
        <v>1.27</v>
      </c>
      <c r="X140" s="43">
        <v>2016</v>
      </c>
      <c r="Y140" s="45">
        <v>432.791</v>
      </c>
      <c r="AA140" s="2">
        <v>2016</v>
      </c>
      <c r="AB140" s="2">
        <v>-123.82899999999999</v>
      </c>
      <c r="AC140" s="2">
        <v>-1081.085</v>
      </c>
      <c r="AD140" s="2">
        <v>3743.9760000000001</v>
      </c>
      <c r="AE140" s="2">
        <v>2532.509</v>
      </c>
      <c r="AG140" s="36">
        <v>2016</v>
      </c>
      <c r="AH140" s="52">
        <v>0.30890000000000001</v>
      </c>
      <c r="AI140" s="52">
        <v>2.6122999999999998</v>
      </c>
      <c r="AJ140" s="52">
        <v>14.0243</v>
      </c>
    </row>
    <row r="141" spans="1:40" x14ac:dyDescent="0.25">
      <c r="A141" s="2">
        <v>2017</v>
      </c>
      <c r="B141" s="2">
        <v>11759</v>
      </c>
      <c r="C141" s="23">
        <v>0.67982546614835271</v>
      </c>
      <c r="E141" s="9">
        <v>40724</v>
      </c>
      <c r="F141" s="26" t="str">
        <f t="shared" si="0"/>
        <v>Q2 2011</v>
      </c>
      <c r="G141" s="2">
        <v>58.170999999999999</v>
      </c>
      <c r="H141" s="23">
        <v>0.18643687538241882</v>
      </c>
      <c r="J141" s="28"/>
      <c r="K141" s="163"/>
      <c r="M141" s="36">
        <v>2017</v>
      </c>
      <c r="N141" s="23">
        <v>0.1890466876435071</v>
      </c>
      <c r="O141" s="23">
        <v>0.67216600051024744</v>
      </c>
      <c r="P141" s="23">
        <v>-0.13878731184624543</v>
      </c>
      <c r="Q141" s="23">
        <v>-0.16685092269750829</v>
      </c>
      <c r="S141" s="43">
        <v>2017</v>
      </c>
      <c r="T141" s="159">
        <v>0.86</v>
      </c>
      <c r="U141" s="43">
        <v>0.56000000000000005</v>
      </c>
      <c r="V141" s="43">
        <v>1.97</v>
      </c>
      <c r="X141" s="43">
        <v>2017</v>
      </c>
      <c r="Y141" s="45">
        <v>-1104.1500000000001</v>
      </c>
      <c r="AA141" s="2">
        <v>2017</v>
      </c>
      <c r="AB141" s="2">
        <v>-61</v>
      </c>
      <c r="AC141" s="2">
        <v>-4196</v>
      </c>
      <c r="AD141" s="2">
        <v>4415</v>
      </c>
      <c r="AE141" s="2">
        <v>198</v>
      </c>
      <c r="AG141" s="36">
        <v>2017</v>
      </c>
      <c r="AH141" s="52">
        <v>0.41039999999999999</v>
      </c>
      <c r="AI141" s="52">
        <v>4.2129000000000003</v>
      </c>
      <c r="AJ141" s="52">
        <v>22.816099999999999</v>
      </c>
    </row>
    <row r="142" spans="1:40" x14ac:dyDescent="0.25">
      <c r="A142" s="2">
        <v>2018</v>
      </c>
      <c r="B142" s="2">
        <v>21461</v>
      </c>
      <c r="C142" s="23">
        <v>0.8250701590271281</v>
      </c>
      <c r="E142" s="9">
        <v>40816</v>
      </c>
      <c r="F142" s="26" t="str">
        <f t="shared" si="0"/>
        <v>Q3 2011</v>
      </c>
      <c r="G142" s="2">
        <v>57.665999999999997</v>
      </c>
      <c r="H142" s="23">
        <v>-8.6813016795310727E-3</v>
      </c>
      <c r="J142" s="28"/>
      <c r="K142" s="163"/>
      <c r="M142" s="36">
        <v>2018</v>
      </c>
      <c r="N142" s="23">
        <v>0.18834164298028983</v>
      </c>
      <c r="O142" s="23">
        <v>0.79357905037043941</v>
      </c>
      <c r="P142" s="23">
        <v>-1.8079306649270769E-2</v>
      </c>
      <c r="Q142" s="23">
        <v>-4.5477843530124414E-2</v>
      </c>
      <c r="S142" s="43">
        <v>2018</v>
      </c>
      <c r="T142" s="159">
        <v>0.83</v>
      </c>
      <c r="U142" s="43">
        <v>0.52</v>
      </c>
      <c r="V142" s="43">
        <v>2.08</v>
      </c>
      <c r="X142" s="43">
        <v>2018</v>
      </c>
      <c r="Y142" s="45">
        <v>-1686</v>
      </c>
      <c r="AA142" s="2">
        <v>2018</v>
      </c>
      <c r="AB142" s="2">
        <v>2098</v>
      </c>
      <c r="AC142" s="2">
        <v>-2337</v>
      </c>
      <c r="AD142" s="2">
        <v>574</v>
      </c>
      <c r="AE142" s="2">
        <v>312</v>
      </c>
      <c r="AG142" s="36">
        <v>2018</v>
      </c>
      <c r="AH142" s="52">
        <v>0.72160000000000002</v>
      </c>
      <c r="AI142" s="52">
        <v>5.5956000000000001</v>
      </c>
      <c r="AJ142" s="52">
        <v>22.6143</v>
      </c>
    </row>
    <row r="143" spans="1:40" x14ac:dyDescent="0.25">
      <c r="A143" s="2">
        <v>2019</v>
      </c>
      <c r="B143" s="2">
        <v>24578</v>
      </c>
      <c r="C143" s="23">
        <v>0.14524020315921904</v>
      </c>
      <c r="E143" s="9">
        <v>40908</v>
      </c>
      <c r="F143" s="26" t="str">
        <f t="shared" si="0"/>
        <v>Q4 2011</v>
      </c>
      <c r="G143" s="2">
        <v>39.375</v>
      </c>
      <c r="H143" s="23">
        <v>-0.3171886380189366</v>
      </c>
      <c r="J143" s="28"/>
      <c r="K143" s="163"/>
      <c r="M143" s="36">
        <v>2019</v>
      </c>
      <c r="N143" s="23">
        <v>0.1655545609895028</v>
      </c>
      <c r="O143" s="23">
        <v>0.83163805028887627</v>
      </c>
      <c r="P143" s="23">
        <v>-2.8073887216209618E-3</v>
      </c>
      <c r="Q143" s="23">
        <v>-3.5072015623728539E-2</v>
      </c>
      <c r="S143" s="43">
        <v>2019</v>
      </c>
      <c r="T143" s="159">
        <v>1.1299999999999999</v>
      </c>
      <c r="U143" s="43">
        <v>0.8</v>
      </c>
      <c r="V143" s="43">
        <v>1.8</v>
      </c>
      <c r="X143" s="43">
        <v>2019</v>
      </c>
      <c r="Y143" s="45">
        <v>1436</v>
      </c>
      <c r="AA143" s="2">
        <v>2019</v>
      </c>
      <c r="AB143" s="2">
        <v>2405</v>
      </c>
      <c r="AC143" s="2">
        <v>-1436</v>
      </c>
      <c r="AD143" s="2">
        <v>1529</v>
      </c>
      <c r="AE143" s="2">
        <v>2506</v>
      </c>
      <c r="AG143" s="36">
        <v>2019</v>
      </c>
      <c r="AH143" s="52">
        <v>0.71640000000000004</v>
      </c>
      <c r="AI143" s="52">
        <v>5.7739000000000003</v>
      </c>
      <c r="AJ143" s="52">
        <v>18.563400000000001</v>
      </c>
    </row>
    <row r="144" spans="1:40" x14ac:dyDescent="0.25">
      <c r="A144" s="2">
        <v>2020</v>
      </c>
      <c r="B144" s="2">
        <v>31536</v>
      </c>
      <c r="C144" s="23">
        <v>0.28309870615998101</v>
      </c>
      <c r="E144" s="9">
        <v>40999</v>
      </c>
      <c r="F144" s="26" t="str">
        <f t="shared" si="0"/>
        <v>Q1 2012</v>
      </c>
      <c r="G144" s="2">
        <v>30.167000000000002</v>
      </c>
      <c r="H144" s="23">
        <v>-0.2338539682539682</v>
      </c>
      <c r="J144" s="28"/>
      <c r="K144" s="163"/>
      <c r="M144" s="36">
        <v>2020</v>
      </c>
      <c r="N144" s="23">
        <v>0.2102359208523592</v>
      </c>
      <c r="O144" s="23">
        <v>0.85299340436326743</v>
      </c>
      <c r="P144" s="23">
        <v>6.3229325215626589E-2</v>
      </c>
      <c r="Q144" s="23">
        <v>2.1879756468797563E-2</v>
      </c>
      <c r="S144" s="43">
        <v>2020</v>
      </c>
      <c r="T144" s="159">
        <v>1.88</v>
      </c>
      <c r="U144" s="43">
        <v>1.59</v>
      </c>
      <c r="V144" s="43">
        <v>0.51</v>
      </c>
      <c r="X144" s="43">
        <v>2020</v>
      </c>
      <c r="Y144" s="45">
        <v>12469</v>
      </c>
      <c r="AA144" s="2">
        <v>2020</v>
      </c>
      <c r="AB144" s="2">
        <v>5943</v>
      </c>
      <c r="AC144" s="2">
        <v>-3132</v>
      </c>
      <c r="AD144" s="2">
        <v>9973</v>
      </c>
      <c r="AE144" s="2">
        <v>13118</v>
      </c>
      <c r="AG144" s="36">
        <v>2020</v>
      </c>
      <c r="AH144" s="52">
        <v>0.60470000000000002</v>
      </c>
      <c r="AI144" s="52">
        <v>6.0731999999999999</v>
      </c>
      <c r="AJ144" s="52">
        <v>16.7211</v>
      </c>
    </row>
    <row r="145" spans="1:36" x14ac:dyDescent="0.25">
      <c r="A145" s="2">
        <v>2021</v>
      </c>
      <c r="B145" s="2">
        <v>53823</v>
      </c>
      <c r="C145" s="23">
        <v>0.70671613394216126</v>
      </c>
      <c r="E145" s="9">
        <v>41090</v>
      </c>
      <c r="F145" s="26" t="str">
        <f t="shared" si="0"/>
        <v>Q2 2012</v>
      </c>
      <c r="G145" s="2">
        <v>26.652999999999999</v>
      </c>
      <c r="H145" s="23">
        <v>-0.11648490071932915</v>
      </c>
      <c r="J145" s="28"/>
      <c r="K145" s="163"/>
      <c r="M145" s="36">
        <v>2021</v>
      </c>
      <c r="N145" s="23">
        <v>0.25279155751258753</v>
      </c>
      <c r="O145" s="23">
        <v>0.86840198428181259</v>
      </c>
      <c r="P145" s="23">
        <v>0.12119354179440016</v>
      </c>
      <c r="Q145" s="23">
        <v>0.10263270349107259</v>
      </c>
      <c r="S145" s="43">
        <v>2021</v>
      </c>
      <c r="T145" s="159">
        <v>1.38</v>
      </c>
      <c r="U145" s="43">
        <v>1.08</v>
      </c>
      <c r="V145" s="43">
        <v>0.22</v>
      </c>
      <c r="X145" s="43">
        <v>2021</v>
      </c>
      <c r="Y145" s="45">
        <v>7395</v>
      </c>
      <c r="AA145" s="2">
        <v>2021</v>
      </c>
      <c r="AB145" s="2">
        <v>11497</v>
      </c>
      <c r="AC145" s="2">
        <v>-7868</v>
      </c>
      <c r="AD145" s="2">
        <v>-5203</v>
      </c>
      <c r="AE145" s="2">
        <v>-1757</v>
      </c>
      <c r="AG145" s="36">
        <v>2021</v>
      </c>
      <c r="AH145" s="52">
        <v>0.86629999999999996</v>
      </c>
      <c r="AI145" s="52">
        <v>6.9858000000000002</v>
      </c>
      <c r="AJ145" s="52">
        <v>28.135400000000001</v>
      </c>
    </row>
    <row r="146" spans="1:36" x14ac:dyDescent="0.25">
      <c r="A146" s="2">
        <v>2022</v>
      </c>
      <c r="B146" s="2">
        <v>81462</v>
      </c>
      <c r="C146" s="23">
        <v>0.51351652639206291</v>
      </c>
      <c r="E146" s="9">
        <v>41182</v>
      </c>
      <c r="F146" s="26" t="str">
        <f t="shared" si="0"/>
        <v>Q3 2012</v>
      </c>
      <c r="G146" s="2">
        <v>50.103999999999999</v>
      </c>
      <c r="H146" s="23">
        <v>0.87986343000787914</v>
      </c>
      <c r="J146" s="28"/>
      <c r="K146" s="163"/>
      <c r="M146" s="36">
        <v>2022</v>
      </c>
      <c r="N146" s="23">
        <v>0.25598438535759005</v>
      </c>
      <c r="O146" s="23">
        <v>0.91165205862856302</v>
      </c>
      <c r="P146" s="23">
        <v>0.16763644398615304</v>
      </c>
      <c r="Q146" s="23">
        <v>0.15446465836831896</v>
      </c>
      <c r="S146" s="43">
        <v>2022</v>
      </c>
      <c r="T146" s="159">
        <v>1.53</v>
      </c>
      <c r="U146" s="43">
        <v>1.05</v>
      </c>
      <c r="V146" s="43">
        <v>7.0000000000000007E-2</v>
      </c>
      <c r="X146" s="43">
        <v>2022</v>
      </c>
      <c r="Y146" s="45">
        <v>14208</v>
      </c>
      <c r="AA146" s="2">
        <v>2022</v>
      </c>
      <c r="AB146" s="2">
        <v>14724</v>
      </c>
      <c r="AC146" s="2">
        <v>-11973</v>
      </c>
      <c r="AD146" s="2">
        <v>-3527</v>
      </c>
      <c r="AE146" s="2">
        <v>-1220</v>
      </c>
      <c r="AG146" s="36">
        <v>2022</v>
      </c>
      <c r="AH146" s="52">
        <v>0.98939999999999995</v>
      </c>
      <c r="AI146" s="52">
        <v>4.7206999999999999</v>
      </c>
      <c r="AJ146" s="52">
        <v>27.595500000000001</v>
      </c>
    </row>
    <row r="147" spans="1:36" x14ac:dyDescent="0.25">
      <c r="A147" s="2">
        <v>2023</v>
      </c>
      <c r="B147" s="2">
        <v>96773</v>
      </c>
      <c r="C147" s="23">
        <v>0.19</v>
      </c>
      <c r="E147" s="9">
        <v>41274</v>
      </c>
      <c r="F147" s="26" t="str">
        <f t="shared" si="0"/>
        <v>Q4 2012</v>
      </c>
      <c r="G147" s="2">
        <v>306.33199999999999</v>
      </c>
      <c r="H147" s="23">
        <v>5.1139230400766404</v>
      </c>
      <c r="J147" s="108"/>
      <c r="K147" s="164"/>
      <c r="M147" s="36">
        <v>2023</v>
      </c>
      <c r="N147" s="23">
        <v>0.18248891736331416</v>
      </c>
      <c r="O147" s="23">
        <v>0.90938588242588325</v>
      </c>
      <c r="P147" s="23">
        <v>9.1874799789197395E-2</v>
      </c>
      <c r="Q147" s="23">
        <v>0.15499157822946483</v>
      </c>
      <c r="S147" s="43">
        <v>2023</v>
      </c>
      <c r="T147" s="159">
        <v>1.7259</v>
      </c>
      <c r="U147" s="159">
        <v>1.2519131765688047</v>
      </c>
      <c r="V147" s="159">
        <v>8.2500000000000004E-2</v>
      </c>
      <c r="X147" s="43">
        <v>2023</v>
      </c>
      <c r="Y147" s="2">
        <v>20868</v>
      </c>
      <c r="AA147" s="2">
        <v>2023</v>
      </c>
      <c r="AB147" s="2">
        <v>13256</v>
      </c>
      <c r="AC147" s="2">
        <v>-15584</v>
      </c>
      <c r="AD147" s="2">
        <v>2589</v>
      </c>
      <c r="AE147" s="2">
        <v>265</v>
      </c>
      <c r="AG147" s="36">
        <v>2023</v>
      </c>
      <c r="AH147" s="52">
        <v>0.90769999999999995</v>
      </c>
      <c r="AI147" s="52">
        <v>5.806</v>
      </c>
      <c r="AJ147" s="52">
        <v>27.586400000000001</v>
      </c>
    </row>
    <row r="148" spans="1:36" x14ac:dyDescent="0.25">
      <c r="E148" s="9">
        <v>41364</v>
      </c>
      <c r="F148" s="26" t="str">
        <f t="shared" si="0"/>
        <v>Q1 2013</v>
      </c>
      <c r="G148" s="2">
        <v>561.79200000000003</v>
      </c>
      <c r="H148" s="23">
        <v>0.83393181254325377</v>
      </c>
    </row>
    <row r="149" spans="1:36" x14ac:dyDescent="0.25">
      <c r="E149" s="9">
        <v>41455</v>
      </c>
      <c r="F149" s="26" t="str">
        <f t="shared" si="0"/>
        <v>Q2 2013</v>
      </c>
      <c r="G149" s="2">
        <v>405.13900000000001</v>
      </c>
      <c r="H149" s="23">
        <v>-0.27884519537480068</v>
      </c>
    </row>
    <row r="150" spans="1:36" x14ac:dyDescent="0.25">
      <c r="E150" s="9">
        <v>41547</v>
      </c>
      <c r="F150" s="26" t="str">
        <f t="shared" si="0"/>
        <v>Q3 2013</v>
      </c>
      <c r="G150" s="2">
        <v>431.346</v>
      </c>
      <c r="H150" s="23">
        <v>6.4686440949896173E-2</v>
      </c>
    </row>
    <row r="151" spans="1:36" x14ac:dyDescent="0.25">
      <c r="E151" s="9">
        <v>41639</v>
      </c>
      <c r="F151" s="26" t="str">
        <f t="shared" si="0"/>
        <v>Q4 2013</v>
      </c>
      <c r="G151" s="2">
        <v>615.21889999999996</v>
      </c>
      <c r="H151" s="23">
        <v>0.42627704905110964</v>
      </c>
    </row>
    <row r="152" spans="1:36" x14ac:dyDescent="0.25">
      <c r="E152" s="9">
        <v>41729</v>
      </c>
      <c r="F152" s="26" t="str">
        <f t="shared" si="0"/>
        <v>Q1 2014</v>
      </c>
      <c r="G152" s="2">
        <v>620.54200000000003</v>
      </c>
      <c r="H152" s="23">
        <v>8.6523674744063417E-3</v>
      </c>
    </row>
    <row r="153" spans="1:36" x14ac:dyDescent="0.25">
      <c r="E153" s="9">
        <v>41820</v>
      </c>
      <c r="F153" s="26" t="str">
        <f t="shared" si="0"/>
        <v>Q2 2014</v>
      </c>
      <c r="G153" s="2">
        <v>769.34900000000005</v>
      </c>
      <c r="H153" s="23">
        <v>0.23980165726091074</v>
      </c>
    </row>
    <row r="154" spans="1:36" x14ac:dyDescent="0.25">
      <c r="E154" s="9">
        <v>41912</v>
      </c>
      <c r="F154" s="26" t="str">
        <f t="shared" si="0"/>
        <v>Q3 2014</v>
      </c>
      <c r="G154" s="2">
        <v>851.80399999999997</v>
      </c>
      <c r="H154" s="23">
        <v>0.10717502719831962</v>
      </c>
    </row>
    <row r="155" spans="1:36" x14ac:dyDescent="0.25">
      <c r="E155" s="9">
        <v>42004</v>
      </c>
      <c r="F155" s="26" t="str">
        <f t="shared" si="0"/>
        <v>Q4 2014</v>
      </c>
      <c r="G155" s="2">
        <v>956.66099999999994</v>
      </c>
      <c r="H155" s="23">
        <v>0.12309991500392115</v>
      </c>
    </row>
    <row r="156" spans="1:36" x14ac:dyDescent="0.25">
      <c r="E156" s="9">
        <v>42094</v>
      </c>
      <c r="F156" s="26" t="str">
        <f t="shared" si="0"/>
        <v>Q1 2015</v>
      </c>
      <c r="G156" s="2">
        <v>939.88</v>
      </c>
      <c r="H156" s="23">
        <v>-1.7541218885268606E-2</v>
      </c>
    </row>
    <row r="157" spans="1:36" x14ac:dyDescent="0.25">
      <c r="E157" s="9">
        <v>42185</v>
      </c>
      <c r="F157" s="26" t="str">
        <f t="shared" si="0"/>
        <v>Q2 2015</v>
      </c>
      <c r="G157" s="2">
        <v>954.976</v>
      </c>
      <c r="H157" s="23">
        <v>1.6061624888283665E-2</v>
      </c>
    </row>
    <row r="158" spans="1:36" x14ac:dyDescent="0.25">
      <c r="E158" s="9">
        <v>42277</v>
      </c>
      <c r="F158" s="26" t="str">
        <f t="shared" si="0"/>
        <v>Q3 2015</v>
      </c>
      <c r="G158" s="2">
        <v>936.78899999999999</v>
      </c>
      <c r="H158" s="23">
        <v>-1.9044457661763214E-2</v>
      </c>
    </row>
    <row r="159" spans="1:36" x14ac:dyDescent="0.25">
      <c r="E159" s="9">
        <v>42369</v>
      </c>
      <c r="F159" s="26" t="str">
        <f t="shared" si="0"/>
        <v>Q4 2015</v>
      </c>
      <c r="G159" s="2">
        <v>1214.3800000000001</v>
      </c>
      <c r="H159" s="23">
        <v>0.29632179711760087</v>
      </c>
    </row>
    <row r="160" spans="1:36" x14ac:dyDescent="0.25">
      <c r="E160" s="9">
        <v>42460</v>
      </c>
      <c r="F160" s="26" t="str">
        <f t="shared" si="0"/>
        <v>Q1 2016</v>
      </c>
      <c r="G160" s="2">
        <v>1147.048</v>
      </c>
      <c r="H160" s="23">
        <v>-5.5445577166949422E-2</v>
      </c>
    </row>
    <row r="161" spans="5:8" x14ac:dyDescent="0.25">
      <c r="E161" s="9">
        <v>42551</v>
      </c>
      <c r="F161" s="26" t="str">
        <f t="shared" si="0"/>
        <v>Q2 2016</v>
      </c>
      <c r="G161" s="2">
        <v>1270.0170000000001</v>
      </c>
      <c r="H161" s="23">
        <v>0.10720475516281791</v>
      </c>
    </row>
    <row r="162" spans="5:8" x14ac:dyDescent="0.25">
      <c r="E162" s="9">
        <v>42643</v>
      </c>
      <c r="F162" s="26" t="str">
        <f t="shared" si="0"/>
        <v>Q3 2016</v>
      </c>
      <c r="G162" s="2">
        <v>2298.4360000000001</v>
      </c>
      <c r="H162" s="23">
        <v>0.80976790074463567</v>
      </c>
    </row>
    <row r="163" spans="5:8" x14ac:dyDescent="0.25">
      <c r="E163" s="9">
        <v>42735</v>
      </c>
      <c r="F163" s="26" t="str">
        <f t="shared" si="0"/>
        <v>Q4 2016</v>
      </c>
      <c r="G163" s="2">
        <v>2284.6309999999999</v>
      </c>
      <c r="H163" s="23">
        <v>-6.006258168598233E-3</v>
      </c>
    </row>
    <row r="164" spans="5:8" x14ac:dyDescent="0.25">
      <c r="E164" s="9">
        <v>42825</v>
      </c>
      <c r="F164" s="26" t="str">
        <f t="shared" si="0"/>
        <v>Q1 2017</v>
      </c>
      <c r="G164" s="2">
        <v>2696.27</v>
      </c>
      <c r="H164" s="23">
        <v>0.18017745535274621</v>
      </c>
    </row>
    <row r="165" spans="5:8" x14ac:dyDescent="0.25">
      <c r="E165" s="9">
        <v>42916</v>
      </c>
      <c r="F165" s="26" t="str">
        <f t="shared" ref="F165:F191" si="1">"Q" &amp; INT((MONTH(E165)-1)/3)+1 &amp; " " &amp; YEAR(E165)</f>
        <v>Q2 2017</v>
      </c>
      <c r="G165" s="2">
        <v>2789.5569999999998</v>
      </c>
      <c r="H165" s="23">
        <v>3.4598537980246702E-2</v>
      </c>
    </row>
    <row r="166" spans="5:8" x14ac:dyDescent="0.25">
      <c r="E166" s="9">
        <v>43008</v>
      </c>
      <c r="F166" s="26" t="str">
        <f t="shared" si="1"/>
        <v>Q3 2017</v>
      </c>
      <c r="G166" s="2">
        <v>2984.6750000000002</v>
      </c>
      <c r="H166" s="23">
        <v>6.9945873126091573E-2</v>
      </c>
    </row>
    <row r="167" spans="5:8" x14ac:dyDescent="0.25">
      <c r="E167" s="9">
        <v>43100</v>
      </c>
      <c r="F167" s="26" t="str">
        <f t="shared" si="1"/>
        <v>Q4 2017</v>
      </c>
      <c r="G167" s="2">
        <v>3288.4989999999998</v>
      </c>
      <c r="H167" s="23">
        <v>0.10179466776114632</v>
      </c>
    </row>
    <row r="168" spans="5:8" x14ac:dyDescent="0.25">
      <c r="E168" s="9">
        <v>43190</v>
      </c>
      <c r="F168" s="26" t="str">
        <f t="shared" si="1"/>
        <v>Q1 2018</v>
      </c>
      <c r="G168" s="2">
        <v>3408.7510000000002</v>
      </c>
      <c r="H168" s="23">
        <v>3.6567443079654316E-2</v>
      </c>
    </row>
    <row r="169" spans="5:8" x14ac:dyDescent="0.25">
      <c r="E169" s="9">
        <v>43281</v>
      </c>
      <c r="F169" s="26" t="str">
        <f t="shared" si="1"/>
        <v>Q2 2018</v>
      </c>
      <c r="G169" s="2">
        <v>4002.2310000000002</v>
      </c>
      <c r="H169" s="23">
        <v>0.17410482607852562</v>
      </c>
    </row>
    <row r="170" spans="5:8" x14ac:dyDescent="0.25">
      <c r="E170" s="9">
        <v>43373</v>
      </c>
      <c r="F170" s="26" t="str">
        <f t="shared" si="1"/>
        <v>Q3 2018</v>
      </c>
      <c r="G170" s="2">
        <v>6824</v>
      </c>
      <c r="H170" s="23">
        <v>0.70504900891527744</v>
      </c>
    </row>
    <row r="171" spans="5:8" x14ac:dyDescent="0.25">
      <c r="E171" s="9">
        <v>43465</v>
      </c>
      <c r="F171" s="26" t="str">
        <f t="shared" si="1"/>
        <v>Q4 2018</v>
      </c>
      <c r="G171" s="2">
        <v>7226.0190000000002</v>
      </c>
      <c r="H171" s="23">
        <v>5.8912514654161807E-2</v>
      </c>
    </row>
    <row r="172" spans="5:8" x14ac:dyDescent="0.25">
      <c r="E172" s="9">
        <v>43555</v>
      </c>
      <c r="F172" s="26" t="str">
        <f t="shared" si="1"/>
        <v>Q1 2019</v>
      </c>
      <c r="G172" s="2">
        <v>4541</v>
      </c>
      <c r="H172" s="23">
        <v>-0.37157652090314186</v>
      </c>
    </row>
    <row r="173" spans="5:8" x14ac:dyDescent="0.25">
      <c r="E173" s="9">
        <v>43646</v>
      </c>
      <c r="F173" s="26" t="str">
        <f t="shared" si="1"/>
        <v>Q2 2019</v>
      </c>
      <c r="G173" s="2">
        <v>6350</v>
      </c>
      <c r="H173" s="23">
        <v>0.39837040299493509</v>
      </c>
    </row>
    <row r="174" spans="5:8" x14ac:dyDescent="0.25">
      <c r="E174" s="9">
        <v>43738</v>
      </c>
      <c r="F174" s="26" t="str">
        <f t="shared" si="1"/>
        <v>Q3 2019</v>
      </c>
      <c r="G174" s="2">
        <v>6303</v>
      </c>
      <c r="H174" s="23">
        <v>-7.4015748031496242E-3</v>
      </c>
    </row>
    <row r="175" spans="5:8" x14ac:dyDescent="0.25">
      <c r="E175" s="9">
        <v>43830</v>
      </c>
      <c r="F175" s="26" t="str">
        <f t="shared" si="1"/>
        <v>Q4 2019</v>
      </c>
      <c r="G175" s="2">
        <v>7384</v>
      </c>
      <c r="H175" s="23">
        <v>0.17150563223861659</v>
      </c>
    </row>
    <row r="176" spans="5:8" x14ac:dyDescent="0.25">
      <c r="E176" s="9">
        <v>43921</v>
      </c>
      <c r="F176" s="26" t="str">
        <f t="shared" si="1"/>
        <v>Q1 2020</v>
      </c>
      <c r="G176" s="2">
        <v>5985</v>
      </c>
      <c r="H176" s="23">
        <v>-0.18946370530877576</v>
      </c>
    </row>
    <row r="177" spans="5:9" x14ac:dyDescent="0.25">
      <c r="E177" s="9">
        <v>44012</v>
      </c>
      <c r="F177" s="26" t="str">
        <f t="shared" si="1"/>
        <v>Q2 2020</v>
      </c>
      <c r="G177" s="2">
        <v>6036</v>
      </c>
      <c r="H177" s="23">
        <v>8.521303258145263E-3</v>
      </c>
    </row>
    <row r="178" spans="5:9" x14ac:dyDescent="0.25">
      <c r="E178" s="9">
        <v>44104</v>
      </c>
      <c r="F178" s="26" t="str">
        <f t="shared" si="1"/>
        <v>Q3 2020</v>
      </c>
      <c r="G178" s="2">
        <v>8771</v>
      </c>
      <c r="H178" s="23">
        <v>0.4531146454605699</v>
      </c>
    </row>
    <row r="179" spans="5:9" x14ac:dyDescent="0.25">
      <c r="E179" s="9">
        <v>44196</v>
      </c>
      <c r="F179" s="26" t="str">
        <f t="shared" si="1"/>
        <v>Q4 2020</v>
      </c>
      <c r="G179" s="2">
        <v>10744</v>
      </c>
      <c r="H179" s="23">
        <v>0.2249458442594916</v>
      </c>
    </row>
    <row r="180" spans="5:9" x14ac:dyDescent="0.25">
      <c r="E180" s="9">
        <v>44286</v>
      </c>
      <c r="F180" s="26" t="str">
        <f t="shared" si="1"/>
        <v>Q1 2021</v>
      </c>
      <c r="G180" s="2">
        <v>10389</v>
      </c>
      <c r="H180" s="23">
        <v>-3.3041697691734928E-2</v>
      </c>
    </row>
    <row r="181" spans="5:9" x14ac:dyDescent="0.25">
      <c r="E181" s="9">
        <v>44377</v>
      </c>
      <c r="F181" s="26" t="str">
        <f t="shared" si="1"/>
        <v>Q2 2021</v>
      </c>
      <c r="G181" s="2">
        <v>11958</v>
      </c>
      <c r="H181" s="23">
        <v>0.15102512272596025</v>
      </c>
    </row>
    <row r="182" spans="5:9" x14ac:dyDescent="0.25">
      <c r="E182" s="9">
        <v>44469</v>
      </c>
      <c r="F182" s="26" t="str">
        <f t="shared" si="1"/>
        <v>Q3 2021</v>
      </c>
      <c r="G182" s="2">
        <v>13757</v>
      </c>
      <c r="H182" s="23">
        <v>0.15044321792941973</v>
      </c>
    </row>
    <row r="183" spans="5:9" x14ac:dyDescent="0.25">
      <c r="E183" s="9">
        <v>44561</v>
      </c>
      <c r="F183" s="26" t="str">
        <f t="shared" si="1"/>
        <v>Q4 2021</v>
      </c>
      <c r="G183" s="2">
        <v>17719</v>
      </c>
      <c r="H183" s="23">
        <v>0.28799883695573159</v>
      </c>
    </row>
    <row r="184" spans="5:9" x14ac:dyDescent="0.25">
      <c r="E184" s="9">
        <v>44651</v>
      </c>
      <c r="F184" s="26" t="str">
        <f t="shared" si="1"/>
        <v>Q1 2022</v>
      </c>
      <c r="G184" s="2">
        <v>18756</v>
      </c>
      <c r="H184" s="23">
        <v>5.8524747446244252E-2</v>
      </c>
    </row>
    <row r="185" spans="5:9" x14ac:dyDescent="0.25">
      <c r="E185" s="9">
        <v>44742</v>
      </c>
      <c r="F185" s="26" t="str">
        <f t="shared" si="1"/>
        <v>Q2 2022</v>
      </c>
      <c r="G185" s="2">
        <v>16934</v>
      </c>
      <c r="H185" s="23">
        <v>-9.7142247814032801E-2</v>
      </c>
    </row>
    <row r="186" spans="5:9" x14ac:dyDescent="0.25">
      <c r="E186" s="9">
        <v>44834</v>
      </c>
      <c r="F186" s="26" t="str">
        <f t="shared" si="1"/>
        <v>Q3 2022</v>
      </c>
      <c r="G186" s="2">
        <v>21454</v>
      </c>
      <c r="H186" s="23">
        <v>0.26691862525097432</v>
      </c>
    </row>
    <row r="187" spans="5:9" x14ac:dyDescent="0.25">
      <c r="E187" s="9">
        <v>44926</v>
      </c>
      <c r="F187" s="26" t="str">
        <f t="shared" si="1"/>
        <v>Q4 2022</v>
      </c>
      <c r="G187" s="2">
        <v>24318</v>
      </c>
      <c r="H187" s="23">
        <v>0.133494919362357</v>
      </c>
    </row>
    <row r="188" spans="5:9" x14ac:dyDescent="0.25">
      <c r="E188" s="9">
        <v>45016</v>
      </c>
      <c r="F188" s="26" t="str">
        <f t="shared" si="1"/>
        <v>Q1 2023</v>
      </c>
      <c r="G188" s="2">
        <v>23329</v>
      </c>
      <c r="H188" s="23">
        <v>-4.0669462949255664E-2</v>
      </c>
    </row>
    <row r="189" spans="5:9" x14ac:dyDescent="0.25">
      <c r="E189" s="9">
        <v>45107</v>
      </c>
      <c r="F189" s="26" t="str">
        <f t="shared" si="1"/>
        <v>Q2 2023</v>
      </c>
      <c r="G189" s="2">
        <v>24927</v>
      </c>
      <c r="H189" s="23">
        <v>6.8498435423721471E-2</v>
      </c>
    </row>
    <row r="190" spans="5:9" x14ac:dyDescent="0.25">
      <c r="E190" s="9">
        <v>45199</v>
      </c>
      <c r="F190" s="9" t="str">
        <f t="shared" si="1"/>
        <v>Q3 2023</v>
      </c>
      <c r="G190" s="2">
        <v>23350</v>
      </c>
      <c r="H190" s="23">
        <v>-6.3264733020419572E-2</v>
      </c>
      <c r="I190" s="91"/>
    </row>
    <row r="191" spans="5:9" x14ac:dyDescent="0.25">
      <c r="E191" s="9">
        <v>45290</v>
      </c>
      <c r="F191" s="9" t="str">
        <f t="shared" si="1"/>
        <v>Q4 2023</v>
      </c>
      <c r="G191" s="165">
        <v>25167</v>
      </c>
      <c r="H191" s="23">
        <f>(G191/G190)-1</f>
        <v>7.7815845824411145E-2</v>
      </c>
    </row>
    <row r="205" spans="2:11" x14ac:dyDescent="0.25">
      <c r="B205" s="28"/>
      <c r="C205" s="35"/>
    </row>
    <row r="206" spans="2:11" x14ac:dyDescent="0.25">
      <c r="B206" s="28"/>
      <c r="C206" s="35"/>
    </row>
    <row r="207" spans="2:11" x14ac:dyDescent="0.25">
      <c r="B207" s="28"/>
      <c r="C207" s="35"/>
    </row>
    <row r="208" spans="2:11" x14ac:dyDescent="0.25">
      <c r="E208" s="27"/>
      <c r="F208" s="27"/>
      <c r="G208" s="28"/>
      <c r="H208" s="29"/>
      <c r="J208" s="28"/>
      <c r="K208" s="35"/>
    </row>
    <row r="209" spans="5:11" x14ac:dyDescent="0.25">
      <c r="E209" s="27"/>
      <c r="F209" s="27"/>
      <c r="G209" s="28"/>
      <c r="H209" s="29"/>
      <c r="J209" s="28"/>
      <c r="K209" s="35"/>
    </row>
    <row r="210" spans="5:11" x14ac:dyDescent="0.25">
      <c r="E210" s="27"/>
      <c r="F210" s="27"/>
      <c r="G210" s="28"/>
      <c r="H210" s="29"/>
      <c r="J210" s="28"/>
      <c r="K210" s="35"/>
    </row>
    <row r="211" spans="5:11" x14ac:dyDescent="0.25">
      <c r="E211" s="27"/>
      <c r="F211" s="27"/>
      <c r="G211" s="28"/>
      <c r="H211" s="29"/>
      <c r="J211" s="28"/>
      <c r="K211" s="35"/>
    </row>
    <row r="212" spans="5:11" x14ac:dyDescent="0.25">
      <c r="E212" s="27"/>
      <c r="F212" s="27"/>
      <c r="G212" s="28"/>
      <c r="H212" s="29"/>
    </row>
    <row r="213" spans="5:11" x14ac:dyDescent="0.25">
      <c r="E213" s="27"/>
      <c r="F213" s="27"/>
      <c r="G213" s="28"/>
      <c r="H213" s="29"/>
    </row>
    <row r="214" spans="5:11" x14ac:dyDescent="0.25">
      <c r="E214" s="27"/>
      <c r="F214" s="27"/>
      <c r="G214" s="28"/>
      <c r="H214" s="29"/>
    </row>
    <row r="215" spans="5:11" x14ac:dyDescent="0.25">
      <c r="E215" s="27"/>
      <c r="F215" s="27"/>
      <c r="G215" s="28"/>
      <c r="H215" s="29"/>
    </row>
    <row r="216" spans="5:11" x14ac:dyDescent="0.25">
      <c r="E216" s="27"/>
      <c r="F216" s="27"/>
      <c r="G216" s="28"/>
      <c r="H216" s="29"/>
    </row>
    <row r="217" spans="5:11" x14ac:dyDescent="0.25">
      <c r="E217" s="27"/>
      <c r="F217" s="27"/>
      <c r="G217" s="28"/>
      <c r="H217" s="29"/>
    </row>
    <row r="218" spans="5:11" x14ac:dyDescent="0.25">
      <c r="E218" s="27"/>
      <c r="F218" s="27"/>
      <c r="G218" s="28"/>
      <c r="H218" s="29"/>
    </row>
    <row r="219" spans="5:11" x14ac:dyDescent="0.25">
      <c r="E219" s="27"/>
      <c r="F219" s="27"/>
      <c r="G219" s="28"/>
      <c r="H219" s="29"/>
    </row>
    <row r="220" spans="5:11" x14ac:dyDescent="0.25">
      <c r="E220" s="27"/>
      <c r="F220" s="27"/>
      <c r="G220" s="28"/>
      <c r="H220" s="29"/>
    </row>
    <row r="221" spans="5:11" x14ac:dyDescent="0.25">
      <c r="E221" s="27"/>
      <c r="F221" s="27"/>
      <c r="G221" s="28"/>
      <c r="H221" s="29"/>
    </row>
    <row r="222" spans="5:11" x14ac:dyDescent="0.25">
      <c r="E222" s="27"/>
      <c r="F222" s="27"/>
      <c r="G222" s="28"/>
      <c r="H222" s="29"/>
    </row>
    <row r="223" spans="5:11" x14ac:dyDescent="0.25">
      <c r="E223" s="27"/>
      <c r="F223" s="27"/>
      <c r="G223" s="28"/>
      <c r="H223" s="29"/>
    </row>
    <row r="224" spans="5:11" x14ac:dyDescent="0.25">
      <c r="E224" s="27"/>
      <c r="F224" s="27"/>
      <c r="G224" s="28"/>
      <c r="H224" s="29"/>
    </row>
    <row r="225" spans="5:8" x14ac:dyDescent="0.25">
      <c r="E225" s="27"/>
      <c r="F225" s="27"/>
      <c r="G225" s="28"/>
      <c r="H225" s="29"/>
    </row>
    <row r="226" spans="5:8" x14ac:dyDescent="0.25">
      <c r="E226" s="27"/>
      <c r="F226" s="27"/>
      <c r="G226" s="28"/>
      <c r="H226" s="29"/>
    </row>
    <row r="227" spans="5:8" x14ac:dyDescent="0.25">
      <c r="E227" s="27"/>
      <c r="F227" s="27"/>
      <c r="G227" s="28"/>
      <c r="H227" s="29"/>
    </row>
    <row r="228" spans="5:8" x14ac:dyDescent="0.25">
      <c r="E228" s="27"/>
      <c r="F228" s="27"/>
      <c r="G228" s="28"/>
      <c r="H228" s="29"/>
    </row>
    <row r="229" spans="5:8" x14ac:dyDescent="0.25">
      <c r="E229" s="27"/>
      <c r="F229" s="27"/>
      <c r="G229" s="28"/>
      <c r="H229" s="29"/>
    </row>
    <row r="230" spans="5:8" x14ac:dyDescent="0.25">
      <c r="E230" s="27"/>
      <c r="F230" s="27"/>
      <c r="G230" s="28"/>
      <c r="H230" s="29"/>
    </row>
    <row r="231" spans="5:8" x14ac:dyDescent="0.25">
      <c r="E231" s="27"/>
      <c r="F231" s="27"/>
      <c r="G231" s="28"/>
      <c r="H231" s="29"/>
    </row>
    <row r="232" spans="5:8" x14ac:dyDescent="0.25">
      <c r="E232" s="27"/>
      <c r="F232" s="27"/>
      <c r="G232" s="28"/>
      <c r="H232" s="29"/>
    </row>
    <row r="233" spans="5:8" x14ac:dyDescent="0.25">
      <c r="E233" s="27"/>
      <c r="F233" s="27"/>
      <c r="G233" s="28"/>
      <c r="H233" s="29"/>
    </row>
    <row r="234" spans="5:8" x14ac:dyDescent="0.25">
      <c r="E234" s="27"/>
      <c r="F234" s="27"/>
      <c r="G234" s="28"/>
      <c r="H234" s="29"/>
    </row>
    <row r="235" spans="5:8" x14ac:dyDescent="0.25">
      <c r="E235" s="27"/>
      <c r="F235" s="27"/>
      <c r="G235" s="28"/>
      <c r="H235" s="29"/>
    </row>
    <row r="236" spans="5:8" x14ac:dyDescent="0.25">
      <c r="E236" s="27"/>
      <c r="F236" s="27"/>
      <c r="G236" s="28"/>
      <c r="H236" s="29"/>
    </row>
    <row r="237" spans="5:8" x14ac:dyDescent="0.25">
      <c r="E237" s="27"/>
      <c r="F237" s="27"/>
      <c r="G237" s="28"/>
      <c r="H237" s="29"/>
    </row>
    <row r="238" spans="5:8" x14ac:dyDescent="0.25">
      <c r="E238" s="27"/>
      <c r="F238" s="27"/>
      <c r="G238" s="28"/>
      <c r="H238" s="29"/>
    </row>
    <row r="239" spans="5:8" x14ac:dyDescent="0.25">
      <c r="E239" s="27"/>
      <c r="F239" s="27"/>
      <c r="G239" s="28"/>
      <c r="H239" s="29"/>
    </row>
    <row r="240" spans="5:8" x14ac:dyDescent="0.25">
      <c r="E240" s="27"/>
      <c r="F240" s="27"/>
      <c r="G240" s="28"/>
      <c r="H240" s="29"/>
    </row>
    <row r="241" spans="1:8" x14ac:dyDescent="0.25">
      <c r="E241" s="27"/>
      <c r="F241" s="27"/>
      <c r="G241" s="28"/>
      <c r="H241" s="29"/>
    </row>
    <row r="242" spans="1:8" x14ac:dyDescent="0.25">
      <c r="E242" s="27"/>
      <c r="F242" s="27"/>
      <c r="G242" s="28"/>
      <c r="H242" s="29"/>
    </row>
    <row r="243" spans="1:8" x14ac:dyDescent="0.25">
      <c r="E243" s="27"/>
      <c r="F243" s="27"/>
      <c r="G243" s="28"/>
      <c r="H243" s="29"/>
    </row>
    <row r="244" spans="1:8" x14ac:dyDescent="0.25">
      <c r="E244" s="27"/>
      <c r="F244" s="27"/>
      <c r="G244" s="28"/>
      <c r="H244" s="29"/>
    </row>
    <row r="245" spans="1:8" x14ac:dyDescent="0.25">
      <c r="E245" s="27"/>
      <c r="F245" s="27"/>
      <c r="G245" s="28"/>
      <c r="H245" s="29"/>
    </row>
    <row r="246" spans="1:8" x14ac:dyDescent="0.25">
      <c r="E246" s="27"/>
      <c r="F246" s="27"/>
      <c r="G246" s="28"/>
      <c r="H246" s="29"/>
    </row>
    <row r="247" spans="1:8" x14ac:dyDescent="0.25">
      <c r="E247" s="27"/>
      <c r="F247" s="27"/>
      <c r="G247" s="28"/>
      <c r="H247" s="29"/>
    </row>
    <row r="248" spans="1:8" x14ac:dyDescent="0.25">
      <c r="E248" s="27"/>
      <c r="F248" s="27"/>
      <c r="G248" s="28"/>
      <c r="H248" s="29"/>
    </row>
    <row r="249" spans="1:8" x14ac:dyDescent="0.25">
      <c r="E249" s="27"/>
      <c r="F249" s="27"/>
      <c r="G249" s="28"/>
      <c r="H249" s="29"/>
    </row>
    <row r="250" spans="1:8" x14ac:dyDescent="0.25">
      <c r="A250" s="34" t="s">
        <v>97</v>
      </c>
      <c r="B250" s="32" t="s">
        <v>0</v>
      </c>
      <c r="E250" s="27"/>
      <c r="F250" s="27"/>
      <c r="G250" s="28"/>
      <c r="H250" s="29"/>
    </row>
    <row r="251" spans="1:8" x14ac:dyDescent="0.25">
      <c r="A251" s="2">
        <v>2009</v>
      </c>
      <c r="B251" s="2" t="s">
        <v>262</v>
      </c>
      <c r="E251" s="27"/>
      <c r="F251" s="27"/>
      <c r="G251" s="28"/>
      <c r="H251" s="29"/>
    </row>
    <row r="252" spans="1:8" x14ac:dyDescent="0.25">
      <c r="A252" s="2">
        <v>2010</v>
      </c>
      <c r="B252" s="2" t="s">
        <v>262</v>
      </c>
      <c r="E252" s="27"/>
      <c r="F252" s="27"/>
      <c r="G252" s="28"/>
      <c r="H252" s="29"/>
    </row>
    <row r="253" spans="1:8" x14ac:dyDescent="0.25">
      <c r="A253" s="2">
        <v>2011</v>
      </c>
      <c r="B253" s="2" t="s">
        <v>263</v>
      </c>
      <c r="E253" s="27"/>
      <c r="F253" s="27"/>
      <c r="G253" s="28"/>
      <c r="H253" s="29"/>
    </row>
    <row r="254" spans="1:8" x14ac:dyDescent="0.25">
      <c r="A254" s="2">
        <v>2012</v>
      </c>
      <c r="B254" s="2" t="s">
        <v>264</v>
      </c>
      <c r="E254" s="27"/>
      <c r="F254" s="27"/>
      <c r="G254" s="28"/>
      <c r="H254" s="29"/>
    </row>
    <row r="255" spans="1:8" x14ac:dyDescent="0.25">
      <c r="A255" s="2">
        <v>2013</v>
      </c>
      <c r="B255" s="2" t="s">
        <v>253</v>
      </c>
      <c r="E255" s="27"/>
      <c r="F255" s="27"/>
      <c r="G255" s="28"/>
      <c r="H255" s="29"/>
    </row>
    <row r="256" spans="1:8" x14ac:dyDescent="0.25">
      <c r="A256" s="2">
        <v>2014</v>
      </c>
      <c r="B256" s="2" t="s">
        <v>254</v>
      </c>
    </row>
    <row r="257" spans="1:2" x14ac:dyDescent="0.25">
      <c r="A257" s="2">
        <v>2015</v>
      </c>
      <c r="B257" s="2" t="s">
        <v>255</v>
      </c>
    </row>
    <row r="258" spans="1:2" x14ac:dyDescent="0.25">
      <c r="A258" s="2">
        <v>2016</v>
      </c>
      <c r="B258" s="2" t="s">
        <v>256</v>
      </c>
    </row>
    <row r="259" spans="1:2" x14ac:dyDescent="0.25">
      <c r="A259" s="2">
        <v>2017</v>
      </c>
      <c r="B259" s="2" t="s">
        <v>257</v>
      </c>
    </row>
    <row r="260" spans="1:2" x14ac:dyDescent="0.25">
      <c r="A260" s="2">
        <v>2018</v>
      </c>
      <c r="B260" s="2" t="s">
        <v>258</v>
      </c>
    </row>
    <row r="261" spans="1:2" x14ac:dyDescent="0.25">
      <c r="A261" s="2">
        <v>2019</v>
      </c>
      <c r="B261" s="2" t="s">
        <v>259</v>
      </c>
    </row>
    <row r="262" spans="1:2" x14ac:dyDescent="0.25">
      <c r="A262" s="2">
        <v>2020</v>
      </c>
      <c r="B262" s="2" t="s">
        <v>260</v>
      </c>
    </row>
    <row r="263" spans="1:2" x14ac:dyDescent="0.25">
      <c r="A263" s="2">
        <v>2021</v>
      </c>
      <c r="B263" s="2" t="s">
        <v>261</v>
      </c>
    </row>
    <row r="264" spans="1:2" x14ac:dyDescent="0.25">
      <c r="A264" s="2">
        <v>2022</v>
      </c>
      <c r="B264" s="2" t="s">
        <v>265</v>
      </c>
    </row>
    <row r="265" spans="1:2" x14ac:dyDescent="0.25">
      <c r="A265" s="2">
        <v>2023</v>
      </c>
      <c r="B265" s="2" t="s">
        <v>266</v>
      </c>
    </row>
  </sheetData>
  <sortState xmlns:xlrd2="http://schemas.microsoft.com/office/spreadsheetml/2017/richdata2" ref="A133:C146">
    <sortCondition ref="A133:A146"/>
  </sortState>
  <mergeCells count="3">
    <mergeCell ref="J131:K131"/>
    <mergeCell ref="AL131:AN131"/>
    <mergeCell ref="AL132:AN1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2D2F-F321-413C-8575-A617FDECCACB}">
  <sheetPr>
    <tabColor rgb="FFFFFF00"/>
  </sheetPr>
  <dimension ref="A1:BF260"/>
  <sheetViews>
    <sheetView zoomScale="90" zoomScaleNormal="90" workbookViewId="0">
      <selection activeCell="AK13" sqref="AK13"/>
    </sheetView>
  </sheetViews>
  <sheetFormatPr defaultRowHeight="15" x14ac:dyDescent="0.25"/>
  <cols>
    <col min="6" max="6" width="9.42578125" bestFit="1" customWidth="1"/>
    <col min="7" max="7" width="11.42578125" bestFit="1" customWidth="1"/>
    <col min="8" max="8" width="11.140625" bestFit="1" customWidth="1"/>
    <col min="9" max="9" width="10.42578125" bestFit="1" customWidth="1"/>
    <col min="10" max="10" width="13.5703125" customWidth="1"/>
    <col min="11" max="14" width="9.28515625" bestFit="1" customWidth="1"/>
    <col min="15" max="15" width="10" bestFit="1" customWidth="1"/>
    <col min="24" max="24" width="9.7109375" customWidth="1"/>
    <col min="25" max="25" width="10.140625" customWidth="1"/>
    <col min="26" max="26" width="9.5703125" customWidth="1"/>
    <col min="27" max="27" width="11.28515625" customWidth="1"/>
  </cols>
  <sheetData>
    <row r="1" s="49" customFormat="1" x14ac:dyDescent="0.25"/>
    <row r="2" s="77" customFormat="1" x14ac:dyDescent="0.25"/>
    <row r="3" s="77" customFormat="1" x14ac:dyDescent="0.25"/>
    <row r="4" s="77" customFormat="1" x14ac:dyDescent="0.25"/>
    <row r="5" s="77" customFormat="1" x14ac:dyDescent="0.25"/>
    <row r="6" s="77" customFormat="1" x14ac:dyDescent="0.25"/>
    <row r="7" s="77" customFormat="1" x14ac:dyDescent="0.25"/>
    <row r="8" s="77" customFormat="1" x14ac:dyDescent="0.25"/>
    <row r="9" s="77" customFormat="1" x14ac:dyDescent="0.25"/>
    <row r="10" s="77" customFormat="1" x14ac:dyDescent="0.25"/>
    <row r="11" s="77" customFormat="1" x14ac:dyDescent="0.25"/>
    <row r="12" s="77" customFormat="1" x14ac:dyDescent="0.25"/>
    <row r="13" s="77" customFormat="1" x14ac:dyDescent="0.25"/>
    <row r="14" s="77" customFormat="1" x14ac:dyDescent="0.25"/>
    <row r="15" s="77" customFormat="1" x14ac:dyDescent="0.25"/>
    <row r="16" s="77" customFormat="1" x14ac:dyDescent="0.25"/>
    <row r="17" s="77" customFormat="1" x14ac:dyDescent="0.25"/>
    <row r="18" s="77" customFormat="1" x14ac:dyDescent="0.25"/>
    <row r="19" s="77" customFormat="1" x14ac:dyDescent="0.25"/>
    <row r="20" s="77" customFormat="1" x14ac:dyDescent="0.25"/>
    <row r="21" s="77" customFormat="1" x14ac:dyDescent="0.25"/>
    <row r="22" s="77" customFormat="1" x14ac:dyDescent="0.25"/>
    <row r="23" s="77" customFormat="1" x14ac:dyDescent="0.25"/>
    <row r="24" s="77" customFormat="1" x14ac:dyDescent="0.25"/>
    <row r="25" s="77" customFormat="1" x14ac:dyDescent="0.25"/>
    <row r="26" s="77" customFormat="1" x14ac:dyDescent="0.25"/>
    <row r="27" s="77" customFormat="1" x14ac:dyDescent="0.25"/>
    <row r="28" s="77" customFormat="1" x14ac:dyDescent="0.25"/>
    <row r="29" s="77" customFormat="1" x14ac:dyDescent="0.25"/>
    <row r="30" s="77" customFormat="1" x14ac:dyDescent="0.25"/>
    <row r="31" s="77" customFormat="1" x14ac:dyDescent="0.25"/>
    <row r="32" s="77" customFormat="1" x14ac:dyDescent="0.25"/>
    <row r="33" s="77" customFormat="1" x14ac:dyDescent="0.25"/>
    <row r="34" s="77" customFormat="1" x14ac:dyDescent="0.25"/>
    <row r="35" s="77" customFormat="1" x14ac:dyDescent="0.25"/>
    <row r="36" s="77" customFormat="1" x14ac:dyDescent="0.25"/>
    <row r="37" s="77" customFormat="1" x14ac:dyDescent="0.25"/>
    <row r="38" s="77" customFormat="1" x14ac:dyDescent="0.25"/>
    <row r="39" s="77" customFormat="1" x14ac:dyDescent="0.25"/>
    <row r="40" s="77" customFormat="1" x14ac:dyDescent="0.25"/>
    <row r="41" s="77" customFormat="1" x14ac:dyDescent="0.25"/>
    <row r="42" s="77" customFormat="1" x14ac:dyDescent="0.25"/>
    <row r="43" s="77" customFormat="1" x14ac:dyDescent="0.25"/>
    <row r="44" s="77" customFormat="1" x14ac:dyDescent="0.25"/>
    <row r="45" s="77" customFormat="1" x14ac:dyDescent="0.25"/>
    <row r="46" s="77" customFormat="1" x14ac:dyDescent="0.25"/>
    <row r="47" s="77" customFormat="1" x14ac:dyDescent="0.25"/>
    <row r="48" s="77" customFormat="1" x14ac:dyDescent="0.25"/>
    <row r="49" s="77" customFormat="1" x14ac:dyDescent="0.25"/>
    <row r="50" s="77" customFormat="1" x14ac:dyDescent="0.25"/>
    <row r="51" s="77" customFormat="1" x14ac:dyDescent="0.25"/>
    <row r="52" s="77" customFormat="1" x14ac:dyDescent="0.25"/>
    <row r="53" s="77" customFormat="1" x14ac:dyDescent="0.25"/>
    <row r="54" s="77" customFormat="1" x14ac:dyDescent="0.25"/>
    <row r="55" s="77" customFormat="1" x14ac:dyDescent="0.25"/>
    <row r="56" s="77" customFormat="1" x14ac:dyDescent="0.25"/>
    <row r="57" s="77" customFormat="1" x14ac:dyDescent="0.25"/>
    <row r="58" s="77" customFormat="1" x14ac:dyDescent="0.25"/>
    <row r="59" s="77" customFormat="1" x14ac:dyDescent="0.25"/>
    <row r="60" s="77" customFormat="1" x14ac:dyDescent="0.25"/>
    <row r="61" s="77" customFormat="1" x14ac:dyDescent="0.25"/>
    <row r="62" s="77" customFormat="1" x14ac:dyDescent="0.25"/>
    <row r="63" s="77" customFormat="1" x14ac:dyDescent="0.25"/>
    <row r="64" s="77" customFormat="1" x14ac:dyDescent="0.25"/>
    <row r="65" spans="1:58" s="77" customFormat="1" x14ac:dyDescent="0.25"/>
    <row r="66" spans="1:58" s="77" customFormat="1" x14ac:dyDescent="0.25"/>
    <row r="67" spans="1:58" s="77" customFormat="1" x14ac:dyDescent="0.25"/>
    <row r="68" spans="1:58" s="77" customFormat="1" x14ac:dyDescent="0.25"/>
    <row r="69" spans="1:58" s="77" customFormat="1" x14ac:dyDescent="0.25"/>
    <row r="70" spans="1:58" s="77" customFormat="1" x14ac:dyDescent="0.25"/>
    <row r="71" spans="1:58" s="77" customFormat="1" x14ac:dyDescent="0.25"/>
    <row r="77" spans="1:58" x14ac:dyDescent="0.25">
      <c r="A77" s="84" t="s">
        <v>136</v>
      </c>
      <c r="F77" t="s">
        <v>200</v>
      </c>
    </row>
    <row r="78" spans="1:58" x14ac:dyDescent="0.25">
      <c r="A78" s="46" t="s">
        <v>137</v>
      </c>
      <c r="F78" s="87"/>
      <c r="G78" s="87"/>
      <c r="H78" s="87"/>
      <c r="I78" s="87"/>
      <c r="J78" s="87"/>
      <c r="K78" s="87"/>
      <c r="L78" s="87"/>
      <c r="M78" s="87"/>
      <c r="N78" s="87"/>
    </row>
    <row r="79" spans="1:58" x14ac:dyDescent="0.25">
      <c r="F79" s="143" t="s">
        <v>202</v>
      </c>
      <c r="O79" s="87"/>
      <c r="P79" s="87"/>
      <c r="Q79" s="87"/>
      <c r="R79" s="87"/>
      <c r="S79" s="87"/>
    </row>
    <row r="80" spans="1:58" ht="38.25" x14ac:dyDescent="0.25">
      <c r="A80" s="85" t="s">
        <v>97</v>
      </c>
      <c r="B80" s="86" t="s">
        <v>93</v>
      </c>
      <c r="C80" s="80" t="s">
        <v>138</v>
      </c>
      <c r="F80" s="90" t="s">
        <v>97</v>
      </c>
      <c r="G80" s="80" t="s">
        <v>105</v>
      </c>
      <c r="H80" s="80" t="s">
        <v>7</v>
      </c>
      <c r="I80" s="80" t="s">
        <v>1</v>
      </c>
      <c r="J80" s="80" t="s">
        <v>18</v>
      </c>
      <c r="K80" s="80" t="s">
        <v>93</v>
      </c>
      <c r="L80" s="80" t="s">
        <v>48</v>
      </c>
      <c r="M80" s="80" t="s">
        <v>87</v>
      </c>
      <c r="N80" s="80" t="s">
        <v>94</v>
      </c>
      <c r="O80" s="28"/>
      <c r="P80" s="28"/>
      <c r="Q80" s="28"/>
      <c r="R80" s="28"/>
      <c r="S80" s="28"/>
      <c r="AX80" s="90" t="s">
        <v>97</v>
      </c>
      <c r="AY80" s="80" t="s">
        <v>105</v>
      </c>
      <c r="AZ80" s="80" t="s">
        <v>7</v>
      </c>
      <c r="BA80" s="80" t="s">
        <v>1</v>
      </c>
      <c r="BB80" s="80" t="s">
        <v>18</v>
      </c>
      <c r="BC80" s="80" t="s">
        <v>93</v>
      </c>
      <c r="BD80" s="80" t="s">
        <v>48</v>
      </c>
      <c r="BE80" s="80" t="s">
        <v>87</v>
      </c>
      <c r="BF80" s="80" t="s">
        <v>94</v>
      </c>
    </row>
    <row r="81" spans="1:58" x14ac:dyDescent="0.25">
      <c r="A81" s="82">
        <v>2009</v>
      </c>
      <c r="B81" s="82">
        <v>-0.88019999999999998</v>
      </c>
      <c r="C81" s="2">
        <v>0</v>
      </c>
      <c r="F81" s="36">
        <v>2009</v>
      </c>
      <c r="G81" s="2">
        <v>111.943</v>
      </c>
      <c r="H81" s="2">
        <v>-55.74</v>
      </c>
      <c r="I81" s="2">
        <v>102.408</v>
      </c>
      <c r="J81" s="2">
        <v>61.432000000000002</v>
      </c>
      <c r="K81" s="2">
        <v>-0.88019999999999998</v>
      </c>
      <c r="L81" s="2">
        <v>60.35</v>
      </c>
      <c r="M81" s="2">
        <v>21.9862</v>
      </c>
      <c r="N81" s="2">
        <v>-4.3E-3</v>
      </c>
      <c r="O81" s="28"/>
      <c r="P81" s="28"/>
      <c r="Q81" s="28"/>
      <c r="R81" s="28"/>
      <c r="S81" s="28"/>
      <c r="U81" s="2" t="s">
        <v>150</v>
      </c>
      <c r="V81" s="2"/>
      <c r="W81" s="2"/>
      <c r="X81" s="2"/>
      <c r="Y81" s="2"/>
      <c r="Z81" s="2"/>
      <c r="AA81" s="2"/>
      <c r="AB81" s="2"/>
      <c r="AD81" t="s">
        <v>163</v>
      </c>
      <c r="AX81" s="92">
        <v>2024</v>
      </c>
      <c r="AY81" s="93">
        <v>161610.91</v>
      </c>
      <c r="AZ81" s="93">
        <v>24748.35</v>
      </c>
      <c r="BA81" s="93">
        <v>124440.4007</v>
      </c>
      <c r="BB81" s="98">
        <v>9723.9936605831826</v>
      </c>
      <c r="BC81" s="98">
        <v>0.90289999999998827</v>
      </c>
      <c r="BD81" s="93">
        <v>132.5</v>
      </c>
      <c r="BE81" s="98">
        <v>62.788602679673069</v>
      </c>
      <c r="BF81" s="128">
        <v>0.46439230769229312</v>
      </c>
    </row>
    <row r="82" spans="1:58" ht="33.75" customHeight="1" x14ac:dyDescent="0.25">
      <c r="A82" s="82">
        <v>2010</v>
      </c>
      <c r="B82" s="82">
        <v>0.6593</v>
      </c>
      <c r="C82" s="2">
        <v>2.6998331563779767</v>
      </c>
      <c r="F82" s="36">
        <v>2010</v>
      </c>
      <c r="G82" s="2">
        <v>116.744</v>
      </c>
      <c r="H82" s="2">
        <v>-154.328</v>
      </c>
      <c r="I82" s="2">
        <v>86.013000000000005</v>
      </c>
      <c r="J82" s="2">
        <v>177.56899999999999</v>
      </c>
      <c r="K82" s="2">
        <v>0.6593</v>
      </c>
      <c r="L82" s="2">
        <v>29.931000000000001</v>
      </c>
      <c r="M82" s="2">
        <v>-74.537300000000002</v>
      </c>
      <c r="N82" s="2">
        <v>0.35070000000000001</v>
      </c>
      <c r="O82" s="28"/>
      <c r="P82" s="28"/>
      <c r="Q82" s="28"/>
      <c r="R82" s="28"/>
      <c r="S82" s="28"/>
      <c r="U82" s="94" t="s">
        <v>145</v>
      </c>
      <c r="V82" s="2" t="s">
        <v>142</v>
      </c>
      <c r="W82" s="95" t="s">
        <v>146</v>
      </c>
      <c r="X82" s="95" t="s">
        <v>147</v>
      </c>
      <c r="Y82" s="95" t="s">
        <v>149</v>
      </c>
      <c r="Z82" s="2" t="s">
        <v>143</v>
      </c>
      <c r="AA82" s="95" t="s">
        <v>144</v>
      </c>
      <c r="AB82" s="2" t="s">
        <v>148</v>
      </c>
      <c r="AC82" s="28"/>
      <c r="AD82" s="109" t="s">
        <v>97</v>
      </c>
      <c r="AE82" s="110" t="s">
        <v>105</v>
      </c>
      <c r="AF82" s="111" t="s">
        <v>158</v>
      </c>
      <c r="AG82" s="95" t="s">
        <v>156</v>
      </c>
      <c r="AH82" s="95" t="s">
        <v>157</v>
      </c>
      <c r="AI82" s="95" t="s">
        <v>165</v>
      </c>
      <c r="AJ82" s="95" t="s">
        <v>143</v>
      </c>
      <c r="AK82" s="28"/>
      <c r="AL82" s="28"/>
      <c r="AX82" s="92">
        <v>2025</v>
      </c>
      <c r="AY82" s="93">
        <v>269890.21970000002</v>
      </c>
      <c r="AZ82" s="93">
        <v>40834.777499999997</v>
      </c>
      <c r="BA82" s="93">
        <v>207815.46916900002</v>
      </c>
      <c r="BB82" s="98">
        <v>10142.7492014496</v>
      </c>
      <c r="BC82" s="98">
        <v>1.1276857142857182</v>
      </c>
      <c r="BD82" s="98">
        <v>66.25</v>
      </c>
      <c r="BE82" s="98">
        <v>104.76755684009829</v>
      </c>
      <c r="BF82" s="128">
        <v>1.6994505494494661E-2</v>
      </c>
    </row>
    <row r="83" spans="1:58" x14ac:dyDescent="0.25">
      <c r="A83" s="82">
        <v>2011</v>
      </c>
      <c r="B83" s="82">
        <v>1.35E-2</v>
      </c>
      <c r="C83" s="2">
        <v>140.74074074074073</v>
      </c>
      <c r="F83" s="36">
        <v>2011</v>
      </c>
      <c r="G83" s="2">
        <v>204.24199999999999</v>
      </c>
      <c r="H83" s="2">
        <v>-254.411</v>
      </c>
      <c r="I83" s="2">
        <v>142.64699999999999</v>
      </c>
      <c r="J83" s="2">
        <v>313.08300000000003</v>
      </c>
      <c r="K83" s="2">
        <v>1.35E-2</v>
      </c>
      <c r="L83" s="2">
        <v>155.708</v>
      </c>
      <c r="M83" s="2">
        <v>-113.5535</v>
      </c>
      <c r="N83" s="2">
        <v>1.2504</v>
      </c>
      <c r="O83" s="28"/>
      <c r="P83" s="28"/>
      <c r="Q83" s="28"/>
      <c r="R83" s="28"/>
      <c r="S83" s="28"/>
      <c r="U83" s="2">
        <v>2018</v>
      </c>
      <c r="V83" s="93">
        <v>21461</v>
      </c>
      <c r="W83" s="2">
        <f>FORECAST(U83,$G$81:G89,$F$81:F89)</f>
        <v>9682.6097222222015</v>
      </c>
      <c r="X83" s="2">
        <f>G89*(1+67%)</f>
        <v>19637.53</v>
      </c>
      <c r="Y83" s="2">
        <f>G89*(1+80%)</f>
        <v>21166.2</v>
      </c>
      <c r="Z83" s="2">
        <f>_xlfn.FORECAST.ETS(U83,G81:G89,F81:F89)</f>
        <v>13054.117633333333</v>
      </c>
      <c r="AA83" s="2">
        <v>13054.117633333333</v>
      </c>
      <c r="AB83" s="2">
        <v>29493.042131869122</v>
      </c>
      <c r="AC83" s="28"/>
      <c r="AD83" s="36">
        <v>2009</v>
      </c>
      <c r="AE83" s="2">
        <v>111.943</v>
      </c>
      <c r="AF83" s="93">
        <v>61.432000000000002</v>
      </c>
      <c r="AG83" s="2">
        <f>G81*(33/100)</f>
        <v>36.941189999999999</v>
      </c>
      <c r="AH83" s="2">
        <f>G81*(50/100)</f>
        <v>55.971499999999999</v>
      </c>
      <c r="AI83" s="2"/>
      <c r="AJ83" s="2"/>
      <c r="AK83" s="28"/>
      <c r="AL83" s="28"/>
      <c r="AX83" s="92">
        <v>2026</v>
      </c>
      <c r="AY83" s="93">
        <v>450716.666899</v>
      </c>
      <c r="AZ83" s="93">
        <v>67377.382874999996</v>
      </c>
      <c r="BA83" s="93">
        <v>347051.83351223002</v>
      </c>
      <c r="BB83" s="98">
        <v>10817.871433414588</v>
      </c>
      <c r="BC83" s="98">
        <v>1.2951178963893142</v>
      </c>
      <c r="BD83" s="98">
        <v>33.125</v>
      </c>
      <c r="BE83" s="98">
        <v>115.18551687468803</v>
      </c>
      <c r="BF83" s="128">
        <v>-0.40379032725519437</v>
      </c>
    </row>
    <row r="84" spans="1:58" x14ac:dyDescent="0.25">
      <c r="A84" s="82">
        <v>2012</v>
      </c>
      <c r="B84" s="82">
        <v>-0.105</v>
      </c>
      <c r="C84" s="2">
        <v>-21.523809523809522</v>
      </c>
      <c r="F84" s="36">
        <v>2012</v>
      </c>
      <c r="G84" s="2">
        <v>413.25599999999997</v>
      </c>
      <c r="H84" s="2">
        <v>-396.21300000000002</v>
      </c>
      <c r="I84" s="2">
        <v>383.18900000000002</v>
      </c>
      <c r="J84" s="2">
        <v>424.35</v>
      </c>
      <c r="K84" s="2">
        <v>-0.105</v>
      </c>
      <c r="L84" s="2">
        <v>-53.375999999999998</v>
      </c>
      <c r="M84" s="2">
        <v>-317.7328</v>
      </c>
      <c r="N84" s="2">
        <v>3.7423000000000002</v>
      </c>
      <c r="O84" s="28"/>
      <c r="P84" s="28"/>
      <c r="Q84" s="28"/>
      <c r="R84" s="28"/>
      <c r="S84" s="28"/>
      <c r="U84" s="2">
        <v>2019</v>
      </c>
      <c r="V84" s="93">
        <v>24578</v>
      </c>
      <c r="W84" s="2">
        <f>FORECAST(U84,$G$81:G90,$F$81:F90)</f>
        <v>15689.083466666751</v>
      </c>
      <c r="X84" s="2">
        <f>G90*(1+67%)</f>
        <v>35839.869999999995</v>
      </c>
      <c r="Y84" s="2">
        <f>G90*(1+80%)</f>
        <v>38629.800000000003</v>
      </c>
      <c r="Z84" s="2">
        <f>_xlfn.FORECAST.ETS(U84,G82:G90,F82:F90)</f>
        <v>23715.126316666665</v>
      </c>
      <c r="AA84" s="2">
        <v>14349.235266666667</v>
      </c>
      <c r="AB84" s="2">
        <v>34383.882013188675</v>
      </c>
      <c r="AC84" s="28"/>
      <c r="AD84" s="36">
        <v>2010</v>
      </c>
      <c r="AE84" s="2">
        <v>116.744</v>
      </c>
      <c r="AF84" s="93">
        <v>177.56899999999999</v>
      </c>
      <c r="AG84" s="2">
        <f t="shared" ref="AG84:AG95" si="0">G82*(33/100)</f>
        <v>38.52552</v>
      </c>
      <c r="AH84" s="2">
        <f t="shared" ref="AH84:AH96" si="1">G82*(50/100)</f>
        <v>58.372</v>
      </c>
      <c r="AI84" s="2">
        <f>AF83*(1+33%)</f>
        <v>81.704560000000001</v>
      </c>
      <c r="AJ84" s="2"/>
      <c r="AL84" s="2" t="s">
        <v>141</v>
      </c>
      <c r="AM84" s="23">
        <f>MEDIAN(Table2[Operating Expenses % of Revenue])</f>
        <v>0.32379346560893429</v>
      </c>
      <c r="AX84" s="92">
        <v>2027</v>
      </c>
      <c r="AY84" s="93">
        <v>752696.83372132992</v>
      </c>
      <c r="AZ84" s="93">
        <v>111172.68174374998</v>
      </c>
      <c r="BA84" s="93">
        <v>579576.5619654241</v>
      </c>
      <c r="BB84" s="98">
        <v>11736.65716672208</v>
      </c>
      <c r="BC84" s="98">
        <v>1.4528212827988227</v>
      </c>
      <c r="BD84" s="98">
        <v>16.5625</v>
      </c>
      <c r="BE84" s="98">
        <v>138.14290936794339</v>
      </c>
      <c r="BF84" s="128">
        <v>-0.46600141459799715</v>
      </c>
    </row>
    <row r="85" spans="1:58" x14ac:dyDescent="0.25">
      <c r="A85" s="82">
        <v>2013</v>
      </c>
      <c r="B85" s="82">
        <v>0.31269999999999998</v>
      </c>
      <c r="C85" s="2">
        <v>32.075471698113205</v>
      </c>
      <c r="F85" s="36">
        <v>2013</v>
      </c>
      <c r="G85" s="2">
        <v>2013.4960000000001</v>
      </c>
      <c r="H85" s="2">
        <v>-74.013999999999996</v>
      </c>
      <c r="I85" s="2">
        <v>1557.2339999999999</v>
      </c>
      <c r="J85" s="2">
        <v>517.54499999999996</v>
      </c>
      <c r="K85" s="2">
        <v>0.31269999999999998</v>
      </c>
      <c r="L85" s="2">
        <v>643.99900000000002</v>
      </c>
      <c r="M85" s="2">
        <v>-11.0946</v>
      </c>
      <c r="N85" s="2">
        <v>0.90969999999999995</v>
      </c>
      <c r="O85" s="28"/>
      <c r="P85" s="28"/>
      <c r="Q85" s="28"/>
      <c r="R85" s="28"/>
      <c r="S85" s="28"/>
      <c r="U85" s="2">
        <v>2020</v>
      </c>
      <c r="V85" s="93">
        <v>31536</v>
      </c>
      <c r="W85" s="2">
        <f>FORECAST(U85,$G$81:G91,$F$81:F91)</f>
        <v>20858.992036364041</v>
      </c>
      <c r="X85" s="2">
        <f>G91*(1+67%)</f>
        <v>41045.259999999995</v>
      </c>
      <c r="Y85" s="2">
        <f>G91*(1+80%)</f>
        <v>44240.4</v>
      </c>
      <c r="Z85" s="2">
        <f>_xlfn.FORECAST.ETS(U85,G83:G91,F83:F91)</f>
        <v>27900.891859516203</v>
      </c>
      <c r="AA85" s="2">
        <v>15644.352899999998</v>
      </c>
      <c r="AB85" s="2">
        <v>39274.721894506365</v>
      </c>
      <c r="AC85" s="28"/>
      <c r="AD85" s="36">
        <v>2011</v>
      </c>
      <c r="AE85" s="2">
        <v>204.24199999999999</v>
      </c>
      <c r="AF85" s="93">
        <v>313.08300000000003</v>
      </c>
      <c r="AG85" s="2">
        <f t="shared" si="0"/>
        <v>67.399860000000004</v>
      </c>
      <c r="AH85" s="2">
        <f t="shared" si="1"/>
        <v>102.121</v>
      </c>
      <c r="AI85" s="2">
        <f t="shared" ref="AI85:AI96" si="2">AF84*(1+33%)</f>
        <v>236.16676999999999</v>
      </c>
      <c r="AJ85" s="2"/>
      <c r="AL85" s="2" t="s">
        <v>152</v>
      </c>
      <c r="AM85" s="23">
        <f>AVERAGE(Table2[Operating Expenses % of Revenue])</f>
        <v>0.47399709633796339</v>
      </c>
      <c r="AX85" s="92">
        <v>2028</v>
      </c>
      <c r="AY85" s="93">
        <v>1257003.7123146208</v>
      </c>
      <c r="AZ85" s="93">
        <v>183434.92487718747</v>
      </c>
      <c r="BA85" s="93">
        <v>967892.85848225805</v>
      </c>
      <c r="BB85" s="98">
        <v>12659.301652130824</v>
      </c>
      <c r="BC85" s="98">
        <v>1.6828668050047781</v>
      </c>
      <c r="BD85" s="98">
        <v>8.28125</v>
      </c>
      <c r="BE85" s="98">
        <v>165.10238584083052</v>
      </c>
      <c r="BF85" s="128">
        <v>-0.90734236226114717</v>
      </c>
    </row>
    <row r="86" spans="1:58" x14ac:dyDescent="0.25">
      <c r="A86" s="82">
        <v>2014</v>
      </c>
      <c r="B86" s="82">
        <v>-0.55020000000000002</v>
      </c>
      <c r="C86" s="2">
        <v>-26.953834969102143</v>
      </c>
      <c r="F86" s="36">
        <v>2014</v>
      </c>
      <c r="G86" s="2">
        <v>3198.3560000000002</v>
      </c>
      <c r="H86" s="2">
        <v>-294.04000000000002</v>
      </c>
      <c r="I86" s="2">
        <v>2316.6849999999999</v>
      </c>
      <c r="J86" s="2">
        <v>1068.3599999999999</v>
      </c>
      <c r="K86" s="2">
        <v>-0.55020000000000002</v>
      </c>
      <c r="L86" s="2">
        <v>1059.8240000000001</v>
      </c>
      <c r="M86" s="2">
        <v>-32.2515</v>
      </c>
      <c r="N86" s="2">
        <v>2.7290000000000001</v>
      </c>
      <c r="O86" s="28"/>
      <c r="P86" s="28"/>
      <c r="Q86" s="28"/>
      <c r="R86" s="28"/>
      <c r="S86" s="28"/>
      <c r="U86" s="2">
        <v>2021</v>
      </c>
      <c r="V86" s="93">
        <v>53823</v>
      </c>
      <c r="W86" s="2">
        <f>FORECAST(U86,$G$81:G92,$F$81:F92)</f>
        <v>26759.61163636297</v>
      </c>
      <c r="X86" s="2">
        <f>G92*(1+67%)</f>
        <v>52665.119999999995</v>
      </c>
      <c r="Y86" s="2">
        <f>G92*(1+80%)</f>
        <v>56764.800000000003</v>
      </c>
      <c r="Z86" s="2">
        <f>_xlfn.FORECAST.ETS(U86,G84:G92,F84:F92)</f>
        <v>35175.872426767259</v>
      </c>
      <c r="AA86" s="2">
        <v>16939.470533333333</v>
      </c>
      <c r="AB86" s="2">
        <v>44165.561775825918</v>
      </c>
      <c r="AC86" s="28"/>
      <c r="AD86" s="36">
        <v>2012</v>
      </c>
      <c r="AE86" s="2">
        <v>413.25599999999997</v>
      </c>
      <c r="AF86" s="93">
        <v>424.35</v>
      </c>
      <c r="AG86" s="2">
        <f t="shared" si="0"/>
        <v>136.37448000000001</v>
      </c>
      <c r="AH86" s="2">
        <f t="shared" si="1"/>
        <v>206.62799999999999</v>
      </c>
      <c r="AI86" s="2">
        <f t="shared" si="2"/>
        <v>416.40039000000007</v>
      </c>
      <c r="AJ86" s="2"/>
      <c r="AL86" s="97" t="s">
        <v>159</v>
      </c>
      <c r="AM86" s="23">
        <f>_xlfn.QUARTILE.INC(Table2[Operating Expenses % of Revenue],3)</f>
        <v>0.47707400777758979</v>
      </c>
    </row>
    <row r="87" spans="1:58" x14ac:dyDescent="0.25">
      <c r="A87" s="82">
        <v>2015</v>
      </c>
      <c r="B87" s="82">
        <v>-0.57299999999999995</v>
      </c>
      <c r="C87" s="2">
        <v>-27.923211169284471</v>
      </c>
      <c r="F87" s="36">
        <v>2015</v>
      </c>
      <c r="G87" s="2">
        <v>4046.0250000000001</v>
      </c>
      <c r="H87" s="2">
        <v>-888.66300000000001</v>
      </c>
      <c r="I87" s="2">
        <v>3122.5219999999999</v>
      </c>
      <c r="J87" s="2">
        <v>1640.1320000000001</v>
      </c>
      <c r="K87" s="2">
        <v>-0.57299999999999995</v>
      </c>
      <c r="L87" s="2">
        <v>-708.80499999999995</v>
      </c>
      <c r="M87" s="2">
        <v>-82.002399999999994</v>
      </c>
      <c r="N87" s="2">
        <v>2.488</v>
      </c>
      <c r="O87" s="28"/>
      <c r="P87" s="28"/>
      <c r="Q87" s="28"/>
      <c r="R87" s="28"/>
      <c r="S87" s="28"/>
      <c r="U87" s="2">
        <v>2022</v>
      </c>
      <c r="V87" s="93">
        <v>81462</v>
      </c>
      <c r="W87" s="2">
        <f>FORECAST(U87,$G$81:G93,$F$81:F93)</f>
        <v>37839.079153846018</v>
      </c>
      <c r="X87" s="2">
        <f>G93*(1+67%)</f>
        <v>89884.409999999989</v>
      </c>
      <c r="Y87" s="2">
        <f>G93*(1+80%)</f>
        <v>96881.400000000009</v>
      </c>
      <c r="Z87" s="2">
        <f>_xlfn.FORECAST.ETS(U87,G85:G93,F85:F93)</f>
        <v>59619.262766666667</v>
      </c>
      <c r="AA87" s="2">
        <v>18234.588166666665</v>
      </c>
      <c r="AB87" s="2">
        <v>49056.401657143608</v>
      </c>
      <c r="AC87" s="28"/>
      <c r="AD87" s="36">
        <v>2013</v>
      </c>
      <c r="AE87" s="2">
        <v>2013.4960000000001</v>
      </c>
      <c r="AF87" s="93">
        <v>517.54499999999996</v>
      </c>
      <c r="AG87" s="2">
        <f t="shared" si="0"/>
        <v>664.45368000000008</v>
      </c>
      <c r="AH87" s="2">
        <f t="shared" si="1"/>
        <v>1006.748</v>
      </c>
      <c r="AI87" s="2">
        <f t="shared" si="2"/>
        <v>564.38550000000009</v>
      </c>
      <c r="AJ87" s="2"/>
      <c r="AK87" s="28"/>
      <c r="AL87" s="28"/>
    </row>
    <row r="88" spans="1:58" x14ac:dyDescent="0.25">
      <c r="A88" s="82">
        <v>2016</v>
      </c>
      <c r="B88" s="82">
        <v>0.47360000000000002</v>
      </c>
      <c r="C88" s="2">
        <v>30.088682432432432</v>
      </c>
      <c r="F88" s="36">
        <v>2016</v>
      </c>
      <c r="G88" s="2">
        <v>7000.1319999999996</v>
      </c>
      <c r="H88" s="2">
        <v>-674.91399999999999</v>
      </c>
      <c r="I88" s="2">
        <v>5400.875</v>
      </c>
      <c r="J88" s="2">
        <v>2266.5970000000002</v>
      </c>
      <c r="K88" s="2">
        <v>0.47360000000000002</v>
      </c>
      <c r="L88" s="2">
        <v>2532.509</v>
      </c>
      <c r="M88" s="2">
        <v>-13.9587</v>
      </c>
      <c r="N88" s="2">
        <v>1.2693000000000001</v>
      </c>
      <c r="O88" s="28"/>
      <c r="P88" s="28"/>
      <c r="Q88" s="28"/>
      <c r="R88" s="28"/>
      <c r="S88" s="28"/>
      <c r="AD88" s="36">
        <v>2014</v>
      </c>
      <c r="AE88" s="2">
        <v>3198.3560000000002</v>
      </c>
      <c r="AF88" s="93">
        <v>1068.3599999999999</v>
      </c>
      <c r="AG88" s="2">
        <f t="shared" si="0"/>
        <v>1055.45748</v>
      </c>
      <c r="AH88" s="2">
        <f t="shared" si="1"/>
        <v>1599.1780000000001</v>
      </c>
      <c r="AI88" s="2">
        <f t="shared" si="2"/>
        <v>688.33484999999996</v>
      </c>
      <c r="AJ88" s="2"/>
      <c r="AK88" s="28"/>
      <c r="AL88" s="28"/>
    </row>
    <row r="89" spans="1:58" x14ac:dyDescent="0.25">
      <c r="A89" s="82">
        <v>2017</v>
      </c>
      <c r="B89" s="82">
        <v>-0.74670000000000003</v>
      </c>
      <c r="C89" s="2">
        <v>-27.802330253113702</v>
      </c>
      <c r="F89" s="36">
        <v>2017</v>
      </c>
      <c r="G89" s="2">
        <v>11759</v>
      </c>
      <c r="H89" s="2">
        <v>-1962</v>
      </c>
      <c r="I89" s="2">
        <v>9536</v>
      </c>
      <c r="J89" s="2">
        <v>3855</v>
      </c>
      <c r="K89" s="2">
        <v>-0.74670000000000003</v>
      </c>
      <c r="L89" s="2">
        <v>198</v>
      </c>
      <c r="M89" s="2">
        <v>-42.811399999999999</v>
      </c>
      <c r="N89" s="2">
        <v>1.9704999999999999</v>
      </c>
      <c r="O89" s="28"/>
      <c r="P89" s="28"/>
      <c r="Q89" s="28"/>
      <c r="R89" s="28"/>
      <c r="S89" s="28"/>
      <c r="AD89" s="36">
        <v>2015</v>
      </c>
      <c r="AE89" s="2">
        <v>4046.0250000000001</v>
      </c>
      <c r="AF89" s="93">
        <v>1640.1320000000001</v>
      </c>
      <c r="AG89" s="2">
        <f t="shared" si="0"/>
        <v>1335.1882500000002</v>
      </c>
      <c r="AH89" s="2">
        <f t="shared" si="1"/>
        <v>2023.0125</v>
      </c>
      <c r="AI89" s="2">
        <f t="shared" si="2"/>
        <v>1420.9187999999999</v>
      </c>
      <c r="AJ89" s="2"/>
      <c r="AK89" s="28"/>
      <c r="AL89" s="28"/>
      <c r="AX89" s="157"/>
      <c r="AY89" s="33"/>
      <c r="AZ89" s="33"/>
      <c r="BA89" s="33"/>
      <c r="BB89" s="33"/>
    </row>
    <row r="90" spans="1:58" x14ac:dyDescent="0.25">
      <c r="A90" s="82">
        <v>2018</v>
      </c>
      <c r="B90" s="82">
        <v>1.3948</v>
      </c>
      <c r="C90" s="2">
        <v>15.90909090909091</v>
      </c>
      <c r="F90" s="36">
        <v>2018</v>
      </c>
      <c r="G90" s="2">
        <v>21461</v>
      </c>
      <c r="H90" s="2">
        <v>-976</v>
      </c>
      <c r="I90" s="2">
        <v>17419</v>
      </c>
      <c r="J90" s="2">
        <v>4430</v>
      </c>
      <c r="K90" s="2">
        <v>1.3948</v>
      </c>
      <c r="L90" s="2">
        <v>312</v>
      </c>
      <c r="M90" s="2">
        <v>-18.464500000000001</v>
      </c>
      <c r="N90" s="2">
        <v>2.0796000000000001</v>
      </c>
      <c r="O90" s="28"/>
      <c r="P90" s="28"/>
      <c r="Q90" s="28"/>
      <c r="R90" s="28"/>
      <c r="S90" s="28"/>
      <c r="U90" s="1" t="s">
        <v>153</v>
      </c>
      <c r="V90" s="1"/>
      <c r="W90" s="1"/>
      <c r="X90" s="1"/>
      <c r="Z90" s="2" t="s">
        <v>151</v>
      </c>
      <c r="AA90" s="2"/>
      <c r="AD90" s="36">
        <v>2016</v>
      </c>
      <c r="AE90" s="2">
        <v>7000.1319999999996</v>
      </c>
      <c r="AF90" s="93">
        <v>2266.5970000000002</v>
      </c>
      <c r="AG90" s="2">
        <f t="shared" si="0"/>
        <v>2310.0435600000001</v>
      </c>
      <c r="AH90" s="2">
        <f t="shared" si="1"/>
        <v>3500.0659999999998</v>
      </c>
      <c r="AI90" s="2">
        <f t="shared" si="2"/>
        <v>2181.3755600000004</v>
      </c>
      <c r="AJ90" s="2"/>
      <c r="AK90" s="28"/>
      <c r="AL90" s="28"/>
      <c r="AX90" s="142"/>
      <c r="AY90" s="145"/>
      <c r="AZ90" s="144"/>
      <c r="BA90" s="144"/>
      <c r="BB90" s="145"/>
    </row>
    <row r="91" spans="1:58" ht="24" x14ac:dyDescent="0.25">
      <c r="A91" s="82">
        <v>2019</v>
      </c>
      <c r="B91" s="82">
        <v>0.40629999999999999</v>
      </c>
      <c r="C91" s="2">
        <v>68.643859217327105</v>
      </c>
      <c r="F91" s="36">
        <v>2019</v>
      </c>
      <c r="G91" s="2">
        <v>24578</v>
      </c>
      <c r="H91" s="2">
        <v>-862</v>
      </c>
      <c r="I91" s="2">
        <v>20509</v>
      </c>
      <c r="J91" s="2">
        <v>4138</v>
      </c>
      <c r="K91" s="2">
        <v>0.40629999999999999</v>
      </c>
      <c r="L91" s="2">
        <v>2506</v>
      </c>
      <c r="M91" s="2">
        <v>-10.379</v>
      </c>
      <c r="N91" s="2">
        <v>1.7970999999999999</v>
      </c>
      <c r="O91" s="28"/>
      <c r="P91" s="28"/>
      <c r="Q91" s="28"/>
      <c r="R91" s="28"/>
      <c r="S91" s="28"/>
      <c r="U91" s="36" t="s">
        <v>97</v>
      </c>
      <c r="V91" s="93" t="s">
        <v>176</v>
      </c>
      <c r="W91" s="2" t="s">
        <v>141</v>
      </c>
      <c r="X91" s="2" t="s">
        <v>152</v>
      </c>
      <c r="Z91" s="2" t="s">
        <v>141</v>
      </c>
      <c r="AA91" s="23">
        <v>0.61475146551031878</v>
      </c>
      <c r="AD91" s="36">
        <v>2017</v>
      </c>
      <c r="AE91" s="2">
        <v>11759</v>
      </c>
      <c r="AF91" s="93">
        <v>3855</v>
      </c>
      <c r="AG91" s="2">
        <f t="shared" si="0"/>
        <v>3880.4700000000003</v>
      </c>
      <c r="AH91" s="2">
        <f t="shared" si="1"/>
        <v>5879.5</v>
      </c>
      <c r="AI91" s="2">
        <f t="shared" si="2"/>
        <v>3014.5740100000003</v>
      </c>
      <c r="AJ91" s="2"/>
      <c r="AK91" s="28"/>
      <c r="AL91" s="28"/>
      <c r="AX91" s="90" t="s">
        <v>97</v>
      </c>
      <c r="AY91" s="80" t="s">
        <v>105</v>
      </c>
      <c r="AZ91" s="80" t="s">
        <v>7</v>
      </c>
      <c r="BA91" s="80" t="s">
        <v>1</v>
      </c>
      <c r="BB91" s="80" t="s">
        <v>18</v>
      </c>
    </row>
    <row r="92" spans="1:58" x14ac:dyDescent="0.25">
      <c r="A92" s="82">
        <v>2020</v>
      </c>
      <c r="B92" s="82">
        <v>0.45240000000000002</v>
      </c>
      <c r="C92" s="2">
        <v>519.9381078691423</v>
      </c>
      <c r="F92" s="36">
        <v>2020</v>
      </c>
      <c r="G92" s="2">
        <v>31536</v>
      </c>
      <c r="H92" s="2">
        <v>690</v>
      </c>
      <c r="I92" s="2">
        <v>24906</v>
      </c>
      <c r="J92" s="2">
        <v>4636</v>
      </c>
      <c r="K92" s="2">
        <v>0.45240000000000002</v>
      </c>
      <c r="L92" s="2">
        <v>13118</v>
      </c>
      <c r="M92" s="2">
        <v>3.7355999999999998</v>
      </c>
      <c r="N92" s="2">
        <v>0.50870000000000004</v>
      </c>
      <c r="O92" s="28"/>
      <c r="P92" s="28"/>
      <c r="Q92" s="28"/>
      <c r="R92" s="28"/>
      <c r="S92" s="28"/>
      <c r="U92" s="36">
        <v>2009</v>
      </c>
      <c r="V92" s="93">
        <v>102.408</v>
      </c>
      <c r="W92" s="2">
        <f t="shared" ref="W92:W105" si="3">G81*(77/100)</f>
        <v>86.196110000000004</v>
      </c>
      <c r="X92" s="2">
        <f t="shared" ref="X92:X105" si="4">G81*(79/100)</f>
        <v>88.434970000000007</v>
      </c>
      <c r="Z92" s="2" t="s">
        <v>152</v>
      </c>
      <c r="AA92" s="23">
        <v>0.76304328047778813</v>
      </c>
      <c r="AD92" s="36">
        <v>2018</v>
      </c>
      <c r="AE92" s="2">
        <v>21461</v>
      </c>
      <c r="AF92" s="93">
        <v>4430</v>
      </c>
      <c r="AG92" s="2">
        <f t="shared" si="0"/>
        <v>7082.13</v>
      </c>
      <c r="AH92" s="2">
        <f t="shared" si="1"/>
        <v>10730.5</v>
      </c>
      <c r="AI92" s="2">
        <f t="shared" si="2"/>
        <v>5127.1500000000005</v>
      </c>
      <c r="AJ92" s="2">
        <f>_xlfn.FORECAST.ETS(AD92,AF83:AF91,AD83:AD91)</f>
        <v>4267.3244000000004</v>
      </c>
      <c r="AK92" s="28"/>
      <c r="AL92" s="28"/>
      <c r="AX92" s="92">
        <v>2024</v>
      </c>
      <c r="AY92" s="128" t="s">
        <v>211</v>
      </c>
      <c r="AZ92" s="98" t="s">
        <v>216</v>
      </c>
      <c r="BA92" s="98" t="s">
        <v>221</v>
      </c>
      <c r="BB92" s="128" t="s">
        <v>226</v>
      </c>
    </row>
    <row r="93" spans="1:58" x14ac:dyDescent="0.25">
      <c r="A93" s="82">
        <v>2021</v>
      </c>
      <c r="B93" s="82">
        <v>0.26090000000000002</v>
      </c>
      <c r="C93" s="2">
        <v>1350.1724798773475</v>
      </c>
      <c r="F93" s="36">
        <v>2021</v>
      </c>
      <c r="G93" s="2">
        <v>53823</v>
      </c>
      <c r="H93" s="2">
        <v>5524</v>
      </c>
      <c r="I93" s="2">
        <v>40217</v>
      </c>
      <c r="J93" s="2">
        <v>7083</v>
      </c>
      <c r="K93" s="2">
        <v>0.26090000000000002</v>
      </c>
      <c r="L93" s="2">
        <v>-1757</v>
      </c>
      <c r="M93" s="2">
        <v>18.197700000000001</v>
      </c>
      <c r="N93" s="2">
        <v>0.2203</v>
      </c>
      <c r="O93" s="28"/>
      <c r="P93" s="28"/>
      <c r="Q93" s="28"/>
      <c r="R93" s="28"/>
      <c r="S93" s="28"/>
      <c r="U93" s="36">
        <v>2010</v>
      </c>
      <c r="V93" s="93">
        <v>86.013000000000005</v>
      </c>
      <c r="W93" s="2">
        <f t="shared" si="3"/>
        <v>89.892880000000005</v>
      </c>
      <c r="X93" s="2">
        <f t="shared" si="4"/>
        <v>92.227760000000004</v>
      </c>
      <c r="Z93" s="2" t="s">
        <v>159</v>
      </c>
      <c r="AA93" s="23">
        <v>0.76563982687990373</v>
      </c>
      <c r="AD93" s="36">
        <v>2019</v>
      </c>
      <c r="AE93" s="2">
        <v>24578</v>
      </c>
      <c r="AF93" s="93">
        <v>4138</v>
      </c>
      <c r="AG93" s="2">
        <f t="shared" si="0"/>
        <v>8110.7400000000007</v>
      </c>
      <c r="AH93" s="2">
        <f t="shared" si="1"/>
        <v>12289</v>
      </c>
      <c r="AI93" s="2">
        <f t="shared" si="2"/>
        <v>5891.9000000000005</v>
      </c>
      <c r="AJ93" s="2">
        <f>_xlfn.FORECAST.ETS(AD93,AF84:AF92,AD84:AD92)</f>
        <v>5520.4952344007834</v>
      </c>
      <c r="AK93" s="28"/>
      <c r="AL93" s="28"/>
      <c r="AX93" s="92">
        <v>2025</v>
      </c>
      <c r="AY93" s="128" t="s">
        <v>212</v>
      </c>
      <c r="AZ93" s="98" t="s">
        <v>217</v>
      </c>
      <c r="BA93" s="98" t="s">
        <v>222</v>
      </c>
      <c r="BB93" s="128" t="s">
        <v>227</v>
      </c>
    </row>
    <row r="94" spans="1:58" x14ac:dyDescent="0.25">
      <c r="A94" s="82">
        <v>2022</v>
      </c>
      <c r="B94" s="82">
        <v>1.3282</v>
      </c>
      <c r="C94" s="2">
        <v>92.74205691913869</v>
      </c>
      <c r="F94" s="36">
        <v>2022</v>
      </c>
      <c r="G94" s="2">
        <v>81462</v>
      </c>
      <c r="H94" s="2">
        <v>12583</v>
      </c>
      <c r="I94" s="2">
        <v>60609</v>
      </c>
      <c r="J94" s="2">
        <v>7197</v>
      </c>
      <c r="K94" s="2">
        <v>1.3282</v>
      </c>
      <c r="L94" s="2">
        <v>-1220</v>
      </c>
      <c r="M94" s="2">
        <v>27.670400000000001</v>
      </c>
      <c r="N94" s="2">
        <v>6.8099999999999994E-2</v>
      </c>
      <c r="O94" s="28"/>
      <c r="P94" s="28"/>
      <c r="Q94" s="28"/>
      <c r="R94" s="28"/>
      <c r="S94" s="28"/>
      <c r="U94" s="36">
        <v>2011</v>
      </c>
      <c r="V94" s="93">
        <v>142.64699999999999</v>
      </c>
      <c r="W94" s="2">
        <f t="shared" si="3"/>
        <v>157.26633999999999</v>
      </c>
      <c r="X94" s="2">
        <f t="shared" si="4"/>
        <v>161.35118</v>
      </c>
      <c r="AD94" s="36">
        <v>2020</v>
      </c>
      <c r="AE94" s="2">
        <v>31536</v>
      </c>
      <c r="AF94" s="93">
        <v>4636</v>
      </c>
      <c r="AG94" s="2">
        <f>G92*(33/100)</f>
        <v>10406.880000000001</v>
      </c>
      <c r="AH94" s="2">
        <f t="shared" si="1"/>
        <v>15768</v>
      </c>
      <c r="AI94" s="2">
        <f t="shared" si="2"/>
        <v>5503.54</v>
      </c>
      <c r="AJ94" s="2">
        <f t="shared" ref="AJ94:AJ96" si="5">_xlfn.FORECAST.ETS(AD94,AF85:AF93,AD85:AD93)</f>
        <v>4810.5924397014205</v>
      </c>
      <c r="AK94" s="28"/>
      <c r="AL94" s="28"/>
      <c r="AX94" s="92">
        <v>2026</v>
      </c>
      <c r="AY94" s="128" t="s">
        <v>213</v>
      </c>
      <c r="AZ94" s="98" t="s">
        <v>218</v>
      </c>
      <c r="BA94" s="98" t="s">
        <v>223</v>
      </c>
      <c r="BB94" s="128" t="s">
        <v>228</v>
      </c>
    </row>
    <row r="95" spans="1:58" x14ac:dyDescent="0.25">
      <c r="A95" s="82">
        <v>2023</v>
      </c>
      <c r="B95" s="2">
        <v>1.1960999999999999</v>
      </c>
      <c r="C95" s="83">
        <v>-207.74182760638743</v>
      </c>
      <c r="F95" s="36">
        <v>2023</v>
      </c>
      <c r="G95" s="2">
        <v>96773</v>
      </c>
      <c r="H95" s="2">
        <v>14999</v>
      </c>
      <c r="I95" s="2">
        <v>79113</v>
      </c>
      <c r="J95" s="52">
        <v>8769</v>
      </c>
      <c r="K95" s="2">
        <v>1.1960999999999999</v>
      </c>
      <c r="L95" s="2">
        <v>265</v>
      </c>
      <c r="M95" s="2">
        <v>22.6111</v>
      </c>
      <c r="N95" s="2">
        <v>8.2500000000000004E-2</v>
      </c>
      <c r="O95" s="28"/>
      <c r="P95" s="28"/>
      <c r="Q95" s="28"/>
      <c r="R95" s="28"/>
      <c r="S95" s="28"/>
      <c r="U95" s="36">
        <v>2012</v>
      </c>
      <c r="V95" s="93">
        <v>383.18900000000002</v>
      </c>
      <c r="W95" s="2">
        <f t="shared" si="3"/>
        <v>318.20711999999997</v>
      </c>
      <c r="X95" s="2">
        <f t="shared" si="4"/>
        <v>326.47224</v>
      </c>
      <c r="AD95" s="36">
        <v>2021</v>
      </c>
      <c r="AE95" s="2">
        <v>53823</v>
      </c>
      <c r="AF95" s="93">
        <v>7083</v>
      </c>
      <c r="AG95" s="2">
        <f t="shared" si="0"/>
        <v>17761.59</v>
      </c>
      <c r="AH95" s="2">
        <f t="shared" si="1"/>
        <v>26911.5</v>
      </c>
      <c r="AI95" s="2">
        <f t="shared" si="2"/>
        <v>6165.88</v>
      </c>
      <c r="AJ95" s="2">
        <f t="shared" si="5"/>
        <v>5690.4521531538285</v>
      </c>
      <c r="AK95" s="28"/>
      <c r="AL95" s="28"/>
      <c r="AX95" s="92">
        <v>2027</v>
      </c>
      <c r="AY95" s="128" t="s">
        <v>214</v>
      </c>
      <c r="AZ95" s="98" t="s">
        <v>219</v>
      </c>
      <c r="BA95" s="98" t="s">
        <v>224</v>
      </c>
      <c r="BB95" s="128" t="s">
        <v>229</v>
      </c>
    </row>
    <row r="96" spans="1:58" x14ac:dyDescent="0.25">
      <c r="F96" s="92">
        <v>2024</v>
      </c>
      <c r="G96" s="93">
        <f t="shared" ref="G96:G100" si="6">G95*(1+67%)</f>
        <v>161610.91</v>
      </c>
      <c r="H96" s="93">
        <f>H95*(1+65%)</f>
        <v>24748.35</v>
      </c>
      <c r="I96" s="93">
        <f t="shared" ref="I96:I100" si="7">G96*(77/100)</f>
        <v>124440.4007</v>
      </c>
      <c r="J96" s="98">
        <f>_xlfn.FORECAST.ETS(F96,J82:J95,F82:F95)</f>
        <v>9723.9936605831826</v>
      </c>
      <c r="K96" s="93">
        <f t="shared" ref="K96:K100" si="8">_xlfn.FORECAST.LINEAR(F96,K82:K95,F82:F95)</f>
        <v>0.90289999999998827</v>
      </c>
      <c r="L96" s="93">
        <f t="shared" ref="L96:L100" si="9">L95*(1-50%)</f>
        <v>132.5</v>
      </c>
      <c r="M96" s="93">
        <f t="shared" ref="M96:M100" si="10">_xlfn.FORECAST.ETS(F96,M82:M95,F82:F95)</f>
        <v>62.788602679673069</v>
      </c>
      <c r="N96" s="93">
        <f t="shared" ref="N96:N100" si="11">_xlfn.FORECAST.LINEAR(F96,N82:N95,F82:F95)</f>
        <v>0.46439230769229312</v>
      </c>
      <c r="O96" s="28"/>
      <c r="P96" s="28"/>
      <c r="Q96" s="28"/>
      <c r="R96" s="28"/>
      <c r="S96" s="28"/>
      <c r="U96" s="36">
        <v>2013</v>
      </c>
      <c r="V96" s="93">
        <v>1557.2339999999999</v>
      </c>
      <c r="W96" s="2">
        <f t="shared" si="3"/>
        <v>1550.39192</v>
      </c>
      <c r="X96" s="2">
        <f t="shared" si="4"/>
        <v>1590.6618400000002</v>
      </c>
      <c r="AD96" s="36">
        <v>2022</v>
      </c>
      <c r="AE96" s="2">
        <v>81462</v>
      </c>
      <c r="AF96" s="93">
        <v>7197</v>
      </c>
      <c r="AG96" s="2">
        <f>G94*(33/100)</f>
        <v>26882.460000000003</v>
      </c>
      <c r="AH96" s="2">
        <f t="shared" si="1"/>
        <v>40731</v>
      </c>
      <c r="AI96" s="2">
        <f t="shared" si="2"/>
        <v>9420.3900000000012</v>
      </c>
      <c r="AJ96" s="2">
        <f t="shared" si="5"/>
        <v>7125.781169244673</v>
      </c>
      <c r="AK96" s="28"/>
      <c r="AL96" s="28"/>
      <c r="AX96" s="92">
        <v>2028</v>
      </c>
      <c r="AY96" s="128" t="s">
        <v>215</v>
      </c>
      <c r="AZ96" s="98" t="s">
        <v>220</v>
      </c>
      <c r="BA96" s="98" t="s">
        <v>225</v>
      </c>
      <c r="BB96" s="128" t="s">
        <v>230</v>
      </c>
    </row>
    <row r="97" spans="6:58" x14ac:dyDescent="0.25">
      <c r="F97" s="92">
        <v>2025</v>
      </c>
      <c r="G97" s="93">
        <f t="shared" si="6"/>
        <v>269890.21970000002</v>
      </c>
      <c r="H97" s="93">
        <f t="shared" ref="H97:H100" si="12">H96*(1+65%)</f>
        <v>40834.777499999997</v>
      </c>
      <c r="I97" s="93">
        <f t="shared" si="7"/>
        <v>207815.46916900002</v>
      </c>
      <c r="J97" s="98">
        <f t="shared" ref="J97:J100" si="13">_xlfn.FORECAST.ETS(F97,J83:J96,F83:F96)</f>
        <v>10142.749201449555</v>
      </c>
      <c r="K97" s="93">
        <f t="shared" si="8"/>
        <v>1.1276857142857182</v>
      </c>
      <c r="L97" s="93">
        <f t="shared" si="9"/>
        <v>66.25</v>
      </c>
      <c r="M97" s="93">
        <f t="shared" si="10"/>
        <v>104.76755684009829</v>
      </c>
      <c r="N97" s="93">
        <f t="shared" si="11"/>
        <v>1.6994505494494661E-2</v>
      </c>
      <c r="O97" s="28"/>
      <c r="P97" s="28"/>
      <c r="Q97" s="28"/>
      <c r="R97" s="28"/>
      <c r="S97" s="28"/>
      <c r="U97" s="36">
        <v>2014</v>
      </c>
      <c r="V97" s="93">
        <v>2316.6849999999999</v>
      </c>
      <c r="W97" s="2">
        <f t="shared" si="3"/>
        <v>2462.7341200000001</v>
      </c>
      <c r="X97" s="2">
        <f t="shared" si="4"/>
        <v>2526.7012400000003</v>
      </c>
      <c r="AD97" s="28"/>
      <c r="AE97" s="28"/>
      <c r="AF97" s="28"/>
      <c r="AG97" s="28"/>
      <c r="AH97" s="28"/>
      <c r="AI97" s="28"/>
      <c r="AJ97" s="28"/>
      <c r="AK97" s="28"/>
      <c r="AL97" s="28"/>
      <c r="AX97" s="157"/>
      <c r="AY97" s="33"/>
      <c r="AZ97" s="33"/>
    </row>
    <row r="98" spans="6:58" x14ac:dyDescent="0.25">
      <c r="F98" s="92">
        <v>2026</v>
      </c>
      <c r="G98" s="93">
        <f t="shared" si="6"/>
        <v>450716.666899</v>
      </c>
      <c r="H98" s="93">
        <f t="shared" si="12"/>
        <v>67377.382874999996</v>
      </c>
      <c r="I98" s="93">
        <f t="shared" si="7"/>
        <v>347051.83351223002</v>
      </c>
      <c r="J98" s="98">
        <f t="shared" si="13"/>
        <v>10817.871433414588</v>
      </c>
      <c r="K98" s="93">
        <f t="shared" si="8"/>
        <v>1.2951178963893142</v>
      </c>
      <c r="L98" s="93">
        <f t="shared" si="9"/>
        <v>33.125</v>
      </c>
      <c r="M98" s="93">
        <f t="shared" si="10"/>
        <v>115.18551687468803</v>
      </c>
      <c r="N98" s="93">
        <f t="shared" si="11"/>
        <v>-0.40379032725519437</v>
      </c>
      <c r="O98" s="28"/>
      <c r="P98" s="28"/>
      <c r="Q98" s="28"/>
      <c r="R98" s="28"/>
      <c r="S98" s="28"/>
      <c r="U98" s="36">
        <v>2015</v>
      </c>
      <c r="V98" s="93">
        <v>3122.5219999999999</v>
      </c>
      <c r="W98" s="2">
        <f t="shared" si="3"/>
        <v>3115.4392500000004</v>
      </c>
      <c r="X98" s="2">
        <f t="shared" si="4"/>
        <v>3196.3597500000001</v>
      </c>
      <c r="AX98" s="142"/>
      <c r="AY98" s="143"/>
      <c r="AZ98" s="143"/>
    </row>
    <row r="99" spans="6:58" x14ac:dyDescent="0.25">
      <c r="F99" s="92">
        <v>2027</v>
      </c>
      <c r="G99" s="93">
        <f t="shared" si="6"/>
        <v>752696.83372132992</v>
      </c>
      <c r="H99" s="93">
        <f t="shared" si="12"/>
        <v>111172.68174374998</v>
      </c>
      <c r="I99" s="93">
        <f t="shared" si="7"/>
        <v>579576.5619654241</v>
      </c>
      <c r="J99" s="98">
        <f t="shared" si="13"/>
        <v>11736.65716672208</v>
      </c>
      <c r="K99" s="93">
        <f t="shared" si="8"/>
        <v>1.4528212827988227</v>
      </c>
      <c r="L99" s="93">
        <f t="shared" si="9"/>
        <v>16.5625</v>
      </c>
      <c r="M99" s="93">
        <f t="shared" si="10"/>
        <v>138.14290936794339</v>
      </c>
      <c r="N99" s="93">
        <f t="shared" si="11"/>
        <v>-0.46600141459799715</v>
      </c>
      <c r="O99" s="28"/>
      <c r="P99" s="28"/>
      <c r="Q99" s="28"/>
      <c r="R99" s="28"/>
      <c r="S99" s="28"/>
      <c r="U99" s="36">
        <v>2016</v>
      </c>
      <c r="V99" s="93">
        <v>5400.875</v>
      </c>
      <c r="W99" s="2">
        <f t="shared" si="3"/>
        <v>5390.1016399999999</v>
      </c>
      <c r="X99" s="2">
        <f t="shared" si="4"/>
        <v>5530.1042799999996</v>
      </c>
      <c r="AX99" s="142"/>
      <c r="AY99" s="143"/>
      <c r="AZ99" s="143"/>
    </row>
    <row r="100" spans="6:58" x14ac:dyDescent="0.25">
      <c r="F100" s="92">
        <v>2028</v>
      </c>
      <c r="G100" s="93">
        <f t="shared" si="6"/>
        <v>1257003.7123146208</v>
      </c>
      <c r="H100" s="93">
        <f t="shared" si="12"/>
        <v>183434.92487718747</v>
      </c>
      <c r="I100" s="93">
        <f t="shared" si="7"/>
        <v>967892.85848225805</v>
      </c>
      <c r="J100" s="98">
        <f t="shared" si="13"/>
        <v>12659.301652130824</v>
      </c>
      <c r="K100" s="93">
        <f t="shared" si="8"/>
        <v>1.6828668050047781</v>
      </c>
      <c r="L100" s="93">
        <f t="shared" si="9"/>
        <v>8.28125</v>
      </c>
      <c r="M100" s="93">
        <f t="shared" si="10"/>
        <v>165.10238584083052</v>
      </c>
      <c r="N100" s="93">
        <f t="shared" si="11"/>
        <v>-0.90734236226114717</v>
      </c>
      <c r="U100" s="36">
        <v>2017</v>
      </c>
      <c r="V100" s="93">
        <v>9536</v>
      </c>
      <c r="W100" s="2">
        <f t="shared" si="3"/>
        <v>9054.43</v>
      </c>
      <c r="X100" s="2">
        <f t="shared" si="4"/>
        <v>9289.61</v>
      </c>
      <c r="AX100" s="142"/>
      <c r="AY100" s="143"/>
      <c r="AZ100" s="143"/>
    </row>
    <row r="101" spans="6:58" x14ac:dyDescent="0.25">
      <c r="U101" s="36">
        <v>2018</v>
      </c>
      <c r="V101" s="93">
        <v>17419</v>
      </c>
      <c r="W101" s="2">
        <f t="shared" si="3"/>
        <v>16524.97</v>
      </c>
      <c r="X101" s="2">
        <f t="shared" si="4"/>
        <v>16954.190000000002</v>
      </c>
      <c r="AX101" s="80"/>
      <c r="AY101" s="141" t="s">
        <v>201</v>
      </c>
      <c r="AZ101" s="141"/>
      <c r="BA101" s="141"/>
      <c r="BB101" s="141"/>
      <c r="BC101" s="141"/>
      <c r="BD101" s="141"/>
      <c r="BE101" s="141"/>
      <c r="BF101" s="141"/>
    </row>
    <row r="102" spans="6:58" ht="24" x14ac:dyDescent="0.25">
      <c r="F102" s="140"/>
      <c r="G102" s="33"/>
      <c r="H102" s="140"/>
      <c r="I102" s="140"/>
      <c r="J102" s="140"/>
      <c r="K102" s="33"/>
      <c r="L102" s="33"/>
      <c r="U102" s="36">
        <v>2019</v>
      </c>
      <c r="V102" s="93">
        <v>20509</v>
      </c>
      <c r="W102" s="2">
        <f t="shared" si="3"/>
        <v>18925.060000000001</v>
      </c>
      <c r="X102" s="2">
        <f t="shared" si="4"/>
        <v>19416.620000000003</v>
      </c>
      <c r="AX102" s="90" t="s">
        <v>97</v>
      </c>
      <c r="AY102" s="80" t="s">
        <v>0</v>
      </c>
      <c r="AZ102" s="80" t="s">
        <v>7</v>
      </c>
      <c r="BA102" s="80" t="s">
        <v>176</v>
      </c>
      <c r="BB102" s="80" t="s">
        <v>18</v>
      </c>
      <c r="BC102" s="80" t="s">
        <v>178</v>
      </c>
      <c r="BD102" s="80" t="s">
        <v>48</v>
      </c>
      <c r="BE102" s="80" t="s">
        <v>179</v>
      </c>
      <c r="BF102" s="80" t="s">
        <v>94</v>
      </c>
    </row>
    <row r="103" spans="6:58" ht="16.5" customHeight="1" x14ac:dyDescent="0.25">
      <c r="F103" s="80"/>
      <c r="G103" s="141" t="s">
        <v>201</v>
      </c>
      <c r="H103" s="141"/>
      <c r="I103" s="141"/>
      <c r="J103" s="141"/>
      <c r="K103" s="141"/>
      <c r="L103" s="141"/>
      <c r="M103" s="141"/>
      <c r="N103" s="141"/>
      <c r="P103" s="90" t="s">
        <v>97</v>
      </c>
      <c r="Q103" s="80" t="s">
        <v>177</v>
      </c>
      <c r="U103" s="36">
        <v>2020</v>
      </c>
      <c r="V103" s="93">
        <v>24906</v>
      </c>
      <c r="W103" s="2">
        <f t="shared" si="3"/>
        <v>24282.720000000001</v>
      </c>
      <c r="X103" s="2">
        <f t="shared" si="4"/>
        <v>24913.440000000002</v>
      </c>
      <c r="AG103" s="87"/>
      <c r="AH103" s="28" t="s">
        <v>167</v>
      </c>
      <c r="AI103" s="87"/>
      <c r="AX103" s="92">
        <v>2024</v>
      </c>
      <c r="AY103" s="2" t="s">
        <v>231</v>
      </c>
      <c r="AZ103" s="2" t="s">
        <v>236</v>
      </c>
      <c r="BA103" s="2" t="s">
        <v>241</v>
      </c>
      <c r="BB103" s="117" t="s">
        <v>246</v>
      </c>
      <c r="BC103" s="117">
        <v>0.7869967910293898</v>
      </c>
      <c r="BD103" s="117">
        <v>115.491277895</v>
      </c>
      <c r="BE103" s="117">
        <v>54.72857328842916</v>
      </c>
      <c r="BF103" s="117">
        <v>0.40477932875464884</v>
      </c>
    </row>
    <row r="104" spans="6:58" ht="28.5" customHeight="1" x14ac:dyDescent="0.25">
      <c r="F104" s="90" t="s">
        <v>97</v>
      </c>
      <c r="G104" s="80" t="s">
        <v>0</v>
      </c>
      <c r="H104" s="80" t="s">
        <v>7</v>
      </c>
      <c r="I104" s="80" t="s">
        <v>176</v>
      </c>
      <c r="J104" s="80" t="s">
        <v>18</v>
      </c>
      <c r="K104" s="80" t="s">
        <v>178</v>
      </c>
      <c r="L104" s="80" t="s">
        <v>48</v>
      </c>
      <c r="M104" s="80" t="s">
        <v>179</v>
      </c>
      <c r="N104" s="80" t="s">
        <v>94</v>
      </c>
      <c r="P104" s="92">
        <v>2024</v>
      </c>
      <c r="Q104" s="2">
        <v>0.87163228599999998</v>
      </c>
      <c r="U104" s="36">
        <v>2021</v>
      </c>
      <c r="V104" s="93">
        <v>40217</v>
      </c>
      <c r="W104" s="2">
        <f t="shared" si="3"/>
        <v>41443.71</v>
      </c>
      <c r="X104" s="2">
        <f t="shared" si="4"/>
        <v>42520.170000000006</v>
      </c>
      <c r="AH104" s="109" t="s">
        <v>97</v>
      </c>
      <c r="AI104" s="110" t="s">
        <v>93</v>
      </c>
      <c r="AJ104" s="95" t="s">
        <v>156</v>
      </c>
      <c r="AK104" s="95" t="s">
        <v>165</v>
      </c>
      <c r="AL104" s="2" t="s">
        <v>143</v>
      </c>
      <c r="AM104" s="2" t="s">
        <v>161</v>
      </c>
      <c r="AN104" s="95" t="s">
        <v>166</v>
      </c>
      <c r="AX104" s="92">
        <v>2025</v>
      </c>
      <c r="AY104" s="2" t="s">
        <v>232</v>
      </c>
      <c r="AZ104" s="2" t="s">
        <v>237</v>
      </c>
      <c r="BA104" s="2" t="s">
        <v>242</v>
      </c>
      <c r="BB104" s="117" t="s">
        <v>248</v>
      </c>
      <c r="BC104" s="123">
        <v>0.85567140617040294</v>
      </c>
      <c r="BD104" s="117">
        <v>50.269529835</v>
      </c>
      <c r="BE104" s="117">
        <v>79.496087914164221</v>
      </c>
      <c r="BF104" s="117">
        <v>1.2895181901684087E-2</v>
      </c>
    </row>
    <row r="105" spans="6:58" x14ac:dyDescent="0.25">
      <c r="F105" s="92">
        <v>2024</v>
      </c>
      <c r="G105" s="2" cm="1">
        <f t="array" ref="G105:N109">G96:N100*Q104:Q108</f>
        <v>140865.28692584025</v>
      </c>
      <c r="H105" s="2">
        <v>21571.460885228098</v>
      </c>
      <c r="I105" s="2">
        <v>108466.27093289699</v>
      </c>
      <c r="J105" s="117">
        <v>8475.7468234236276</v>
      </c>
      <c r="K105" s="117">
        <v>0.7869967910293898</v>
      </c>
      <c r="L105" s="117">
        <v>115.491277895</v>
      </c>
      <c r="M105" s="117">
        <v>54.72857328842916</v>
      </c>
      <c r="N105" s="117">
        <v>0.40477932875464884</v>
      </c>
      <c r="P105" s="92">
        <v>2025</v>
      </c>
      <c r="Q105" s="2">
        <v>0.75878535599999997</v>
      </c>
      <c r="U105" s="36">
        <v>2022</v>
      </c>
      <c r="V105" s="93">
        <v>60609</v>
      </c>
      <c r="W105" s="2">
        <f t="shared" si="3"/>
        <v>62725.74</v>
      </c>
      <c r="X105" s="2">
        <f t="shared" si="4"/>
        <v>64354.98</v>
      </c>
      <c r="AH105" s="36">
        <v>2009</v>
      </c>
      <c r="AI105" s="93">
        <v>-0.88019999999999998</v>
      </c>
      <c r="AJ105" s="95"/>
      <c r="AK105" s="95"/>
      <c r="AL105" s="2"/>
      <c r="AM105" s="2"/>
      <c r="AN105" s="1"/>
      <c r="AP105" s="28" t="s">
        <v>168</v>
      </c>
      <c r="AQ105" s="28"/>
      <c r="AX105" s="92">
        <v>2026</v>
      </c>
      <c r="AY105" s="2" t="s">
        <v>233</v>
      </c>
      <c r="AZ105" s="2" t="s">
        <v>238</v>
      </c>
      <c r="BA105" s="2" t="s">
        <v>243</v>
      </c>
      <c r="BB105" s="117" t="s">
        <v>247</v>
      </c>
      <c r="BC105" s="117">
        <v>0.85489536428793111</v>
      </c>
      <c r="BD105" s="117">
        <v>21.865506623750001</v>
      </c>
      <c r="BE105" s="117">
        <v>76.032896065918763</v>
      </c>
      <c r="BF105" s="117">
        <v>-0.26653826642127193</v>
      </c>
    </row>
    <row r="106" spans="6:58" x14ac:dyDescent="0.25">
      <c r="F106" s="92">
        <v>2025</v>
      </c>
      <c r="G106" s="2">
        <v>204788.74643598273</v>
      </c>
      <c r="H106" s="2">
        <v>30984.831182518286</v>
      </c>
      <c r="I106" s="2">
        <v>157687.33475570669</v>
      </c>
      <c r="J106" s="117">
        <v>7696.1695636406157</v>
      </c>
      <c r="K106" s="123">
        <v>0.85567140617040294</v>
      </c>
      <c r="L106" s="117">
        <v>50.269529835</v>
      </c>
      <c r="M106" s="117">
        <v>79.496087914164221</v>
      </c>
      <c r="N106" s="117">
        <v>1.2895181901684087E-2</v>
      </c>
      <c r="P106" s="92">
        <v>2026</v>
      </c>
      <c r="Q106" s="2">
        <v>0.66009076600000005</v>
      </c>
      <c r="AH106" s="36">
        <v>2010</v>
      </c>
      <c r="AI106" s="93">
        <v>0.6593</v>
      </c>
      <c r="AJ106" s="95">
        <f>AI105*(1-0.69)</f>
        <v>-0.27286200000000005</v>
      </c>
      <c r="AK106" s="95">
        <f>AI105*(1-0.74)</f>
        <v>-0.228852</v>
      </c>
      <c r="AL106" s="2"/>
      <c r="AM106" s="2"/>
      <c r="AN106" s="1"/>
      <c r="AP106" s="2" t="s">
        <v>141</v>
      </c>
      <c r="AQ106" s="2">
        <v>-0.68730000000000002</v>
      </c>
      <c r="AX106" s="92">
        <v>2027</v>
      </c>
      <c r="AY106" s="2" t="s">
        <v>234</v>
      </c>
      <c r="AZ106" s="2" t="s">
        <v>239</v>
      </c>
      <c r="BA106" s="2" t="s">
        <v>244</v>
      </c>
      <c r="BB106" s="117" t="s">
        <v>249</v>
      </c>
      <c r="BC106" s="117">
        <v>0.83378844158223742</v>
      </c>
      <c r="BD106" s="117">
        <v>9.5053818574999998</v>
      </c>
      <c r="BE106" s="117">
        <v>79.28157611763416</v>
      </c>
      <c r="BF106" s="117">
        <v>-0.26744280101972151</v>
      </c>
    </row>
    <row r="107" spans="6:58" x14ac:dyDescent="0.25">
      <c r="F107" s="92">
        <v>2026</v>
      </c>
      <c r="G107" s="2">
        <v>297513.90990232775</v>
      </c>
      <c r="H107" s="2">
        <v>44475.188273034029</v>
      </c>
      <c r="I107" s="2">
        <v>229085.71062479241</v>
      </c>
      <c r="J107" s="117">
        <v>7140.7770409721543</v>
      </c>
      <c r="K107" s="117">
        <v>0.85489536428793111</v>
      </c>
      <c r="L107" s="117">
        <v>21.865506623750001</v>
      </c>
      <c r="M107" s="117">
        <v>76.032896065918763</v>
      </c>
      <c r="N107" s="117">
        <v>-0.26653826642127193</v>
      </c>
      <c r="P107" s="92">
        <v>2027</v>
      </c>
      <c r="Q107" s="2">
        <v>0.573909848</v>
      </c>
      <c r="AH107" s="36">
        <v>2011</v>
      </c>
      <c r="AI107" s="93">
        <v>1.35E-2</v>
      </c>
      <c r="AJ107" s="95">
        <f t="shared" ref="AJ107:AJ118" si="14">AI106*(1-0.69)</f>
        <v>0.20438300000000004</v>
      </c>
      <c r="AK107" s="95">
        <f t="shared" ref="AK107:AK118" si="15">AI106*(1-0.74)</f>
        <v>0.17141800000000001</v>
      </c>
      <c r="AL107" s="2"/>
      <c r="AM107" s="2"/>
      <c r="AN107" s="1"/>
      <c r="AP107" s="2" t="s">
        <v>152</v>
      </c>
      <c r="AQ107" s="2">
        <v>-0.74409230769230783</v>
      </c>
      <c r="AX107" s="92">
        <v>2028</v>
      </c>
      <c r="AY107" s="2" t="s">
        <v>235</v>
      </c>
      <c r="AZ107" s="2" t="s">
        <v>240</v>
      </c>
      <c r="BA107" s="2" t="s">
        <v>245</v>
      </c>
      <c r="BB107" s="117" t="s">
        <v>250</v>
      </c>
      <c r="BC107" s="117">
        <v>0.8395627580535483</v>
      </c>
      <c r="BD107" s="117">
        <v>4.1314197115624998</v>
      </c>
      <c r="BE107" s="117">
        <v>82.367668080157543</v>
      </c>
      <c r="BF107" s="117">
        <v>-0.45266259569284661</v>
      </c>
    </row>
    <row r="108" spans="6:58" x14ac:dyDescent="0.25">
      <c r="F108" s="92">
        <v>2027</v>
      </c>
      <c r="G108" s="2">
        <v>431980.12543108972</v>
      </c>
      <c r="H108" s="2">
        <v>63803.096881307931</v>
      </c>
      <c r="I108" s="2">
        <v>332624.69658193912</v>
      </c>
      <c r="J108" s="117">
        <v>6735.7831305815798</v>
      </c>
      <c r="K108" s="117">
        <v>0.83378844158223742</v>
      </c>
      <c r="L108" s="117">
        <v>9.5053818574999998</v>
      </c>
      <c r="M108" s="117">
        <v>79.28157611763416</v>
      </c>
      <c r="N108" s="117">
        <v>-0.26744280101972151</v>
      </c>
      <c r="P108" s="92">
        <v>2028</v>
      </c>
      <c r="Q108" s="2">
        <v>0.498888418</v>
      </c>
      <c r="R108" s="28"/>
      <c r="AH108" s="36">
        <v>2012</v>
      </c>
      <c r="AI108" s="93">
        <v>-0.105</v>
      </c>
      <c r="AJ108" s="95">
        <f t="shared" si="14"/>
        <v>4.1850000000000004E-3</v>
      </c>
      <c r="AK108" s="95">
        <f t="shared" si="15"/>
        <v>3.5100000000000001E-3</v>
      </c>
      <c r="AL108" s="2"/>
      <c r="AM108" s="2"/>
      <c r="AN108" s="1"/>
      <c r="AP108" s="2" t="s">
        <v>159</v>
      </c>
      <c r="AQ108" s="2">
        <v>-0.52639999999999998</v>
      </c>
    </row>
    <row r="109" spans="6:58" x14ac:dyDescent="0.25">
      <c r="F109" s="92">
        <v>2028</v>
      </c>
      <c r="G109" s="2">
        <v>627104.59345676831</v>
      </c>
      <c r="H109" s="2">
        <v>91513.559477928895</v>
      </c>
      <c r="I109" s="2">
        <v>482870.53696171159</v>
      </c>
      <c r="J109" s="117">
        <v>6315.5789742163333</v>
      </c>
      <c r="K109" s="117">
        <v>0.8395627580535483</v>
      </c>
      <c r="L109" s="117">
        <v>4.1314197115624998</v>
      </c>
      <c r="M109" s="117">
        <v>82.367668080157543</v>
      </c>
      <c r="N109" s="117">
        <v>-0.45266259569284661</v>
      </c>
      <c r="U109" t="s">
        <v>162</v>
      </c>
      <c r="AH109" s="36">
        <v>2013</v>
      </c>
      <c r="AI109" s="93">
        <v>0.31269999999999998</v>
      </c>
      <c r="AJ109" s="95">
        <f t="shared" si="14"/>
        <v>-3.2550000000000003E-2</v>
      </c>
      <c r="AK109" s="95">
        <f t="shared" si="15"/>
        <v>-2.7300000000000001E-2</v>
      </c>
      <c r="AL109" s="2"/>
      <c r="AM109" s="2"/>
      <c r="AN109" s="1"/>
    </row>
    <row r="110" spans="6:58" x14ac:dyDescent="0.25">
      <c r="F110" s="142"/>
      <c r="G110" s="143"/>
      <c r="H110" s="143"/>
      <c r="I110" s="143"/>
      <c r="J110" s="144"/>
      <c r="K110" s="145"/>
      <c r="L110" s="143"/>
      <c r="M110" s="145"/>
      <c r="N110" s="145"/>
      <c r="T110" s="107"/>
      <c r="U110" s="100" t="s">
        <v>97</v>
      </c>
      <c r="V110" s="112" t="s">
        <v>7</v>
      </c>
      <c r="W110" s="101" t="s">
        <v>141</v>
      </c>
      <c r="X110" s="101" t="s">
        <v>152</v>
      </c>
      <c r="Y110" s="101" t="s">
        <v>143</v>
      </c>
      <c r="Z110" s="101" t="s">
        <v>161</v>
      </c>
      <c r="AA110" s="106" t="s">
        <v>148</v>
      </c>
      <c r="AH110" s="36">
        <v>2014</v>
      </c>
      <c r="AI110" s="93">
        <v>-0.55020000000000002</v>
      </c>
      <c r="AJ110" s="95">
        <f t="shared" si="14"/>
        <v>9.6937000000000009E-2</v>
      </c>
      <c r="AK110" s="95">
        <f t="shared" si="15"/>
        <v>8.1301999999999999E-2</v>
      </c>
      <c r="AL110" s="2"/>
      <c r="AM110" s="2"/>
      <c r="AN110" s="1"/>
    </row>
    <row r="111" spans="6:58" x14ac:dyDescent="0.25">
      <c r="F111" s="142"/>
      <c r="G111" s="143"/>
      <c r="H111" s="143"/>
      <c r="I111" s="143"/>
      <c r="J111" s="144"/>
      <c r="K111" s="145"/>
      <c r="L111" s="143"/>
      <c r="M111" s="145"/>
      <c r="N111" s="145"/>
      <c r="T111" s="108"/>
      <c r="U111" s="102">
        <v>2009</v>
      </c>
      <c r="V111" s="103">
        <v>-55.74</v>
      </c>
      <c r="W111" s="101"/>
      <c r="X111" s="101"/>
      <c r="Y111" s="101"/>
      <c r="Z111" s="101"/>
      <c r="AA111" s="52">
        <v>-2309.7281714285491</v>
      </c>
      <c r="AC111" s="2" t="s">
        <v>141</v>
      </c>
      <c r="AD111" s="23">
        <f>MEDIAN(Table2[Net income Growth Rate])</f>
        <v>0.60294103512194119</v>
      </c>
      <c r="AH111" s="36">
        <v>2015</v>
      </c>
      <c r="AI111" s="93">
        <v>-0.57299999999999995</v>
      </c>
      <c r="AJ111" s="95">
        <f t="shared" si="14"/>
        <v>-0.17056200000000005</v>
      </c>
      <c r="AK111" s="95">
        <f t="shared" si="15"/>
        <v>-0.14305200000000001</v>
      </c>
      <c r="AL111" s="2"/>
      <c r="AM111" s="2"/>
      <c r="AN111" s="1"/>
    </row>
    <row r="112" spans="6:58" x14ac:dyDescent="0.25">
      <c r="F112" s="87"/>
      <c r="G112" s="146" t="s">
        <v>206</v>
      </c>
      <c r="H112" s="146"/>
      <c r="I112" s="146"/>
      <c r="J112" s="146"/>
      <c r="K112" s="146"/>
      <c r="L112" s="146"/>
      <c r="M112" s="146"/>
      <c r="N112" s="146"/>
      <c r="T112" s="108"/>
      <c r="U112" s="102">
        <v>2010</v>
      </c>
      <c r="V112" s="103">
        <v>-154.328</v>
      </c>
      <c r="W112" s="104">
        <f>V111*(1+65%)</f>
        <v>-91.971000000000004</v>
      </c>
      <c r="X112" s="104">
        <f>V111*(1+113%)</f>
        <v>-118.72619999999999</v>
      </c>
      <c r="Y112" s="101"/>
      <c r="Z112" s="101"/>
      <c r="AA112" s="52">
        <v>-1820.2680461538257</v>
      </c>
      <c r="AC112" s="2" t="s">
        <v>152</v>
      </c>
      <c r="AD112" s="23">
        <f>AVERAGE(Table2[Net income Growth Rate])</f>
        <v>1.0627703278757028</v>
      </c>
      <c r="AH112" s="36">
        <v>2016</v>
      </c>
      <c r="AI112" s="93">
        <v>0.47360000000000002</v>
      </c>
      <c r="AJ112" s="95">
        <f t="shared" si="14"/>
        <v>-0.17763000000000001</v>
      </c>
      <c r="AK112" s="95">
        <f t="shared" si="15"/>
        <v>-0.14898</v>
      </c>
      <c r="AL112" s="2"/>
      <c r="AM112" s="2"/>
      <c r="AN112" s="1"/>
    </row>
    <row r="113" spans="6:40" ht="24" x14ac:dyDescent="0.25">
      <c r="F113" s="87"/>
      <c r="G113" s="90" t="s">
        <v>0</v>
      </c>
      <c r="H113" s="90" t="s">
        <v>7</v>
      </c>
      <c r="I113" s="90" t="s">
        <v>176</v>
      </c>
      <c r="J113" s="90" t="s">
        <v>18</v>
      </c>
      <c r="K113" s="90" t="s">
        <v>178</v>
      </c>
      <c r="L113" s="90" t="s">
        <v>48</v>
      </c>
      <c r="M113" s="90" t="s">
        <v>179</v>
      </c>
      <c r="N113" s="90" t="s">
        <v>94</v>
      </c>
      <c r="T113" s="108"/>
      <c r="U113" s="102">
        <v>2011</v>
      </c>
      <c r="V113" s="103">
        <v>-254.411</v>
      </c>
      <c r="W113" s="104">
        <f t="shared" ref="W113:W124" si="16">V112*(1+65%)</f>
        <v>-254.6412</v>
      </c>
      <c r="X113" s="104">
        <f t="shared" ref="X113:X124" si="17">V112*(1+113%)</f>
        <v>-328.71863999999999</v>
      </c>
      <c r="Y113" s="101"/>
      <c r="Z113" s="101"/>
      <c r="AA113" s="52">
        <v>-1330.8079208791023</v>
      </c>
      <c r="AC113" s="2" t="s">
        <v>155</v>
      </c>
      <c r="AD113" s="23">
        <f>_xlfn.QUARTILE.INC(Table2[Net income Growth Rate],3)</f>
        <v>1.8724557526822758</v>
      </c>
      <c r="AH113" s="36">
        <v>2017</v>
      </c>
      <c r="AI113" s="93">
        <v>-0.74670000000000003</v>
      </c>
      <c r="AJ113" s="95">
        <f t="shared" si="14"/>
        <v>0.14681600000000003</v>
      </c>
      <c r="AK113" s="95">
        <f t="shared" si="15"/>
        <v>0.12313600000000001</v>
      </c>
      <c r="AL113" s="2"/>
      <c r="AM113" s="2"/>
      <c r="AN113" s="1"/>
    </row>
    <row r="114" spans="6:40" x14ac:dyDescent="0.25">
      <c r="G114" s="115">
        <v>0.25</v>
      </c>
      <c r="H114" s="115">
        <v>0.2</v>
      </c>
      <c r="I114" s="115">
        <v>0.15</v>
      </c>
      <c r="J114" s="115">
        <v>0.1</v>
      </c>
      <c r="K114" s="115">
        <v>0.05</v>
      </c>
      <c r="L114" s="115">
        <v>0.1</v>
      </c>
      <c r="M114" s="115">
        <v>0.1</v>
      </c>
      <c r="N114" s="115">
        <v>0.05</v>
      </c>
      <c r="T114" s="108"/>
      <c r="U114" s="102">
        <v>2012</v>
      </c>
      <c r="V114" s="103">
        <v>-396.21300000000002</v>
      </c>
      <c r="W114" s="104">
        <f t="shared" si="16"/>
        <v>-419.77814999999998</v>
      </c>
      <c r="X114" s="104">
        <f t="shared" si="17"/>
        <v>-541.89542999999992</v>
      </c>
      <c r="Y114" s="101"/>
      <c r="Z114" s="101"/>
      <c r="AA114" s="52">
        <v>-841.34779560437892</v>
      </c>
      <c r="AH114" s="36">
        <v>2018</v>
      </c>
      <c r="AI114" s="93">
        <v>1.3948</v>
      </c>
      <c r="AJ114" s="95">
        <f t="shared" si="14"/>
        <v>-0.23147700000000004</v>
      </c>
      <c r="AK114" s="95">
        <f t="shared" si="15"/>
        <v>-0.19414200000000001</v>
      </c>
      <c r="AL114" s="2">
        <f>_xlfn.FORECAST.ETS(AH114,$AI$105:AI113,$AH$105:AH113)</f>
        <v>-0.99470332404766382</v>
      </c>
      <c r="AM114" s="2">
        <f>FORECAST(AH114,$AI$105:AI113,$AH$105:AH113)</f>
        <v>-0.29188611111111129</v>
      </c>
      <c r="AN114" s="1">
        <v>-0.99470332404766382</v>
      </c>
    </row>
    <row r="115" spans="6:40" x14ac:dyDescent="0.25">
      <c r="T115" s="108"/>
      <c r="U115" s="102">
        <v>2013</v>
      </c>
      <c r="V115" s="103">
        <v>-74.013999999999996</v>
      </c>
      <c r="W115" s="104">
        <f t="shared" si="16"/>
        <v>-653.75144999999998</v>
      </c>
      <c r="X115" s="104">
        <f t="shared" si="17"/>
        <v>-843.93368999999996</v>
      </c>
      <c r="Y115" s="101"/>
      <c r="Z115" s="101"/>
      <c r="AA115" s="52">
        <v>-351.88767032965552</v>
      </c>
      <c r="AH115" s="36">
        <v>2019</v>
      </c>
      <c r="AI115" s="93">
        <v>0.40629999999999999</v>
      </c>
      <c r="AJ115" s="95">
        <f t="shared" si="14"/>
        <v>0.43238800000000011</v>
      </c>
      <c r="AK115" s="95">
        <f t="shared" si="15"/>
        <v>0.36264800000000003</v>
      </c>
      <c r="AL115" s="2">
        <f>_xlfn.FORECAST.ETS(AH115,$AI$105:AI114,$AH$105:AH114)</f>
        <v>0.22558061781545491</v>
      </c>
      <c r="AM115" s="93">
        <f>FORECAST(AH115,$AI$105:AI114,$AH$105:AH114)</f>
        <v>0.35543333333330906</v>
      </c>
      <c r="AN115" s="1">
        <v>3.9402587461934147E-4</v>
      </c>
    </row>
    <row r="116" spans="6:40" x14ac:dyDescent="0.25">
      <c r="T116" s="108"/>
      <c r="U116" s="102">
        <v>2014</v>
      </c>
      <c r="V116" s="103">
        <v>-294.04000000000002</v>
      </c>
      <c r="W116" s="104">
        <f t="shared" si="16"/>
        <v>-122.12309999999998</v>
      </c>
      <c r="X116" s="104">
        <f t="shared" si="17"/>
        <v>-157.64981999999998</v>
      </c>
      <c r="Y116" s="101"/>
      <c r="Z116" s="101"/>
      <c r="AA116" s="52">
        <v>137.57245494506788</v>
      </c>
      <c r="AH116" s="36">
        <v>2020</v>
      </c>
      <c r="AI116" s="93">
        <v>0.45240000000000002</v>
      </c>
      <c r="AJ116" s="95">
        <f t="shared" si="14"/>
        <v>0.12595300000000001</v>
      </c>
      <c r="AK116" s="95">
        <f t="shared" si="15"/>
        <v>0.105638</v>
      </c>
      <c r="AL116" s="2">
        <f>_xlfn.FORECAST.ETS(AH116,$AI$105:AI115,$AH$105:AH115)</f>
        <v>-6.1679881156973093E-2</v>
      </c>
      <c r="AM116" s="93">
        <f>FORECAST(AH116,$AI$105:AI115,$AH$105:AH115)</f>
        <v>0.43857636363637198</v>
      </c>
      <c r="AN116" s="1">
        <v>-0.66088588894049771</v>
      </c>
    </row>
    <row r="117" spans="6:40" x14ac:dyDescent="0.25">
      <c r="T117" s="108"/>
      <c r="U117" s="102">
        <v>2015</v>
      </c>
      <c r="V117" s="103">
        <v>-888.66300000000001</v>
      </c>
      <c r="W117" s="104">
        <f t="shared" si="16"/>
        <v>-485.166</v>
      </c>
      <c r="X117" s="104">
        <f t="shared" si="17"/>
        <v>-626.30520000000001</v>
      </c>
      <c r="Y117" s="101"/>
      <c r="Z117" s="101"/>
      <c r="AA117" s="52">
        <v>627.03258021979127</v>
      </c>
      <c r="AH117" s="36">
        <v>2021</v>
      </c>
      <c r="AI117" s="93">
        <v>0.26090000000000002</v>
      </c>
      <c r="AJ117" s="95">
        <f t="shared" si="14"/>
        <v>0.14024400000000004</v>
      </c>
      <c r="AK117" s="95">
        <f t="shared" si="15"/>
        <v>0.11762400000000001</v>
      </c>
      <c r="AL117" s="2">
        <f>_xlfn.FORECAST.ETS(AH117,$AI$105:AI116,$AH$105:AH116)</f>
        <v>0.53496400177830272</v>
      </c>
      <c r="AM117" s="93">
        <f>FORECAST(AH117,$AI$105:AI116,$AH$105:AH116)</f>
        <v>0.51014242424241729</v>
      </c>
      <c r="AN117" s="1">
        <v>-1.1409246456744035</v>
      </c>
    </row>
    <row r="118" spans="6:40" x14ac:dyDescent="0.25">
      <c r="G118" s="143" t="s">
        <v>205</v>
      </c>
      <c r="T118" s="108"/>
      <c r="U118" s="102">
        <v>2016</v>
      </c>
      <c r="V118" s="103">
        <v>-674.91399999999999</v>
      </c>
      <c r="W118" s="104">
        <f t="shared" si="16"/>
        <v>-1466.29395</v>
      </c>
      <c r="X118" s="104">
        <f t="shared" si="17"/>
        <v>-1892.8521899999998</v>
      </c>
      <c r="Y118" s="101"/>
      <c r="Z118" s="101"/>
      <c r="AA118" s="52">
        <v>1116.4927054945147</v>
      </c>
      <c r="AH118" s="36">
        <v>2022</v>
      </c>
      <c r="AI118" s="93">
        <v>1.3282</v>
      </c>
      <c r="AJ118" s="95">
        <f t="shared" si="14"/>
        <v>8.087900000000002E-2</v>
      </c>
      <c r="AK118" s="95">
        <f t="shared" si="15"/>
        <v>6.7834000000000005E-2</v>
      </c>
      <c r="AL118" s="93">
        <f>_xlfn.FORECAST.ETS(AH118,$AI$105:AI117,$AH$105:AH117)</f>
        <v>0.8020120366855753</v>
      </c>
      <c r="AM118" s="2">
        <f>FORECAST(AH118,$AI$105:AI117,$AH$105:AH117)</f>
        <v>0.50094230769231274</v>
      </c>
      <c r="AN118" s="1">
        <v>-0.1458272957521205</v>
      </c>
    </row>
    <row r="119" spans="6:40" ht="36" x14ac:dyDescent="0.25">
      <c r="F119" s="80" t="s">
        <v>97</v>
      </c>
      <c r="G119" s="80" t="s">
        <v>0</v>
      </c>
      <c r="H119" s="80" t="s">
        <v>7</v>
      </c>
      <c r="I119" s="80" t="s">
        <v>176</v>
      </c>
      <c r="J119" s="80" t="s">
        <v>18</v>
      </c>
      <c r="K119" s="80" t="s">
        <v>203</v>
      </c>
      <c r="L119" s="80" t="s">
        <v>48</v>
      </c>
      <c r="M119" s="80" t="s">
        <v>204</v>
      </c>
      <c r="N119" s="80" t="s">
        <v>94</v>
      </c>
      <c r="O119" s="32" t="s">
        <v>180</v>
      </c>
      <c r="T119" s="108"/>
      <c r="U119" s="102">
        <v>2017</v>
      </c>
      <c r="V119" s="103">
        <v>-1962</v>
      </c>
      <c r="W119" s="104">
        <f t="shared" si="16"/>
        <v>-1113.6080999999999</v>
      </c>
      <c r="X119" s="104">
        <f t="shared" si="17"/>
        <v>-1437.56682</v>
      </c>
      <c r="Y119" s="101"/>
      <c r="Z119" s="101"/>
      <c r="AA119" s="52">
        <v>1605.9528307692381</v>
      </c>
      <c r="AG119" s="28"/>
      <c r="AH119" s="28"/>
      <c r="AI119" s="28"/>
    </row>
    <row r="120" spans="6:40" x14ac:dyDescent="0.25">
      <c r="F120" s="92">
        <v>2024</v>
      </c>
      <c r="G120" s="117" cm="1">
        <f t="array" ref="G120:G124">G105:G109*G114</f>
        <v>35216.321731460062</v>
      </c>
      <c r="H120" s="117" cm="1">
        <f t="array" ref="H120:H124">H105:H109*H114</f>
        <v>4314.2921770456196</v>
      </c>
      <c r="I120" s="117" cm="1">
        <f t="array" ref="I120:I124">I105:I109*I114</f>
        <v>16269.940639934548</v>
      </c>
      <c r="J120" s="117" cm="1">
        <f t="array" ref="J120:J124">J105:J109*J114</f>
        <v>847.57468234236285</v>
      </c>
      <c r="K120" s="117" cm="1">
        <f t="array" ref="K120:K124">K105:K109*K114</f>
        <v>3.9349839551469493E-2</v>
      </c>
      <c r="L120" s="117" cm="1">
        <f t="array" ref="L120:L124">L105:L109*L114</f>
        <v>11.5491277895</v>
      </c>
      <c r="M120" s="117" cm="1">
        <f t="array" ref="M120:M124">M105:M109*M114</f>
        <v>5.4728573288429168</v>
      </c>
      <c r="N120" s="117" cm="1">
        <f t="array" ref="N120:N124">N105:N109*N114</f>
        <v>2.0238966437732445E-2</v>
      </c>
      <c r="O120" s="128">
        <f>SUM(G120:N120)</f>
        <v>56665.21080470692</v>
      </c>
      <c r="T120" s="108"/>
      <c r="U120" s="102">
        <v>2018</v>
      </c>
      <c r="V120" s="103">
        <v>-976</v>
      </c>
      <c r="W120" s="101">
        <f t="shared" si="16"/>
        <v>-3237.2999999999997</v>
      </c>
      <c r="X120" s="104">
        <f t="shared" si="17"/>
        <v>-4179.0599999999995</v>
      </c>
      <c r="Y120" s="101"/>
      <c r="Z120" s="101"/>
      <c r="AA120" s="52">
        <v>2095.4129560440779</v>
      </c>
    </row>
    <row r="121" spans="6:40" x14ac:dyDescent="0.25">
      <c r="F121" s="92">
        <v>2025</v>
      </c>
      <c r="G121" s="117">
        <v>51197.186608995682</v>
      </c>
      <c r="H121" s="117">
        <v>6196.9662365036575</v>
      </c>
      <c r="I121" s="117">
        <v>23653.100213356003</v>
      </c>
      <c r="J121" s="117">
        <v>769.61695636406159</v>
      </c>
      <c r="K121" s="129">
        <v>4.2783570308520147E-2</v>
      </c>
      <c r="L121" s="117">
        <v>5.0269529835000002</v>
      </c>
      <c r="M121" s="117">
        <v>7.9496087914164226</v>
      </c>
      <c r="N121" s="117">
        <v>6.4475909508420436E-4</v>
      </c>
      <c r="O121" s="128">
        <f t="shared" ref="O121:O124" si="18">SUM(G121:N121)</f>
        <v>81829.890005323716</v>
      </c>
      <c r="T121" s="108"/>
      <c r="U121" s="102">
        <v>2019</v>
      </c>
      <c r="V121" s="103">
        <v>-862</v>
      </c>
      <c r="W121" s="101">
        <f>V120*(1+65%)</f>
        <v>-1610.3999999999999</v>
      </c>
      <c r="X121" s="104">
        <f t="shared" si="17"/>
        <v>-2078.88</v>
      </c>
      <c r="Y121" s="104">
        <f>_xlfn.FORECAST.ETS(U121,$V$111:V120,$U$111:U120)</f>
        <v>-1450.0960689808317</v>
      </c>
      <c r="Z121" s="104">
        <f>FORECAST(U121,$V$111:V120,$U$111:U120)</f>
        <v>-1397.5634666666738</v>
      </c>
      <c r="AA121" s="52">
        <v>2584.8730813188013</v>
      </c>
    </row>
    <row r="122" spans="6:40" x14ac:dyDescent="0.25">
      <c r="F122" s="92">
        <v>2026</v>
      </c>
      <c r="G122" s="117">
        <v>74378.477475581938</v>
      </c>
      <c r="H122" s="117">
        <v>8895.0376546068055</v>
      </c>
      <c r="I122" s="117">
        <v>34362.856593718861</v>
      </c>
      <c r="J122" s="117">
        <v>714.07770409721547</v>
      </c>
      <c r="K122" s="117">
        <v>4.2744768214396558E-2</v>
      </c>
      <c r="L122" s="117">
        <v>2.1865506623750002</v>
      </c>
      <c r="M122" s="117">
        <v>7.6032896065918765</v>
      </c>
      <c r="N122" s="117">
        <v>-1.3326913321063597E-2</v>
      </c>
      <c r="O122" s="128">
        <f t="shared" si="18"/>
        <v>118360.26868612866</v>
      </c>
      <c r="T122" s="108"/>
      <c r="U122" s="102">
        <v>2020</v>
      </c>
      <c r="V122" s="103">
        <v>690</v>
      </c>
      <c r="W122" s="101">
        <f t="shared" si="16"/>
        <v>-1422.3</v>
      </c>
      <c r="X122" s="104">
        <f t="shared" si="17"/>
        <v>-1836.06</v>
      </c>
      <c r="Y122" s="104">
        <f>_xlfn.FORECAST.ETS(U122,$V$111:V121,$U$111:U121)</f>
        <v>-1376.0098711216115</v>
      </c>
      <c r="Z122" s="104">
        <f>FORECAST(U122,$V$111:V121,$U$111:U121)</f>
        <v>-1352.7278727272642</v>
      </c>
      <c r="AA122" s="52">
        <v>3074.3332065935247</v>
      </c>
    </row>
    <row r="123" spans="6:40" x14ac:dyDescent="0.25">
      <c r="F123" s="92">
        <v>2027</v>
      </c>
      <c r="G123" s="117">
        <v>107995.03135777243</v>
      </c>
      <c r="H123" s="117">
        <v>12760.619376261588</v>
      </c>
      <c r="I123" s="117">
        <v>49893.704487290866</v>
      </c>
      <c r="J123" s="117">
        <v>673.57831305815807</v>
      </c>
      <c r="K123" s="117">
        <v>4.1689422079111874E-2</v>
      </c>
      <c r="L123" s="117">
        <v>0.95053818575000004</v>
      </c>
      <c r="M123" s="117">
        <v>7.9281576117634165</v>
      </c>
      <c r="N123" s="117">
        <v>-1.3372140050986076E-2</v>
      </c>
      <c r="O123" s="128">
        <f t="shared" si="18"/>
        <v>171331.84054746255</v>
      </c>
      <c r="T123" s="108"/>
      <c r="U123" s="102">
        <v>2021</v>
      </c>
      <c r="V123" s="103">
        <v>5524</v>
      </c>
      <c r="W123" s="101">
        <f t="shared" si="16"/>
        <v>1138.5</v>
      </c>
      <c r="X123" s="104">
        <f t="shared" si="17"/>
        <v>1469.6999999999998</v>
      </c>
      <c r="Y123" s="104">
        <f>_xlfn.FORECAST.ETS(U123,$V$111:V122,$U$111:U122)</f>
        <v>642.99549300699198</v>
      </c>
      <c r="Z123" s="104">
        <f>FORECAST(U123,$V$111:V122,$U$111:U122)</f>
        <v>-797.3895454545418</v>
      </c>
      <c r="AA123" s="52">
        <v>3563.7933318682481</v>
      </c>
    </row>
    <row r="124" spans="6:40" x14ac:dyDescent="0.25">
      <c r="F124" s="92">
        <v>2028</v>
      </c>
      <c r="G124" s="117">
        <v>156776.14836419208</v>
      </c>
      <c r="H124" s="117">
        <v>18302.71189558578</v>
      </c>
      <c r="I124" s="117">
        <v>72430.580544256736</v>
      </c>
      <c r="J124" s="117">
        <v>631.55789742163336</v>
      </c>
      <c r="K124" s="117">
        <v>4.1978137902677418E-2</v>
      </c>
      <c r="L124" s="117">
        <v>0.41314197115625001</v>
      </c>
      <c r="M124" s="117">
        <v>8.236766808015755</v>
      </c>
      <c r="N124" s="117">
        <v>-2.2633129784642332E-2</v>
      </c>
      <c r="O124" s="128">
        <f t="shared" si="18"/>
        <v>248149.66795524355</v>
      </c>
      <c r="T124" s="108"/>
      <c r="U124" s="102">
        <v>2022</v>
      </c>
      <c r="V124" s="103">
        <v>12583</v>
      </c>
      <c r="W124" s="101">
        <f t="shared" si="16"/>
        <v>9114.6</v>
      </c>
      <c r="X124" s="104">
        <f t="shared" si="17"/>
        <v>11766.119999999999</v>
      </c>
      <c r="Y124" s="104">
        <f>_xlfn.FORECAST.ETS(U124,$V$111:V123,$U$111:U123)</f>
        <v>3005.8974191757857</v>
      </c>
      <c r="Z124" s="104">
        <f>FORECAST(U124,$V$111:V123,$U$111:U123)</f>
        <v>1100.648884615337</v>
      </c>
      <c r="AA124" s="52">
        <v>4053.2534571429715</v>
      </c>
    </row>
    <row r="125" spans="6:40" x14ac:dyDescent="0.25">
      <c r="Y125" s="105"/>
      <c r="Z125" s="105"/>
    </row>
    <row r="127" spans="6:40" x14ac:dyDescent="0.25">
      <c r="F127" s="143" t="s">
        <v>207</v>
      </c>
      <c r="G127" s="28"/>
    </row>
    <row r="128" spans="6:40" ht="24" x14ac:dyDescent="0.25">
      <c r="F128" s="28" t="s">
        <v>209</v>
      </c>
      <c r="G128" s="28"/>
      <c r="N128" s="78" t="s">
        <v>97</v>
      </c>
      <c r="O128" s="139" t="s">
        <v>11</v>
      </c>
    </row>
    <row r="129" spans="6:42" ht="24.75" x14ac:dyDescent="0.25">
      <c r="F129" s="136" t="s">
        <v>97</v>
      </c>
      <c r="G129" s="153" t="s">
        <v>208</v>
      </c>
      <c r="H129" s="156" t="s">
        <v>210</v>
      </c>
      <c r="N129" s="36">
        <v>2009</v>
      </c>
      <c r="O129" s="2">
        <v>105.33</v>
      </c>
    </row>
    <row r="130" spans="6:42" x14ac:dyDescent="0.25">
      <c r="F130" s="152">
        <v>2024</v>
      </c>
      <c r="G130" s="154">
        <f>O120/O144</f>
        <v>15.219069603054132</v>
      </c>
      <c r="H130" s="154">
        <f>G130-185</f>
        <v>-169.78093039694588</v>
      </c>
      <c r="N130" s="36">
        <v>2010</v>
      </c>
      <c r="O130" s="2">
        <v>760.77</v>
      </c>
      <c r="U130" t="s">
        <v>171</v>
      </c>
      <c r="AH130" t="s">
        <v>172</v>
      </c>
    </row>
    <row r="131" spans="6:42" ht="36" x14ac:dyDescent="0.25">
      <c r="F131" s="152">
        <v>2025</v>
      </c>
      <c r="G131" s="154">
        <f t="shared" ref="G131:G133" si="19">O121/O145</f>
        <v>20.797199933762428</v>
      </c>
      <c r="H131" s="154">
        <f t="shared" ref="H131:H134" si="20">G131-185</f>
        <v>-164.20280006623756</v>
      </c>
      <c r="N131" s="36">
        <v>2011</v>
      </c>
      <c r="O131" s="2">
        <v>1505.835</v>
      </c>
      <c r="T131" s="28"/>
      <c r="U131" s="109" t="s">
        <v>97</v>
      </c>
      <c r="V131" s="78" t="s">
        <v>48</v>
      </c>
      <c r="W131" s="2" t="s">
        <v>141</v>
      </c>
      <c r="X131" s="2" t="s">
        <v>152</v>
      </c>
      <c r="Y131" s="97" t="s">
        <v>143</v>
      </c>
      <c r="Z131" s="2" t="s">
        <v>161</v>
      </c>
      <c r="AA131" s="2" t="s">
        <v>166</v>
      </c>
      <c r="AH131" s="109" t="s">
        <v>97</v>
      </c>
      <c r="AI131" s="111" t="s">
        <v>87</v>
      </c>
      <c r="AJ131" s="95" t="s">
        <v>141</v>
      </c>
      <c r="AK131" s="95" t="s">
        <v>143</v>
      </c>
      <c r="AL131" s="95" t="s">
        <v>161</v>
      </c>
      <c r="AM131" s="95" t="s">
        <v>166</v>
      </c>
    </row>
    <row r="132" spans="6:42" x14ac:dyDescent="0.25">
      <c r="F132" s="152">
        <v>2026</v>
      </c>
      <c r="G132" s="154">
        <f t="shared" si="19"/>
        <v>28.577586828104</v>
      </c>
      <c r="H132" s="154">
        <f t="shared" si="20"/>
        <v>-156.42241317189601</v>
      </c>
      <c r="N132" s="36">
        <v>2012</v>
      </c>
      <c r="O132" s="2">
        <v>1610.2349999999999</v>
      </c>
      <c r="T132" s="118"/>
      <c r="U132" s="36">
        <v>2009</v>
      </c>
      <c r="V132" s="93">
        <v>60.35</v>
      </c>
      <c r="W132" s="2"/>
      <c r="X132" s="2"/>
      <c r="Y132" s="2"/>
      <c r="Z132" s="2"/>
      <c r="AA132" s="2"/>
      <c r="AH132" s="36">
        <v>2009</v>
      </c>
      <c r="AI132" s="8">
        <v>21.9862</v>
      </c>
      <c r="AJ132" s="95"/>
      <c r="AK132" s="95"/>
      <c r="AL132" s="95"/>
      <c r="AM132" s="95"/>
      <c r="AO132" s="2" t="s">
        <v>141</v>
      </c>
      <c r="AP132" s="117">
        <v>0.52054380498634434</v>
      </c>
    </row>
    <row r="133" spans="6:42" x14ac:dyDescent="0.25">
      <c r="F133" s="152">
        <v>2027</v>
      </c>
      <c r="G133" s="154">
        <f t="shared" si="19"/>
        <v>39.401042505049915</v>
      </c>
      <c r="H133" s="154">
        <f t="shared" si="20"/>
        <v>-145.59895749495007</v>
      </c>
      <c r="N133" s="36">
        <v>2013</v>
      </c>
      <c r="O133" s="2">
        <v>1791.3150000000001</v>
      </c>
      <c r="T133" s="118"/>
      <c r="U133" s="36">
        <v>2010</v>
      </c>
      <c r="V133" s="93">
        <v>29.931000000000001</v>
      </c>
      <c r="W133" s="93">
        <f>V132*(1-50%)</f>
        <v>30.175000000000001</v>
      </c>
      <c r="X133" s="52">
        <f>V132*(1-52%)</f>
        <v>28.968</v>
      </c>
      <c r="Y133" s="2"/>
      <c r="Z133" s="2"/>
      <c r="AA133" s="2"/>
      <c r="AC133" s="36" t="s">
        <v>141</v>
      </c>
      <c r="AD133" s="115">
        <v>-0.50404308202154102</v>
      </c>
      <c r="AH133" s="36">
        <v>2010</v>
      </c>
      <c r="AI133" s="8">
        <v>-74.537300000000002</v>
      </c>
      <c r="AJ133" s="119">
        <f>AI132*(1+0.52%)</f>
        <v>22.100528240000003</v>
      </c>
      <c r="AK133" s="119"/>
      <c r="AL133" s="119"/>
      <c r="AM133" s="95"/>
      <c r="AO133" s="2" t="s">
        <v>152</v>
      </c>
      <c r="AP133" s="117">
        <v>0.28296126521056492</v>
      </c>
    </row>
    <row r="134" spans="6:42" x14ac:dyDescent="0.25">
      <c r="F134" s="152">
        <v>2028</v>
      </c>
      <c r="G134" s="154">
        <f>O124/O148</f>
        <v>54.501259229163736</v>
      </c>
      <c r="H134" s="154">
        <f t="shared" si="20"/>
        <v>-130.49874077083626</v>
      </c>
      <c r="N134" s="36">
        <v>2014</v>
      </c>
      <c r="O134" s="2">
        <v>1868.085</v>
      </c>
      <c r="T134" s="118"/>
      <c r="U134" s="36">
        <v>2011</v>
      </c>
      <c r="V134" s="93">
        <v>155.708</v>
      </c>
      <c r="W134" s="2">
        <f t="shared" ref="W134:W144" si="21">V133*(1-50%)</f>
        <v>14.9655</v>
      </c>
      <c r="X134" s="52">
        <f t="shared" ref="X134:X145" si="22">V133*(1-52%)</f>
        <v>14.36688</v>
      </c>
      <c r="Y134" s="2"/>
      <c r="Z134" s="2"/>
      <c r="AA134" s="2"/>
      <c r="AC134" s="36" t="s">
        <v>170</v>
      </c>
      <c r="AD134" s="115">
        <v>-0.524993083336732</v>
      </c>
      <c r="AH134" s="36">
        <v>2011</v>
      </c>
      <c r="AI134" s="8">
        <v>-113.5535</v>
      </c>
      <c r="AJ134" s="119">
        <f t="shared" ref="AJ134:AJ145" si="23">AI133*(1+0.52%)</f>
        <v>-74.924893960000006</v>
      </c>
      <c r="AK134" s="119"/>
      <c r="AL134" s="119"/>
      <c r="AM134" s="95"/>
      <c r="AO134" s="2" t="s">
        <v>159</v>
      </c>
      <c r="AP134" s="117">
        <v>1.7980890065035424</v>
      </c>
    </row>
    <row r="135" spans="6:42" x14ac:dyDescent="0.25">
      <c r="F135" s="147"/>
      <c r="G135" s="147"/>
      <c r="H135" s="28"/>
      <c r="I135" s="28"/>
      <c r="J135" s="148"/>
      <c r="K135" s="148"/>
      <c r="N135" s="36">
        <v>2015</v>
      </c>
      <c r="O135" s="2">
        <v>1923.03</v>
      </c>
      <c r="T135" s="118"/>
      <c r="U135" s="36">
        <v>2012</v>
      </c>
      <c r="V135" s="93">
        <v>-53.375999999999998</v>
      </c>
      <c r="W135" s="2">
        <f t="shared" si="21"/>
        <v>77.853999999999999</v>
      </c>
      <c r="X135" s="52">
        <f t="shared" si="22"/>
        <v>74.739840000000001</v>
      </c>
      <c r="Y135" s="2"/>
      <c r="Z135" s="2"/>
      <c r="AA135" s="2"/>
      <c r="AC135" s="115" t="s">
        <v>159</v>
      </c>
      <c r="AD135" s="116">
        <v>0.6456919964161435</v>
      </c>
      <c r="AH135" s="36">
        <v>2012</v>
      </c>
      <c r="AI135" s="8">
        <v>-317.7328</v>
      </c>
      <c r="AJ135" s="119">
        <f t="shared" si="23"/>
        <v>-114.14397820000001</v>
      </c>
      <c r="AK135" s="119"/>
      <c r="AL135" s="119"/>
      <c r="AM135" s="95"/>
    </row>
    <row r="136" spans="6:42" x14ac:dyDescent="0.25">
      <c r="F136" s="149"/>
      <c r="G136" s="150"/>
      <c r="H136" s="28"/>
      <c r="I136" s="28"/>
      <c r="J136" s="149"/>
      <c r="K136" s="149"/>
      <c r="N136" s="36">
        <v>2016</v>
      </c>
      <c r="O136" s="2">
        <v>2163.1799999999998</v>
      </c>
      <c r="T136" s="118"/>
      <c r="U136" s="36">
        <v>2013</v>
      </c>
      <c r="V136" s="93">
        <v>643.99900000000002</v>
      </c>
      <c r="W136" s="2">
        <f t="shared" si="21"/>
        <v>-26.687999999999999</v>
      </c>
      <c r="X136" s="52">
        <f t="shared" si="22"/>
        <v>-25.620479999999997</v>
      </c>
      <c r="Y136" s="2"/>
      <c r="Z136" s="2"/>
      <c r="AA136" s="2"/>
      <c r="AH136" s="36">
        <v>2013</v>
      </c>
      <c r="AI136" s="8">
        <v>-11.0946</v>
      </c>
      <c r="AJ136" s="119">
        <f t="shared" si="23"/>
        <v>-319.38501056000001</v>
      </c>
      <c r="AK136" s="119"/>
      <c r="AL136" s="119"/>
      <c r="AM136" s="95"/>
    </row>
    <row r="137" spans="6:42" x14ac:dyDescent="0.25">
      <c r="F137" s="160" t="s">
        <v>251</v>
      </c>
      <c r="G137" s="150"/>
      <c r="H137" s="28"/>
      <c r="I137" s="28"/>
      <c r="J137" s="149"/>
      <c r="K137" s="149"/>
      <c r="N137" s="36">
        <v>2017</v>
      </c>
      <c r="O137" s="2">
        <v>2490</v>
      </c>
      <c r="T137" s="118"/>
      <c r="U137" s="36">
        <v>2014</v>
      </c>
      <c r="V137" s="93">
        <v>1059.8240000000001</v>
      </c>
      <c r="W137" s="2">
        <f t="shared" si="21"/>
        <v>321.99950000000001</v>
      </c>
      <c r="X137" s="52">
        <f t="shared" si="22"/>
        <v>309.11952000000002</v>
      </c>
      <c r="Y137" s="2"/>
      <c r="Z137" s="2"/>
      <c r="AA137" s="2"/>
      <c r="AH137" s="36">
        <v>2014</v>
      </c>
      <c r="AI137" s="8">
        <v>-32.2515</v>
      </c>
      <c r="AJ137" s="119">
        <f t="shared" si="23"/>
        <v>-11.152291920000001</v>
      </c>
      <c r="AK137" s="119"/>
      <c r="AL137" s="119"/>
      <c r="AM137" s="95"/>
    </row>
    <row r="138" spans="6:42" x14ac:dyDescent="0.25">
      <c r="F138" s="136" t="s">
        <v>97</v>
      </c>
      <c r="G138" s="156" t="s">
        <v>210</v>
      </c>
      <c r="H138" s="28"/>
      <c r="I138" s="28"/>
      <c r="J138" s="149"/>
      <c r="K138" s="149"/>
      <c r="N138" s="36">
        <v>2018</v>
      </c>
      <c r="O138" s="2">
        <v>2559</v>
      </c>
      <c r="T138" s="118"/>
      <c r="U138" s="36">
        <v>2015</v>
      </c>
      <c r="V138" s="93">
        <v>-708.80499999999995</v>
      </c>
      <c r="W138" s="2">
        <f t="shared" si="21"/>
        <v>529.91200000000003</v>
      </c>
      <c r="X138" s="52">
        <f t="shared" si="22"/>
        <v>508.71552000000003</v>
      </c>
      <c r="Y138" s="2"/>
      <c r="Z138" s="2"/>
      <c r="AA138" s="2"/>
      <c r="AH138" s="36">
        <v>2015</v>
      </c>
      <c r="AI138" s="8">
        <v>-82.002399999999994</v>
      </c>
      <c r="AJ138" s="119">
        <f t="shared" si="23"/>
        <v>-32.419207800000002</v>
      </c>
      <c r="AK138" s="119"/>
      <c r="AL138" s="119"/>
      <c r="AM138" s="95"/>
    </row>
    <row r="139" spans="6:42" x14ac:dyDescent="0.25">
      <c r="F139" s="152">
        <v>2024</v>
      </c>
      <c r="G139" s="154">
        <v>-169.78093039694588</v>
      </c>
      <c r="H139" s="28"/>
      <c r="I139" s="28"/>
      <c r="J139" s="149"/>
      <c r="K139" s="149"/>
      <c r="N139" s="36">
        <v>2019</v>
      </c>
      <c r="O139" s="2">
        <v>2661</v>
      </c>
      <c r="T139" s="118"/>
      <c r="U139" s="36">
        <v>2016</v>
      </c>
      <c r="V139" s="93">
        <v>2532.509</v>
      </c>
      <c r="W139" s="2">
        <f t="shared" si="21"/>
        <v>-354.40249999999997</v>
      </c>
      <c r="X139" s="52">
        <f t="shared" si="22"/>
        <v>-340.22639999999996</v>
      </c>
      <c r="Y139" s="2"/>
      <c r="Z139" s="2"/>
      <c r="AA139" s="2"/>
      <c r="AH139" s="36">
        <v>2016</v>
      </c>
      <c r="AI139" s="8">
        <v>-13.9587</v>
      </c>
      <c r="AJ139" s="119">
        <f t="shared" si="23"/>
        <v>-82.428812480000005</v>
      </c>
      <c r="AK139" s="119"/>
      <c r="AL139" s="119"/>
      <c r="AM139" s="95"/>
    </row>
    <row r="140" spans="6:42" x14ac:dyDescent="0.25">
      <c r="F140" s="152">
        <v>2025</v>
      </c>
      <c r="G140" s="154">
        <v>-164.20280006623756</v>
      </c>
      <c r="H140" s="28"/>
      <c r="I140" s="28"/>
      <c r="J140" s="149"/>
      <c r="K140" s="149"/>
      <c r="N140" s="36">
        <v>2020</v>
      </c>
      <c r="O140" s="2">
        <v>3249</v>
      </c>
      <c r="T140" s="118"/>
      <c r="U140" s="36">
        <v>2017</v>
      </c>
      <c r="V140" s="93">
        <v>198</v>
      </c>
      <c r="W140" s="2">
        <f t="shared" si="21"/>
        <v>1266.2545</v>
      </c>
      <c r="X140" s="52">
        <f t="shared" si="22"/>
        <v>1215.6043199999999</v>
      </c>
      <c r="Y140" s="2"/>
      <c r="Z140" s="2"/>
      <c r="AA140" s="2"/>
      <c r="AH140" s="36">
        <v>2017</v>
      </c>
      <c r="AI140" s="8">
        <v>-42.811399999999999</v>
      </c>
      <c r="AJ140" s="119">
        <f>AI139*(1+0.52%)</f>
        <v>-14.031285240000001</v>
      </c>
      <c r="AK140" s="119"/>
      <c r="AL140" s="119"/>
      <c r="AM140" s="95"/>
    </row>
    <row r="141" spans="6:42" x14ac:dyDescent="0.25">
      <c r="F141" s="152">
        <v>2026</v>
      </c>
      <c r="G141" s="154">
        <v>-156.42241317189601</v>
      </c>
      <c r="N141" s="36">
        <v>2021</v>
      </c>
      <c r="O141" s="2">
        <v>3386</v>
      </c>
      <c r="T141" s="118"/>
      <c r="U141" s="36">
        <v>2018</v>
      </c>
      <c r="V141" s="93">
        <v>312</v>
      </c>
      <c r="W141" s="2">
        <f t="shared" si="21"/>
        <v>99</v>
      </c>
      <c r="X141" s="2">
        <f t="shared" si="22"/>
        <v>95.039999999999992</v>
      </c>
      <c r="Y141" s="52">
        <f>_xlfn.FORECAST.ETS(U141,$V$132:V140,$U$132:U140)</f>
        <v>2429.4025668965714</v>
      </c>
      <c r="Z141" s="52">
        <f>FORECAST(U141,$V$132:V140,$U$132:U140)</f>
        <v>1055.5578888888995</v>
      </c>
      <c r="AA141" s="52">
        <v>2429.4025668965714</v>
      </c>
      <c r="AH141" s="36">
        <v>2018</v>
      </c>
      <c r="AI141" s="8">
        <v>-18.464500000000001</v>
      </c>
      <c r="AJ141" s="119">
        <f t="shared" si="23"/>
        <v>-43.034019280000003</v>
      </c>
      <c r="AK141" s="119">
        <f>_xlfn.FORECAST.ETS(AH141,$AI$132:AI140,$AH$132:AH140)</f>
        <v>-34.949864318166632</v>
      </c>
      <c r="AL141" s="119">
        <f>FORECAST(AH141,AI132:AI140,AH132:AH140)</f>
        <v>-51.401036111110443</v>
      </c>
      <c r="AM141" s="119">
        <v>34.949864318166597</v>
      </c>
    </row>
    <row r="142" spans="6:42" x14ac:dyDescent="0.25">
      <c r="F142" s="152">
        <v>2027</v>
      </c>
      <c r="G142" s="154">
        <v>-145.59895749495007</v>
      </c>
      <c r="N142" s="36">
        <v>2022</v>
      </c>
      <c r="O142" s="2">
        <v>3475</v>
      </c>
      <c r="T142" s="118"/>
      <c r="U142" s="36">
        <v>2019</v>
      </c>
      <c r="V142" s="93">
        <v>2506</v>
      </c>
      <c r="W142" s="2">
        <f t="shared" si="21"/>
        <v>156</v>
      </c>
      <c r="X142" s="2">
        <f t="shared" si="22"/>
        <v>149.76</v>
      </c>
      <c r="Y142" s="52">
        <f>_xlfn.FORECAST.ETS(U142,$V$132:V141,$U$132:U141)</f>
        <v>894.26866479186538</v>
      </c>
      <c r="Z142" s="52">
        <f>FORECAST(U142,$V$132:V141,$U$132:U141)</f>
        <v>882.17653333334601</v>
      </c>
      <c r="AA142" s="52">
        <v>379.66095376082285</v>
      </c>
      <c r="AH142" s="36">
        <v>2019</v>
      </c>
      <c r="AI142" s="8">
        <v>-10.379</v>
      </c>
      <c r="AJ142" s="119">
        <f t="shared" si="23"/>
        <v>-18.560515400000003</v>
      </c>
      <c r="AK142" s="119">
        <f>_xlfn.FORECAST.ETS(AH142,$AI$132:AI141,$AH$132:AH141)</f>
        <v>-18.823965676391623</v>
      </c>
      <c r="AL142" s="119">
        <f t="shared" ref="AL142:AL145" si="24">FORECAST(AH142,AI133:AI141,AH133:AH141)</f>
        <v>2.6068583333326387</v>
      </c>
      <c r="AM142" s="119">
        <v>-30.622563231984167</v>
      </c>
    </row>
    <row r="143" spans="6:42" x14ac:dyDescent="0.25">
      <c r="F143" s="152">
        <v>2028</v>
      </c>
      <c r="G143" s="154">
        <v>-130.49874077083626</v>
      </c>
      <c r="N143" s="36">
        <v>2023</v>
      </c>
      <c r="O143" s="2">
        <v>3485</v>
      </c>
      <c r="T143" s="118"/>
      <c r="U143" s="36">
        <v>2020</v>
      </c>
      <c r="V143" s="93">
        <v>13118</v>
      </c>
      <c r="W143" s="2">
        <f t="shared" si="21"/>
        <v>1253</v>
      </c>
      <c r="X143" s="2">
        <f t="shared" si="22"/>
        <v>1202.8799999999999</v>
      </c>
      <c r="Y143" s="52">
        <f>_xlfn.FORECAST.ETS(U143,$V$132:V142,$U$132:U142)</f>
        <v>1208.5960643887756</v>
      </c>
      <c r="Z143" s="52">
        <f>FORECAST(U143,$V$132:V142,$U$132:U142)</f>
        <v>1556.1418909090571</v>
      </c>
      <c r="AA143" s="52">
        <v>2678.5114606292882</v>
      </c>
      <c r="AH143" s="36">
        <v>2020</v>
      </c>
      <c r="AI143" s="8">
        <v>3.7355999999999998</v>
      </c>
      <c r="AJ143" s="119">
        <f t="shared" si="23"/>
        <v>-10.4329708</v>
      </c>
      <c r="AK143" s="119">
        <f>_xlfn.FORECAST.ETS(AH143,$AI$132:AI142,$AH$132:AH142)</f>
        <v>-6.3953122567210157</v>
      </c>
      <c r="AL143" s="119">
        <f t="shared" si="24"/>
        <v>34.085908333341649</v>
      </c>
      <c r="AM143" s="119">
        <v>-26.295262145801832</v>
      </c>
    </row>
    <row r="144" spans="6:42" x14ac:dyDescent="0.25">
      <c r="N144" s="92">
        <v>2024</v>
      </c>
      <c r="O144" s="151">
        <f>_xlfn.FORECAST.ETS(N144,$O$129:O143,$N$129:N143)</f>
        <v>3723.303216468335</v>
      </c>
      <c r="T144" s="118"/>
      <c r="U144" s="36">
        <v>2021</v>
      </c>
      <c r="V144" s="93">
        <v>-1757</v>
      </c>
      <c r="W144" s="2">
        <f t="shared" si="21"/>
        <v>6559</v>
      </c>
      <c r="X144" s="2">
        <f t="shared" si="22"/>
        <v>6296.6399999999994</v>
      </c>
      <c r="Y144" s="52">
        <f>_xlfn.FORECAST.ETS(U144,$V$132:V143,$U$132:U143)</f>
        <v>13719.981104895101</v>
      </c>
      <c r="Z144" s="52">
        <f>FORECAST(U144,$V$132:V143,$U$132:U143)</f>
        <v>5567.3888484849595</v>
      </c>
      <c r="AA144" s="52">
        <v>628.76984749353915</v>
      </c>
      <c r="AH144" s="36">
        <v>2021</v>
      </c>
      <c r="AI144" s="8">
        <v>18.197700000000001</v>
      </c>
      <c r="AJ144" s="119">
        <f t="shared" si="23"/>
        <v>3.75502512</v>
      </c>
      <c r="AK144" s="119">
        <f>_xlfn.FORECAST.ETS(AH144,$AI$132:AI143,$AH$132:AH143)</f>
        <v>7.5522109336336323</v>
      </c>
      <c r="AL144" s="119">
        <f t="shared" si="24"/>
        <v>54.569972222227079</v>
      </c>
      <c r="AM144" s="119">
        <v>-21.967961059619373</v>
      </c>
    </row>
    <row r="145" spans="6:39" x14ac:dyDescent="0.25">
      <c r="N145" s="92">
        <v>2025</v>
      </c>
      <c r="O145" s="151">
        <f>_xlfn.FORECAST.ETS(N145,$O$129:O144,$N$129:N144)</f>
        <v>3934.659005344276</v>
      </c>
      <c r="T145" s="28"/>
      <c r="U145" s="36">
        <v>2022</v>
      </c>
      <c r="V145" s="93">
        <v>-1220</v>
      </c>
      <c r="W145" s="93">
        <f>V144*(1-50%)</f>
        <v>-878.5</v>
      </c>
      <c r="X145" s="2">
        <f t="shared" si="22"/>
        <v>-843.36</v>
      </c>
      <c r="Y145" s="52">
        <f>_xlfn.FORECAST.ETS(U145,$V$132:V144,$U$132:U144)</f>
        <v>3992.3052452342845</v>
      </c>
      <c r="Z145" s="52">
        <f>FORECAST(U145,$V$132:V144,$U$132:U144)</f>
        <v>3915.7118461538339</v>
      </c>
      <c r="AA145" s="52">
        <v>2927.6203543620045</v>
      </c>
      <c r="AH145" s="36">
        <v>2022</v>
      </c>
      <c r="AI145" s="8">
        <v>27.670400000000001</v>
      </c>
      <c r="AJ145" s="119">
        <f t="shared" si="23"/>
        <v>18.292328040000005</v>
      </c>
      <c r="AK145" s="119">
        <f>_xlfn.FORECAST.ETS(AH145,$AI$132:AI144,$AH$132:AH144)</f>
        <v>22.344401818127221</v>
      </c>
      <c r="AL145" s="119">
        <f t="shared" si="24"/>
        <v>9.3194250000015018</v>
      </c>
      <c r="AM145" s="119">
        <v>-17.640659973437042</v>
      </c>
    </row>
    <row r="146" spans="6:39" x14ac:dyDescent="0.25">
      <c r="N146" s="92">
        <v>2026</v>
      </c>
      <c r="O146" s="151">
        <f>_xlfn.FORECAST.ETS(N146,$O$129:O145,$N$129:N145)</f>
        <v>4141.7167026058987</v>
      </c>
    </row>
    <row r="147" spans="6:39" x14ac:dyDescent="0.25">
      <c r="N147" s="92">
        <v>2027</v>
      </c>
      <c r="O147" s="151">
        <f>_xlfn.FORECAST.ETS(N147,$O$129:O146,$N$129:N146)</f>
        <v>4348.4088149572044</v>
      </c>
    </row>
    <row r="148" spans="6:39" x14ac:dyDescent="0.25">
      <c r="N148" s="92">
        <v>2028</v>
      </c>
      <c r="O148" s="151">
        <f>_xlfn.FORECAST.ETS(N148,$O$129:O147,$N$129:N147)</f>
        <v>4553.0997166843099</v>
      </c>
    </row>
    <row r="149" spans="6:39" x14ac:dyDescent="0.25">
      <c r="F149" s="155"/>
      <c r="G149" s="33"/>
    </row>
    <row r="150" spans="6:39" x14ac:dyDescent="0.25">
      <c r="F150" s="87"/>
      <c r="G150" s="28"/>
      <c r="H150" s="28"/>
    </row>
    <row r="151" spans="6:39" ht="24.75" x14ac:dyDescent="0.25">
      <c r="F151" s="87"/>
      <c r="G151" s="28"/>
      <c r="H151" s="28"/>
      <c r="U151" s="109" t="s">
        <v>97</v>
      </c>
      <c r="V151" s="111" t="s">
        <v>94</v>
      </c>
      <c r="W151" s="95" t="s">
        <v>152</v>
      </c>
      <c r="X151" s="95" t="s">
        <v>143</v>
      </c>
      <c r="Y151" s="95" t="s">
        <v>175</v>
      </c>
      <c r="Z151" s="95" t="s">
        <v>166</v>
      </c>
    </row>
    <row r="152" spans="6:39" x14ac:dyDescent="0.25">
      <c r="F152" s="87"/>
      <c r="G152" s="28"/>
      <c r="H152" s="28"/>
      <c r="U152" s="121">
        <v>2009</v>
      </c>
      <c r="V152" s="8">
        <v>-4.3E-3</v>
      </c>
      <c r="W152" s="95"/>
      <c r="X152" s="95"/>
      <c r="Y152" s="95"/>
      <c r="Z152" s="95"/>
    </row>
    <row r="153" spans="6:39" x14ac:dyDescent="0.25">
      <c r="F153" s="87"/>
      <c r="G153" s="28"/>
      <c r="H153" s="28"/>
      <c r="U153" s="121">
        <v>2010</v>
      </c>
      <c r="V153" s="8">
        <v>0.35070000000000001</v>
      </c>
      <c r="W153" s="119">
        <f>V152*(1-0.5%)</f>
        <v>-4.2785000000000002E-3</v>
      </c>
      <c r="X153" s="119"/>
      <c r="Y153" s="119"/>
      <c r="Z153" s="95"/>
      <c r="AB153" s="2" t="s">
        <v>141</v>
      </c>
      <c r="AC153" s="2">
        <f>MEDIAN(AD127:AD139)</f>
        <v>-0.50404308202154102</v>
      </c>
    </row>
    <row r="154" spans="6:39" x14ac:dyDescent="0.25">
      <c r="F154" s="87"/>
      <c r="G154" s="28"/>
      <c r="H154" s="28"/>
      <c r="U154" s="121">
        <v>2011</v>
      </c>
      <c r="V154" s="8">
        <v>1.2504</v>
      </c>
      <c r="W154" s="119">
        <f t="shared" ref="W154:W165" si="25">V153*(1-0.5%)</f>
        <v>0.34894649999999999</v>
      </c>
      <c r="X154" s="119"/>
      <c r="Y154" s="119"/>
      <c r="Z154" s="95"/>
      <c r="AB154" s="2" t="s">
        <v>152</v>
      </c>
      <c r="AC154" s="2">
        <f>AVERAGE(AD127:AD139)</f>
        <v>-0.12778138964737648</v>
      </c>
    </row>
    <row r="155" spans="6:39" x14ac:dyDescent="0.25">
      <c r="F155" s="87"/>
      <c r="G155" s="28"/>
      <c r="H155" s="28"/>
      <c r="U155" s="121">
        <v>2012</v>
      </c>
      <c r="V155" s="8">
        <v>3.7423000000000002</v>
      </c>
      <c r="W155" s="119">
        <f t="shared" si="25"/>
        <v>1.244148</v>
      </c>
      <c r="X155" s="119"/>
      <c r="Y155" s="119"/>
      <c r="Z155" s="95"/>
      <c r="AB155" s="2" t="s">
        <v>159</v>
      </c>
      <c r="AC155" s="2">
        <f>_xlfn.QUARTILE.INC(AD127:AD139,3)</f>
        <v>7.0824457197301238E-2</v>
      </c>
    </row>
    <row r="156" spans="6:39" x14ac:dyDescent="0.25">
      <c r="F156" s="87"/>
      <c r="G156" s="28"/>
      <c r="H156" s="28"/>
      <c r="K156" s="170"/>
      <c r="L156" s="170"/>
      <c r="U156" s="121">
        <v>2013</v>
      </c>
      <c r="V156" s="8">
        <v>0.90969999999999995</v>
      </c>
      <c r="W156" s="119">
        <f t="shared" si="25"/>
        <v>3.7235885</v>
      </c>
      <c r="X156" s="119"/>
      <c r="Y156" s="119"/>
      <c r="Z156" s="95"/>
    </row>
    <row r="157" spans="6:39" ht="36" x14ac:dyDescent="0.25">
      <c r="F157" s="90" t="s">
        <v>97</v>
      </c>
      <c r="G157" s="80" t="s">
        <v>105</v>
      </c>
      <c r="H157" s="80" t="s">
        <v>7</v>
      </c>
      <c r="I157" s="80" t="s">
        <v>1</v>
      </c>
      <c r="J157" s="80" t="s">
        <v>18</v>
      </c>
      <c r="K157" s="80" t="s">
        <v>93</v>
      </c>
      <c r="L157" s="80" t="s">
        <v>48</v>
      </c>
      <c r="M157" s="80" t="s">
        <v>87</v>
      </c>
      <c r="N157" s="80" t="s">
        <v>94</v>
      </c>
      <c r="U157" s="121">
        <v>2014</v>
      </c>
      <c r="V157" s="8">
        <v>2.7290000000000001</v>
      </c>
      <c r="W157" s="119">
        <f t="shared" si="25"/>
        <v>0.9051515</v>
      </c>
      <c r="X157" s="119"/>
      <c r="Y157" s="119"/>
      <c r="Z157" s="95"/>
    </row>
    <row r="158" spans="6:39" x14ac:dyDescent="0.25">
      <c r="F158" s="36">
        <v>2009</v>
      </c>
      <c r="G158" s="2">
        <v>111.943</v>
      </c>
      <c r="H158" s="2">
        <v>-55.74</v>
      </c>
      <c r="I158" s="2">
        <v>102.408</v>
      </c>
      <c r="J158" s="2">
        <v>61.432000000000002</v>
      </c>
      <c r="K158" s="2">
        <v>-0.88019999999999998</v>
      </c>
      <c r="L158" s="2">
        <v>60.35</v>
      </c>
      <c r="M158" s="2">
        <v>21.9862</v>
      </c>
      <c r="N158" s="2">
        <v>-4.3E-3</v>
      </c>
      <c r="U158" s="121">
        <v>2015</v>
      </c>
      <c r="V158" s="8">
        <v>2.488</v>
      </c>
      <c r="W158" s="119">
        <f t="shared" si="25"/>
        <v>2.7153550000000002</v>
      </c>
      <c r="X158" s="119"/>
      <c r="Y158" s="119"/>
      <c r="Z158" s="95"/>
    </row>
    <row r="159" spans="6:39" x14ac:dyDescent="0.25">
      <c r="F159" s="36">
        <v>2010</v>
      </c>
      <c r="G159" s="2">
        <v>116.744</v>
      </c>
      <c r="H159" s="2">
        <v>-154.328</v>
      </c>
      <c r="I159" s="2">
        <v>86.013000000000005</v>
      </c>
      <c r="J159" s="2">
        <v>177.56899999999999</v>
      </c>
      <c r="K159" s="2">
        <v>0.6593</v>
      </c>
      <c r="L159" s="2">
        <v>29.931000000000001</v>
      </c>
      <c r="M159" s="2">
        <v>-74.537300000000002</v>
      </c>
      <c r="N159" s="2">
        <v>0.35070000000000001</v>
      </c>
      <c r="U159" s="121">
        <v>2016</v>
      </c>
      <c r="V159" s="8">
        <v>1.2693000000000001</v>
      </c>
      <c r="W159" s="119">
        <f t="shared" si="25"/>
        <v>2.4755599999999998</v>
      </c>
      <c r="X159" s="119"/>
      <c r="Y159" s="119"/>
      <c r="Z159" s="95"/>
    </row>
    <row r="160" spans="6:39" x14ac:dyDescent="0.25">
      <c r="F160" s="36">
        <v>2011</v>
      </c>
      <c r="G160" s="2">
        <v>204.24199999999999</v>
      </c>
      <c r="H160" s="2">
        <v>-254.411</v>
      </c>
      <c r="I160" s="2">
        <v>142.64699999999999</v>
      </c>
      <c r="J160" s="2">
        <v>313.08300000000003</v>
      </c>
      <c r="K160" s="2">
        <v>1.35E-2</v>
      </c>
      <c r="L160" s="2">
        <v>155.708</v>
      </c>
      <c r="M160" s="2">
        <v>-113.5535</v>
      </c>
      <c r="N160" s="2">
        <v>1.2504</v>
      </c>
      <c r="U160" s="121">
        <v>2017</v>
      </c>
      <c r="V160" s="8">
        <v>1.9704999999999999</v>
      </c>
      <c r="W160" s="119">
        <f t="shared" si="25"/>
        <v>1.2629535000000001</v>
      </c>
      <c r="X160" s="119"/>
      <c r="Y160" s="119"/>
      <c r="Z160" s="95"/>
    </row>
    <row r="161" spans="6:26" x14ac:dyDescent="0.25">
      <c r="F161" s="36">
        <v>2012</v>
      </c>
      <c r="G161" s="2">
        <v>413.25599999999997</v>
      </c>
      <c r="H161" s="2">
        <v>-396.21300000000002</v>
      </c>
      <c r="I161" s="2">
        <v>383.18900000000002</v>
      </c>
      <c r="J161" s="2">
        <v>424.35</v>
      </c>
      <c r="K161" s="2">
        <v>-0.105</v>
      </c>
      <c r="L161" s="2">
        <v>-53.375999999999998</v>
      </c>
      <c r="M161" s="2">
        <v>-317.7328</v>
      </c>
      <c r="N161" s="2">
        <v>3.7423000000000002</v>
      </c>
      <c r="U161" s="121">
        <v>2018</v>
      </c>
      <c r="V161" s="8">
        <v>2.0796000000000001</v>
      </c>
      <c r="W161" s="119">
        <f t="shared" si="25"/>
        <v>1.9606474999999999</v>
      </c>
      <c r="X161" s="119">
        <f>_xlfn.FORECAST.ETS(U161,V152:V160,U152:U160)</f>
        <v>2.4873374467730982</v>
      </c>
      <c r="Y161" s="119">
        <f>_xlfn.FORECAST.LINEAR(U161,V152:V160,U152:U160)</f>
        <v>2.6436972222222153</v>
      </c>
      <c r="Z161" s="119">
        <v>2.4873374467730982</v>
      </c>
    </row>
    <row r="162" spans="6:26" x14ac:dyDescent="0.25">
      <c r="F162" s="36">
        <v>2013</v>
      </c>
      <c r="G162" s="2">
        <v>2013.4960000000001</v>
      </c>
      <c r="H162" s="2">
        <v>-74.013999999999996</v>
      </c>
      <c r="I162" s="2">
        <v>1557.2339999999999</v>
      </c>
      <c r="J162" s="2">
        <v>517.54499999999996</v>
      </c>
      <c r="K162" s="2">
        <v>0.31269999999999998</v>
      </c>
      <c r="L162" s="2">
        <v>643.99900000000002</v>
      </c>
      <c r="M162" s="2">
        <v>-11.0946</v>
      </c>
      <c r="N162" s="2">
        <v>0.90969999999999995</v>
      </c>
      <c r="U162" s="121">
        <v>2019</v>
      </c>
      <c r="V162" s="8">
        <v>1.7970999999999999</v>
      </c>
      <c r="W162" s="119">
        <f t="shared" si="25"/>
        <v>2.0692020000000002</v>
      </c>
      <c r="X162" s="119">
        <f>_xlfn.FORECAST.ETS(U162,V153:V161,U153:U161)</f>
        <v>0.31116321630914001</v>
      </c>
      <c r="Y162" s="122">
        <f>_xlfn.FORECAST.LINEAR(U162,V153:V161,U153:U161)</f>
        <v>2.3411833333333334</v>
      </c>
      <c r="Z162" s="119">
        <v>2.6918948980803998</v>
      </c>
    </row>
    <row r="163" spans="6:26" x14ac:dyDescent="0.25">
      <c r="F163" s="36">
        <v>2014</v>
      </c>
      <c r="G163" s="2">
        <v>3198.3560000000002</v>
      </c>
      <c r="H163" s="2">
        <v>-294.04000000000002</v>
      </c>
      <c r="I163" s="2">
        <v>2316.6849999999999</v>
      </c>
      <c r="J163" s="2">
        <v>1068.3599999999999</v>
      </c>
      <c r="K163" s="2">
        <v>-0.55020000000000002</v>
      </c>
      <c r="L163" s="2">
        <v>1059.8240000000001</v>
      </c>
      <c r="M163" s="2">
        <v>-32.2515</v>
      </c>
      <c r="N163" s="2">
        <v>2.7290000000000001</v>
      </c>
      <c r="U163" s="121">
        <v>2020</v>
      </c>
      <c r="V163" s="8">
        <v>0.50870000000000004</v>
      </c>
      <c r="W163" s="119">
        <f t="shared" si="25"/>
        <v>1.7881144999999998</v>
      </c>
      <c r="X163" s="119">
        <f>_xlfn.FORECAST.ETS(U163,V154:V162,U154:U162)</f>
        <v>1.7785632877209774</v>
      </c>
      <c r="Y163" s="119">
        <f>_xlfn.FORECAST.LINEAR(U163,V154:V162,U154:U162)</f>
        <v>1.8479277777777696</v>
      </c>
      <c r="Z163" s="119">
        <v>2.8964523493877028</v>
      </c>
    </row>
    <row r="164" spans="6:26" x14ac:dyDescent="0.25">
      <c r="F164" s="36">
        <v>2015</v>
      </c>
      <c r="G164" s="2">
        <v>4046.0250000000001</v>
      </c>
      <c r="H164" s="2">
        <v>-888.66300000000001</v>
      </c>
      <c r="I164" s="2">
        <v>3122.5219999999999</v>
      </c>
      <c r="J164" s="2">
        <v>1640.1320000000001</v>
      </c>
      <c r="K164" s="2">
        <v>-0.57299999999999995</v>
      </c>
      <c r="L164" s="2">
        <v>-708.80499999999995</v>
      </c>
      <c r="M164" s="2">
        <v>-82.002399999999994</v>
      </c>
      <c r="N164" s="2">
        <v>2.488</v>
      </c>
      <c r="U164" s="121">
        <v>2021</v>
      </c>
      <c r="V164" s="8">
        <v>0.2203</v>
      </c>
      <c r="W164" s="119">
        <f t="shared" si="25"/>
        <v>0.50615650000000001</v>
      </c>
      <c r="X164" s="119">
        <f>_xlfn.FORECAST.ETS(U164,V155:V163,U155:U163)</f>
        <v>0.98195697527623049</v>
      </c>
      <c r="Y164" s="122">
        <f>_xlfn.FORECAST.LINEAR(U164,V155:V163,U155:U163)</f>
        <v>0.93642499999998563</v>
      </c>
      <c r="Z164" s="119">
        <v>3.101009800695004</v>
      </c>
    </row>
    <row r="165" spans="6:26" x14ac:dyDescent="0.25">
      <c r="F165" s="36">
        <v>2016</v>
      </c>
      <c r="G165" s="2">
        <v>7000.1319999999996</v>
      </c>
      <c r="H165" s="2">
        <v>-674.91399999999999</v>
      </c>
      <c r="I165" s="2">
        <v>5400.875</v>
      </c>
      <c r="J165" s="2">
        <v>2266.5970000000002</v>
      </c>
      <c r="K165" s="2">
        <v>0.47360000000000002</v>
      </c>
      <c r="L165" s="2">
        <v>2532.509</v>
      </c>
      <c r="M165" s="2">
        <v>-13.9587</v>
      </c>
      <c r="N165" s="2">
        <v>1.2693000000000001</v>
      </c>
      <c r="U165" s="121">
        <v>2022</v>
      </c>
      <c r="V165" s="8">
        <v>6.8099999999999994E-2</v>
      </c>
      <c r="W165" s="119">
        <f t="shared" si="25"/>
        <v>0.21919849999999999</v>
      </c>
      <c r="X165" s="119">
        <f>_xlfn.FORECAST.ETS(U165,V156:V164,U156:U164)</f>
        <v>0.15603674563723699</v>
      </c>
      <c r="Y165" s="122">
        <f>_xlfn.FORECAST.LINEAR(U165,V156:V164,U156:U164)</f>
        <v>0.71996666666666442</v>
      </c>
      <c r="Z165" s="119">
        <v>3.3055672520023074</v>
      </c>
    </row>
    <row r="166" spans="6:26" x14ac:dyDescent="0.25">
      <c r="F166" s="36">
        <v>2017</v>
      </c>
      <c r="G166" s="2">
        <v>11759</v>
      </c>
      <c r="H166" s="2">
        <v>-1962</v>
      </c>
      <c r="I166" s="2">
        <v>9536</v>
      </c>
      <c r="J166" s="2">
        <v>3855</v>
      </c>
      <c r="K166" s="2">
        <v>-0.74670000000000003</v>
      </c>
      <c r="L166" s="2">
        <v>198</v>
      </c>
      <c r="M166" s="2">
        <v>-42.811399999999999</v>
      </c>
      <c r="N166" s="2">
        <v>1.9704999999999999</v>
      </c>
    </row>
    <row r="167" spans="6:26" x14ac:dyDescent="0.25">
      <c r="F167" s="36">
        <v>2018</v>
      </c>
      <c r="G167" s="2">
        <v>21461</v>
      </c>
      <c r="H167" s="2">
        <v>-976</v>
      </c>
      <c r="I167" s="2">
        <v>17419</v>
      </c>
      <c r="J167" s="2">
        <v>4430</v>
      </c>
      <c r="K167" s="2">
        <v>1.3948</v>
      </c>
      <c r="L167" s="2">
        <v>312</v>
      </c>
      <c r="M167" s="2">
        <v>-18.464500000000001</v>
      </c>
      <c r="N167" s="2">
        <v>2.0796000000000001</v>
      </c>
    </row>
    <row r="168" spans="6:26" x14ac:dyDescent="0.25">
      <c r="F168" s="36">
        <v>2019</v>
      </c>
      <c r="G168" s="2">
        <v>24578</v>
      </c>
      <c r="H168" s="2">
        <v>-862</v>
      </c>
      <c r="I168" s="2">
        <v>20509</v>
      </c>
      <c r="J168" s="2">
        <v>4138</v>
      </c>
      <c r="K168" s="2">
        <v>0.40629999999999999</v>
      </c>
      <c r="L168" s="2">
        <v>2506</v>
      </c>
      <c r="M168" s="2">
        <v>-10.379</v>
      </c>
      <c r="N168" s="2">
        <v>1.7970999999999999</v>
      </c>
    </row>
    <row r="169" spans="6:26" x14ac:dyDescent="0.25">
      <c r="F169" s="36">
        <v>2020</v>
      </c>
      <c r="G169" s="2">
        <v>31536</v>
      </c>
      <c r="H169" s="2">
        <v>690</v>
      </c>
      <c r="I169" s="2">
        <v>24906</v>
      </c>
      <c r="J169" s="2">
        <v>4636</v>
      </c>
      <c r="K169" s="2">
        <v>0.45240000000000002</v>
      </c>
      <c r="L169" s="2">
        <v>13118</v>
      </c>
      <c r="M169" s="2">
        <v>3.7355999999999998</v>
      </c>
      <c r="N169" s="2">
        <v>0.50870000000000004</v>
      </c>
    </row>
    <row r="170" spans="6:26" x14ac:dyDescent="0.25">
      <c r="F170" s="36">
        <v>2021</v>
      </c>
      <c r="G170" s="2">
        <v>53823</v>
      </c>
      <c r="H170" s="2">
        <v>5524</v>
      </c>
      <c r="I170" s="2">
        <v>40217</v>
      </c>
      <c r="J170" s="2">
        <v>7083</v>
      </c>
      <c r="K170" s="2">
        <v>0.26090000000000002</v>
      </c>
      <c r="L170" s="2">
        <v>-1757</v>
      </c>
      <c r="M170" s="2">
        <v>18.197700000000001</v>
      </c>
      <c r="N170" s="2">
        <v>0.2203</v>
      </c>
    </row>
    <row r="171" spans="6:26" x14ac:dyDescent="0.25">
      <c r="F171" s="36">
        <v>2022</v>
      </c>
      <c r="G171" s="2">
        <v>81462</v>
      </c>
      <c r="H171" s="2">
        <v>12583</v>
      </c>
      <c r="I171" s="2">
        <v>60609</v>
      </c>
      <c r="J171" s="2">
        <v>7197</v>
      </c>
      <c r="K171" s="2">
        <v>1.3282</v>
      </c>
      <c r="L171" s="2">
        <v>-1220</v>
      </c>
      <c r="M171" s="2">
        <v>27.670400000000001</v>
      </c>
      <c r="N171" s="2">
        <v>6.8099999999999994E-2</v>
      </c>
    </row>
    <row r="172" spans="6:26" x14ac:dyDescent="0.25">
      <c r="F172" s="36">
        <v>2023</v>
      </c>
      <c r="G172" s="2">
        <v>96773</v>
      </c>
      <c r="H172" s="2">
        <v>14999</v>
      </c>
      <c r="I172" s="2">
        <v>79113</v>
      </c>
      <c r="J172" s="52">
        <v>8769</v>
      </c>
      <c r="K172" s="2">
        <v>1.1960999999999999</v>
      </c>
      <c r="L172" s="2">
        <v>265</v>
      </c>
      <c r="M172" s="2">
        <v>22.6111</v>
      </c>
      <c r="N172" s="2">
        <v>8.2500000000000004E-2</v>
      </c>
    </row>
    <row r="173" spans="6:26" x14ac:dyDescent="0.25">
      <c r="F173" s="92">
        <v>2024</v>
      </c>
      <c r="G173" s="93">
        <v>161610.91</v>
      </c>
      <c r="H173" s="93">
        <v>24748.35</v>
      </c>
      <c r="I173" s="93">
        <v>124440.4007</v>
      </c>
      <c r="J173" s="98">
        <v>9723.9936605831826</v>
      </c>
      <c r="K173" s="93">
        <v>0.90289999999998827</v>
      </c>
      <c r="L173" s="93">
        <v>132.5</v>
      </c>
      <c r="M173" s="93">
        <v>62.788602679673069</v>
      </c>
      <c r="N173" s="93">
        <v>0.46439230769229312</v>
      </c>
    </row>
    <row r="174" spans="6:26" x14ac:dyDescent="0.25">
      <c r="F174" s="92">
        <v>2025</v>
      </c>
      <c r="G174" s="93">
        <v>269890.21970000002</v>
      </c>
      <c r="H174" s="93">
        <v>40834.777499999997</v>
      </c>
      <c r="I174" s="93">
        <v>207815.46916900002</v>
      </c>
      <c r="J174" s="98">
        <v>10142.749201449555</v>
      </c>
      <c r="K174" s="93">
        <v>1.1276857142857182</v>
      </c>
      <c r="L174" s="93">
        <v>66.25</v>
      </c>
      <c r="M174" s="93">
        <v>104.76755684009829</v>
      </c>
      <c r="N174" s="93">
        <v>1.6994505494494661E-2</v>
      </c>
    </row>
    <row r="175" spans="6:26" x14ac:dyDescent="0.25">
      <c r="F175" s="92">
        <v>2026</v>
      </c>
      <c r="G175" s="93">
        <v>450716.666899</v>
      </c>
      <c r="H175" s="93">
        <v>67377.382874999996</v>
      </c>
      <c r="I175" s="93">
        <v>347051.83351223002</v>
      </c>
      <c r="J175" s="98">
        <v>10817.871433414588</v>
      </c>
      <c r="K175" s="93">
        <v>1.2951178963893142</v>
      </c>
      <c r="L175" s="93">
        <v>33.125</v>
      </c>
      <c r="M175" s="93">
        <v>115.18551687468803</v>
      </c>
      <c r="N175" s="93">
        <v>-0.40379032725519437</v>
      </c>
    </row>
    <row r="176" spans="6:26" x14ac:dyDescent="0.25">
      <c r="F176" s="92">
        <v>2027</v>
      </c>
      <c r="G176" s="93">
        <v>752696.83372132992</v>
      </c>
      <c r="H176" s="93">
        <v>111172.68174374998</v>
      </c>
      <c r="I176" s="93">
        <v>579576.5619654241</v>
      </c>
      <c r="J176" s="98">
        <v>11736.65716672208</v>
      </c>
      <c r="K176" s="93">
        <v>1.4528212827988227</v>
      </c>
      <c r="L176" s="93">
        <v>16.5625</v>
      </c>
      <c r="M176" s="93">
        <v>138.14290936794339</v>
      </c>
      <c r="N176" s="93">
        <v>-0.46600141459799715</v>
      </c>
    </row>
    <row r="177" spans="6:14" x14ac:dyDescent="0.25">
      <c r="F177" s="92">
        <v>2028</v>
      </c>
      <c r="G177" s="93">
        <v>1257003.7123146208</v>
      </c>
      <c r="H177" s="93">
        <v>183434.92487718747</v>
      </c>
      <c r="I177" s="93">
        <v>967892.85848225805</v>
      </c>
      <c r="J177" s="98">
        <v>12659.301652130824</v>
      </c>
      <c r="K177" s="93">
        <v>1.6828668050047781</v>
      </c>
      <c r="L177" s="93">
        <v>8.28125</v>
      </c>
      <c r="M177" s="93">
        <v>165.10238584083052</v>
      </c>
      <c r="N177" s="93">
        <v>-0.90734236226114717</v>
      </c>
    </row>
    <row r="182" spans="6:14" ht="36" x14ac:dyDescent="0.25">
      <c r="G182" s="80" t="s">
        <v>105</v>
      </c>
      <c r="H182" s="80" t="s">
        <v>7</v>
      </c>
      <c r="I182" s="80" t="s">
        <v>1</v>
      </c>
      <c r="J182" s="80" t="s">
        <v>18</v>
      </c>
      <c r="K182" s="80" t="s">
        <v>93</v>
      </c>
      <c r="L182" s="80" t="s">
        <v>48</v>
      </c>
      <c r="M182" s="80" t="s">
        <v>87</v>
      </c>
      <c r="N182" s="80" t="s">
        <v>94</v>
      </c>
    </row>
    <row r="183" spans="6:14" x14ac:dyDescent="0.25">
      <c r="F183" t="s">
        <v>197</v>
      </c>
      <c r="G183">
        <f>MIN(G158:G177)</f>
        <v>111.943</v>
      </c>
      <c r="H183">
        <f>MIN(H158:H177)</f>
        <v>-1962</v>
      </c>
      <c r="I183">
        <f t="shared" ref="I183:N183" si="26">MIN(I158:I177)</f>
        <v>86.013000000000005</v>
      </c>
      <c r="J183">
        <f t="shared" si="26"/>
        <v>61.432000000000002</v>
      </c>
      <c r="K183">
        <f t="shared" si="26"/>
        <v>-0.88019999999999998</v>
      </c>
      <c r="L183">
        <f t="shared" si="26"/>
        <v>-1757</v>
      </c>
      <c r="M183">
        <f t="shared" si="26"/>
        <v>-317.7328</v>
      </c>
      <c r="N183">
        <f t="shared" si="26"/>
        <v>-0.90734236226114717</v>
      </c>
    </row>
    <row r="184" spans="6:14" x14ac:dyDescent="0.25">
      <c r="F184" t="s">
        <v>198</v>
      </c>
      <c r="G184">
        <f>MAX(G158:G177)</f>
        <v>1257003.7123146208</v>
      </c>
      <c r="H184">
        <f t="shared" ref="H184:M184" si="27">MAX(H158:H177)</f>
        <v>183434.92487718747</v>
      </c>
      <c r="I184">
        <f t="shared" si="27"/>
        <v>967892.85848225805</v>
      </c>
      <c r="J184">
        <f t="shared" si="27"/>
        <v>12659.301652130824</v>
      </c>
      <c r="K184">
        <f t="shared" si="27"/>
        <v>1.6828668050047781</v>
      </c>
      <c r="L184">
        <f t="shared" si="27"/>
        <v>13118</v>
      </c>
      <c r="M184">
        <f t="shared" si="27"/>
        <v>165.10238584083052</v>
      </c>
      <c r="N184">
        <f>MAX(N158:N177)</f>
        <v>3.7423000000000002</v>
      </c>
    </row>
    <row r="189" spans="6:14" ht="36" x14ac:dyDescent="0.25">
      <c r="F189" s="90" t="s">
        <v>97</v>
      </c>
      <c r="G189" s="80" t="s">
        <v>105</v>
      </c>
      <c r="H189" s="80" t="s">
        <v>7</v>
      </c>
      <c r="I189" s="80" t="s">
        <v>1</v>
      </c>
      <c r="J189" s="80" t="s">
        <v>18</v>
      </c>
      <c r="K189" s="80" t="s">
        <v>93</v>
      </c>
      <c r="L189" s="80" t="s">
        <v>48</v>
      </c>
      <c r="M189" s="80" t="s">
        <v>87</v>
      </c>
      <c r="N189" s="80" t="s">
        <v>94</v>
      </c>
    </row>
    <row r="190" spans="6:14" x14ac:dyDescent="0.25">
      <c r="F190" s="36">
        <v>2009</v>
      </c>
      <c r="G190" s="2">
        <f>(G158-$G$183)/($G$184-$G$183)</f>
        <v>0</v>
      </c>
      <c r="H190" s="2">
        <f>(H158-$H$183)/($H$184-$H$183)</f>
        <v>1.0282047565043294E-2</v>
      </c>
      <c r="I190" s="2">
        <f>(I158-$I$183)/($I$184-$I$183)</f>
        <v>1.6940363747717003E-5</v>
      </c>
      <c r="J190" s="2">
        <f>(J158-$J$183)/($J$184-$J$183)</f>
        <v>0</v>
      </c>
      <c r="K190" s="2">
        <f>(K158-$K$183)/($K$184-$K$183)</f>
        <v>0</v>
      </c>
      <c r="L190" s="2">
        <f>(L158-$L$183)/($L$184-$L$183)</f>
        <v>0.12217478991596638</v>
      </c>
      <c r="M190" s="2">
        <f>(M158-$M$183)/($M$184-$M$183)</f>
        <v>0.70359205369094702</v>
      </c>
      <c r="N190" s="2">
        <f>(N158-$N$183)/($N$184-$N$183)</f>
        <v>0.19421759608667893</v>
      </c>
    </row>
    <row r="191" spans="6:14" x14ac:dyDescent="0.25">
      <c r="F191" s="36">
        <v>2010</v>
      </c>
      <c r="G191" s="2">
        <f t="shared" ref="G191:G209" si="28">(G159-$G$183)/($G$184-$G$183)</f>
        <v>3.8197401854401289E-6</v>
      </c>
      <c r="H191" s="2">
        <f t="shared" ref="H191:H209" si="29">(H159-$H$183)/($H$184-$H$183)</f>
        <v>9.7502803846258868E-3</v>
      </c>
      <c r="I191" s="2">
        <f t="shared" ref="I191:I209" si="30">(I159-$I$183)/($I$184-$I$183)</f>
        <v>0</v>
      </c>
      <c r="J191" s="2">
        <f t="shared" ref="J191:J209" si="31">(J159-$J$183)/($J$184-$J$183)</f>
        <v>9.2187808897003787E-3</v>
      </c>
      <c r="K191" s="2">
        <f t="shared" ref="K191:K209" si="32">(K159-$K$183)/($K$184-$K$183)</f>
        <v>0.60064762923615245</v>
      </c>
      <c r="L191" s="2">
        <f t="shared" ref="L191:L209" si="33">(L159-$L$183)/($L$184-$L$183)</f>
        <v>0.12012981512605042</v>
      </c>
      <c r="M191" s="2">
        <f t="shared" ref="M191:M209" si="34">(M159-$M$183)/($M$184-$M$183)</f>
        <v>0.50368222352413816</v>
      </c>
      <c r="N191" s="2">
        <f t="shared" ref="N191:N209" si="35">(N159-$N$183)/($N$184-$N$183)</f>
        <v>0.27056755428590729</v>
      </c>
    </row>
    <row r="192" spans="6:14" x14ac:dyDescent="0.25">
      <c r="F192" s="36">
        <v>2011</v>
      </c>
      <c r="G192" s="2">
        <f t="shared" si="28"/>
        <v>7.3434326052059635E-5</v>
      </c>
      <c r="H192" s="2">
        <f t="shared" si="29"/>
        <v>9.2104494242887715E-3</v>
      </c>
      <c r="I192" s="2">
        <f t="shared" si="30"/>
        <v>5.8517874991656288E-5</v>
      </c>
      <c r="J192" s="2">
        <f t="shared" si="31"/>
        <v>1.9975678979773804E-2</v>
      </c>
      <c r="K192" s="2">
        <f t="shared" si="32"/>
        <v>0.3486838494630396</v>
      </c>
      <c r="L192" s="2">
        <f t="shared" si="33"/>
        <v>0.12858541176470589</v>
      </c>
      <c r="M192" s="2">
        <f t="shared" si="34"/>
        <v>0.42287576793814885</v>
      </c>
      <c r="N192" s="2">
        <f t="shared" si="35"/>
        <v>0.46406630750237421</v>
      </c>
    </row>
    <row r="193" spans="2:14" x14ac:dyDescent="0.25">
      <c r="F193" s="36">
        <v>2012</v>
      </c>
      <c r="G193" s="2">
        <f t="shared" si="28"/>
        <v>2.39728676212356E-4</v>
      </c>
      <c r="H193" s="2">
        <f t="shared" si="29"/>
        <v>8.4455931566137076E-3</v>
      </c>
      <c r="I193" s="2">
        <f t="shared" si="30"/>
        <v>3.070612709418451E-4</v>
      </c>
      <c r="J193" s="2">
        <f t="shared" si="31"/>
        <v>2.8807886572998119E-2</v>
      </c>
      <c r="K193" s="2">
        <f t="shared" si="32"/>
        <v>0.3024501735523647</v>
      </c>
      <c r="L193" s="2">
        <f t="shared" si="33"/>
        <v>0.11452934453781513</v>
      </c>
      <c r="M193" s="2">
        <f t="shared" si="34"/>
        <v>0</v>
      </c>
      <c r="N193" s="2">
        <f t="shared" si="35"/>
        <v>1</v>
      </c>
    </row>
    <row r="194" spans="2:14" x14ac:dyDescent="0.25">
      <c r="F194" s="36">
        <v>2013</v>
      </c>
      <c r="G194" s="2">
        <f t="shared" si="28"/>
        <v>1.5129011474368321E-3</v>
      </c>
      <c r="H194" s="2">
        <f t="shared" si="29"/>
        <v>1.0183480665877598E-2</v>
      </c>
      <c r="I194" s="2">
        <f t="shared" si="30"/>
        <v>1.5201597373150329E-3</v>
      </c>
      <c r="J194" s="2">
        <f t="shared" si="31"/>
        <v>3.6205565908744922E-2</v>
      </c>
      <c r="K194" s="2">
        <f t="shared" si="32"/>
        <v>0.46541900416746107</v>
      </c>
      <c r="L194" s="2">
        <f t="shared" si="33"/>
        <v>0.16141169747899159</v>
      </c>
      <c r="M194" s="2">
        <f t="shared" si="34"/>
        <v>0.63507840561786466</v>
      </c>
      <c r="N194" s="2">
        <f t="shared" si="35"/>
        <v>0.39079185466159361</v>
      </c>
    </row>
    <row r="195" spans="2:14" x14ac:dyDescent="0.25">
      <c r="F195" s="36">
        <v>2014</v>
      </c>
      <c r="G195" s="2">
        <f t="shared" si="28"/>
        <v>2.4555917027629286E-3</v>
      </c>
      <c r="H195" s="2">
        <f t="shared" si="29"/>
        <v>8.9966972273402435E-3</v>
      </c>
      <c r="I195" s="2">
        <f t="shared" si="30"/>
        <v>2.3048731370446719E-3</v>
      </c>
      <c r="J195" s="2">
        <f t="shared" si="31"/>
        <v>7.9928434553193414E-2</v>
      </c>
      <c r="K195" s="2">
        <f t="shared" si="32"/>
        <v>0.12875200886517071</v>
      </c>
      <c r="L195" s="2">
        <f t="shared" si="33"/>
        <v>0.1893663193277311</v>
      </c>
      <c r="M195" s="2">
        <f t="shared" si="34"/>
        <v>0.59126034798572158</v>
      </c>
      <c r="N195" s="2">
        <f t="shared" si="35"/>
        <v>0.78206926015977996</v>
      </c>
    </row>
    <row r="196" spans="2:14" x14ac:dyDescent="0.25">
      <c r="B196" s="90" t="s">
        <v>97</v>
      </c>
      <c r="C196" s="80" t="s">
        <v>105</v>
      </c>
      <c r="F196" s="36">
        <v>2015</v>
      </c>
      <c r="G196" s="2">
        <f t="shared" si="28"/>
        <v>3.1300085624279667E-3</v>
      </c>
      <c r="H196" s="2">
        <f t="shared" si="29"/>
        <v>5.7894002325605499E-3</v>
      </c>
      <c r="I196" s="2">
        <f t="shared" si="30"/>
        <v>3.1375155220016116E-3</v>
      </c>
      <c r="J196" s="2">
        <f t="shared" si="31"/>
        <v>0.12531483842849384</v>
      </c>
      <c r="K196" s="2">
        <f t="shared" si="32"/>
        <v>0.1198564155253953</v>
      </c>
      <c r="L196" s="2">
        <f t="shared" si="33"/>
        <v>7.0466890756302539E-2</v>
      </c>
      <c r="M196" s="2">
        <f t="shared" si="34"/>
        <v>0.48822125419357887</v>
      </c>
      <c r="N196" s="2">
        <f t="shared" si="35"/>
        <v>0.73023731670621927</v>
      </c>
    </row>
    <row r="197" spans="2:14" x14ac:dyDescent="0.25">
      <c r="B197" s="92">
        <v>2024</v>
      </c>
      <c r="C197" s="2">
        <v>0.128490750709637</v>
      </c>
      <c r="F197" s="36">
        <v>2016</v>
      </c>
      <c r="G197" s="2">
        <f t="shared" si="28"/>
        <v>5.4803358317447705E-3</v>
      </c>
      <c r="H197" s="2">
        <f t="shared" si="29"/>
        <v>6.9423265831005812E-3</v>
      </c>
      <c r="I197" s="2">
        <f t="shared" si="30"/>
        <v>5.491655721190529E-3</v>
      </c>
      <c r="J197" s="2">
        <f t="shared" si="31"/>
        <v>0.17504269062087141</v>
      </c>
      <c r="K197" s="2">
        <f t="shared" si="32"/>
        <v>0.52819536242929743</v>
      </c>
      <c r="L197" s="2">
        <f t="shared" si="33"/>
        <v>0.28837035294117647</v>
      </c>
      <c r="M197" s="2">
        <f t="shared" si="34"/>
        <v>0.62914656783141099</v>
      </c>
      <c r="N197" s="2">
        <f t="shared" si="35"/>
        <v>0.46813113626284025</v>
      </c>
    </row>
    <row r="198" spans="2:14" x14ac:dyDescent="0.25">
      <c r="B198" s="92">
        <v>2025</v>
      </c>
      <c r="C198" s="2">
        <v>0.21463922613409206</v>
      </c>
      <c r="F198" s="36">
        <v>2017</v>
      </c>
      <c r="G198" s="2">
        <f t="shared" si="28"/>
        <v>9.2665552312042772E-3</v>
      </c>
      <c r="H198" s="2">
        <f t="shared" si="29"/>
        <v>0</v>
      </c>
      <c r="I198" s="2">
        <f t="shared" si="30"/>
        <v>9.7643316371574876E-3</v>
      </c>
      <c r="J198" s="2">
        <f t="shared" si="31"/>
        <v>0.30112773863780612</v>
      </c>
      <c r="K198" s="2">
        <f t="shared" si="32"/>
        <v>5.208603995000087E-2</v>
      </c>
      <c r="L198" s="2">
        <f t="shared" si="33"/>
        <v>0.13142857142857142</v>
      </c>
      <c r="M198" s="2">
        <f t="shared" si="34"/>
        <v>0.56938973807644067</v>
      </c>
      <c r="N198" s="2">
        <f t="shared" si="35"/>
        <v>0.61893843397917514</v>
      </c>
    </row>
    <row r="199" spans="2:14" x14ac:dyDescent="0.25">
      <c r="B199" s="92">
        <v>2026</v>
      </c>
      <c r="C199" s="2">
        <v>0.35850718009293142</v>
      </c>
      <c r="F199" s="36">
        <v>2018</v>
      </c>
      <c r="G199" s="2">
        <f t="shared" si="28"/>
        <v>1.6985596947334276E-2</v>
      </c>
      <c r="H199" s="2">
        <f t="shared" si="29"/>
        <v>5.3183190641007457E-3</v>
      </c>
      <c r="I199" s="2">
        <f t="shared" si="30"/>
        <v>1.7909551974043928E-2</v>
      </c>
      <c r="J199" s="2">
        <f t="shared" si="31"/>
        <v>0.34677037631208496</v>
      </c>
      <c r="K199" s="2">
        <f t="shared" si="32"/>
        <v>0.8876085459644345</v>
      </c>
      <c r="L199" s="2">
        <f t="shared" si="33"/>
        <v>0.13909243697478993</v>
      </c>
      <c r="M199" s="2">
        <f t="shared" si="34"/>
        <v>0.61981460501649444</v>
      </c>
      <c r="N199" s="2">
        <f t="shared" si="35"/>
        <v>0.64240260423138873</v>
      </c>
    </row>
    <row r="200" spans="2:14" x14ac:dyDescent="0.25">
      <c r="B200" s="92">
        <v>2027</v>
      </c>
      <c r="C200" s="2">
        <v>0.59876666320419314</v>
      </c>
      <c r="F200" s="36">
        <v>2019</v>
      </c>
      <c r="G200" s="2">
        <f t="shared" si="28"/>
        <v>1.9465524078768743E-2</v>
      </c>
      <c r="H200" s="2">
        <f t="shared" si="29"/>
        <v>5.933215994432881E-3</v>
      </c>
      <c r="I200" s="2">
        <f t="shared" si="30"/>
        <v>2.1102337822195533E-2</v>
      </c>
      <c r="J200" s="2">
        <f t="shared" si="31"/>
        <v>0.32359185422358161</v>
      </c>
      <c r="K200" s="2">
        <f t="shared" si="32"/>
        <v>0.50193775577285493</v>
      </c>
      <c r="L200" s="2">
        <f t="shared" si="33"/>
        <v>0.28658823529411764</v>
      </c>
      <c r="M200" s="2">
        <f t="shared" si="34"/>
        <v>0.63656048484693695</v>
      </c>
      <c r="N200" s="2">
        <f t="shared" si="35"/>
        <v>0.58164524312918586</v>
      </c>
    </row>
    <row r="201" spans="2:14" x14ac:dyDescent="0.25">
      <c r="B201" s="92">
        <v>2028</v>
      </c>
      <c r="C201" s="2">
        <v>1</v>
      </c>
      <c r="F201" s="36">
        <v>2020</v>
      </c>
      <c r="G201" s="2">
        <f t="shared" si="28"/>
        <v>2.5001402481245813E-2</v>
      </c>
      <c r="H201" s="2">
        <f t="shared" si="29"/>
        <v>1.4304444379305455E-2</v>
      </c>
      <c r="I201" s="2">
        <f t="shared" si="30"/>
        <v>2.5645599755633269E-2</v>
      </c>
      <c r="J201" s="2">
        <f t="shared" si="31"/>
        <v>0.3631223473745222</v>
      </c>
      <c r="K201" s="2">
        <f t="shared" si="32"/>
        <v>0.51992402125371673</v>
      </c>
      <c r="L201" s="2">
        <f t="shared" si="33"/>
        <v>1</v>
      </c>
      <c r="M201" s="2">
        <f t="shared" si="34"/>
        <v>0.6657932342693309</v>
      </c>
      <c r="N201" s="2">
        <f t="shared" si="35"/>
        <v>0.30454866244218359</v>
      </c>
    </row>
    <row r="202" spans="2:14" x14ac:dyDescent="0.25">
      <c r="F202" s="36">
        <v>2021</v>
      </c>
      <c r="G202" s="2">
        <f t="shared" si="28"/>
        <v>4.2733239497055875E-2</v>
      </c>
      <c r="H202" s="2">
        <f t="shared" si="29"/>
        <v>4.0378231758476858E-2</v>
      </c>
      <c r="I202" s="2">
        <f t="shared" si="30"/>
        <v>4.1465905296425895E-2</v>
      </c>
      <c r="J202" s="2">
        <f t="shared" si="31"/>
        <v>0.55736153761619223</v>
      </c>
      <c r="K202" s="2">
        <f t="shared" si="32"/>
        <v>0.44520884035165553</v>
      </c>
      <c r="L202" s="2">
        <f t="shared" si="33"/>
        <v>0</v>
      </c>
      <c r="M202" s="2">
        <f t="shared" si="34"/>
        <v>0.69574569097526684</v>
      </c>
      <c r="N202" s="2">
        <f t="shared" si="35"/>
        <v>0.24252238654174002</v>
      </c>
    </row>
    <row r="203" spans="2:14" x14ac:dyDescent="0.25">
      <c r="F203" s="36">
        <v>2022</v>
      </c>
      <c r="G203" s="2">
        <f t="shared" si="28"/>
        <v>6.4723199710632145E-2</v>
      </c>
      <c r="H203" s="2">
        <f t="shared" si="29"/>
        <v>7.8453296944569317E-2</v>
      </c>
      <c r="I203" s="2">
        <f t="shared" si="30"/>
        <v>6.2536225366169429E-2</v>
      </c>
      <c r="J203" s="2">
        <f t="shared" si="31"/>
        <v>0.5664106866507449</v>
      </c>
      <c r="K203" s="2">
        <f t="shared" si="32"/>
        <v>0.86162404962982742</v>
      </c>
      <c r="L203" s="2">
        <f t="shared" si="33"/>
        <v>3.6100840336134456E-2</v>
      </c>
      <c r="M203" s="2">
        <f t="shared" si="34"/>
        <v>0.71536460085960718</v>
      </c>
      <c r="N203" s="2">
        <f t="shared" si="35"/>
        <v>0.2097886861532258</v>
      </c>
    </row>
    <row r="204" spans="2:14" x14ac:dyDescent="0.25">
      <c r="F204" s="36">
        <v>2023</v>
      </c>
      <c r="G204" s="2">
        <f t="shared" si="28"/>
        <v>7.6904837281820196E-2</v>
      </c>
      <c r="H204" s="2">
        <f t="shared" si="29"/>
        <v>9.1484796801432816E-2</v>
      </c>
      <c r="I204" s="2">
        <f t="shared" si="30"/>
        <v>8.165574295005204E-2</v>
      </c>
      <c r="J204" s="2">
        <f t="shared" si="31"/>
        <v>0.69119368912720791</v>
      </c>
      <c r="K204" s="2">
        <f t="shared" si="32"/>
        <v>0.81008423032349686</v>
      </c>
      <c r="L204" s="2">
        <f t="shared" si="33"/>
        <v>0.1359327731092437</v>
      </c>
      <c r="M204" s="2">
        <f t="shared" si="34"/>
        <v>0.70488628414126475</v>
      </c>
      <c r="N204" s="2">
        <f t="shared" si="35"/>
        <v>0.21288569854215222</v>
      </c>
    </row>
    <row r="205" spans="2:14" x14ac:dyDescent="0.25">
      <c r="F205" s="92">
        <v>2024</v>
      </c>
      <c r="G205" s="2">
        <f t="shared" si="28"/>
        <v>0.12849075070963739</v>
      </c>
      <c r="H205" s="2">
        <f t="shared" si="29"/>
        <v>0.14407115985172755</v>
      </c>
      <c r="I205" s="2">
        <f t="shared" si="30"/>
        <v>0.12849091560003817</v>
      </c>
      <c r="J205" s="2">
        <f t="shared" si="31"/>
        <v>0.76699965370326251</v>
      </c>
      <c r="K205" s="2">
        <f t="shared" si="32"/>
        <v>0.69569002123480117</v>
      </c>
      <c r="L205" s="2">
        <f t="shared" si="33"/>
        <v>0.12702521008403361</v>
      </c>
      <c r="M205" s="2">
        <f t="shared" si="34"/>
        <v>0.78809791381921834</v>
      </c>
      <c r="N205" s="2">
        <f t="shared" si="35"/>
        <v>0.29501939355317597</v>
      </c>
    </row>
    <row r="206" spans="2:14" x14ac:dyDescent="0.25">
      <c r="F206" s="92">
        <v>2025</v>
      </c>
      <c r="G206" s="2">
        <f t="shared" si="28"/>
        <v>0.21463922613409206</v>
      </c>
      <c r="H206" s="2">
        <f t="shared" si="29"/>
        <v>0.23083865888471383</v>
      </c>
      <c r="I206" s="2">
        <f t="shared" si="30"/>
        <v>0.21463937472511724</v>
      </c>
      <c r="J206" s="2">
        <f t="shared" si="31"/>
        <v>0.80023984053084596</v>
      </c>
      <c r="K206" s="2">
        <f t="shared" si="32"/>
        <v>0.78339187662413468</v>
      </c>
      <c r="L206" s="2">
        <f t="shared" si="33"/>
        <v>0.12257142857142857</v>
      </c>
      <c r="M206" s="2">
        <f t="shared" si="34"/>
        <v>0.87504052983284042</v>
      </c>
      <c r="N206" s="2">
        <f t="shared" si="35"/>
        <v>0.19879741187365893</v>
      </c>
    </row>
    <row r="207" spans="2:14" x14ac:dyDescent="0.25">
      <c r="F207" s="92">
        <v>2026</v>
      </c>
      <c r="G207" s="2">
        <f t="shared" si="28"/>
        <v>0.35850718009293142</v>
      </c>
      <c r="H207" s="2">
        <f t="shared" si="29"/>
        <v>0.37400503228914128</v>
      </c>
      <c r="I207" s="2">
        <f t="shared" si="30"/>
        <v>0.35850730146399928</v>
      </c>
      <c r="J207" s="2">
        <f t="shared" si="31"/>
        <v>0.85383003082550757</v>
      </c>
      <c r="K207" s="2">
        <f t="shared" si="32"/>
        <v>0.84871681539539856</v>
      </c>
      <c r="L207" s="2">
        <f t="shared" si="33"/>
        <v>0.12034453781512605</v>
      </c>
      <c r="M207" s="2">
        <f t="shared" si="34"/>
        <v>0.89661716786605961</v>
      </c>
      <c r="N207" s="2">
        <f t="shared" si="35"/>
        <v>0.10829908964462218</v>
      </c>
    </row>
    <row r="208" spans="2:14" x14ac:dyDescent="0.25">
      <c r="F208" s="92">
        <v>2027</v>
      </c>
      <c r="G208" s="2">
        <f t="shared" si="28"/>
        <v>0.59876666320419314</v>
      </c>
      <c r="H208" s="2">
        <f t="shared" si="29"/>
        <v>0.61022954840644639</v>
      </c>
      <c r="I208" s="2">
        <f t="shared" si="30"/>
        <v>0.59876673911793221</v>
      </c>
      <c r="J208" s="2">
        <f t="shared" si="31"/>
        <v>0.92676186443533437</v>
      </c>
      <c r="K208" s="2">
        <f t="shared" si="32"/>
        <v>0.91024599056226063</v>
      </c>
      <c r="L208" s="2">
        <f t="shared" si="33"/>
        <v>0.11923109243697479</v>
      </c>
      <c r="M208" s="2">
        <f t="shared" si="34"/>
        <v>0.94416422567477409</v>
      </c>
      <c r="N208" s="2">
        <f t="shared" si="35"/>
        <v>9.4919332128702349E-2</v>
      </c>
    </row>
    <row r="209" spans="3:20" x14ac:dyDescent="0.25">
      <c r="F209" s="92">
        <v>2028</v>
      </c>
      <c r="G209" s="2">
        <f t="shared" si="28"/>
        <v>1</v>
      </c>
      <c r="H209" s="2">
        <f t="shared" si="29"/>
        <v>1</v>
      </c>
      <c r="I209" s="2">
        <f t="shared" si="30"/>
        <v>1</v>
      </c>
      <c r="J209" s="2">
        <f t="shared" si="31"/>
        <v>1</v>
      </c>
      <c r="K209" s="2">
        <f t="shared" si="32"/>
        <v>1</v>
      </c>
      <c r="L209" s="2">
        <f t="shared" si="33"/>
        <v>0.11867436974789916</v>
      </c>
      <c r="M209" s="2">
        <f t="shared" si="34"/>
        <v>1</v>
      </c>
      <c r="N209" s="2">
        <f t="shared" si="35"/>
        <v>0</v>
      </c>
    </row>
    <row r="215" spans="3:20" ht="24" customHeight="1" x14ac:dyDescent="0.25">
      <c r="C215" s="157"/>
      <c r="D215" s="33"/>
      <c r="F215" s="90" t="s">
        <v>97</v>
      </c>
      <c r="G215" s="80" t="s">
        <v>105</v>
      </c>
      <c r="H215" s="80" t="s">
        <v>7</v>
      </c>
      <c r="I215" s="80" t="s">
        <v>1</v>
      </c>
      <c r="J215" s="80" t="s">
        <v>18</v>
      </c>
      <c r="P215" s="90" t="s">
        <v>97</v>
      </c>
      <c r="Q215" s="80" t="s">
        <v>93</v>
      </c>
      <c r="R215" s="80" t="s">
        <v>48</v>
      </c>
      <c r="S215" s="80" t="s">
        <v>87</v>
      </c>
      <c r="T215" s="80" t="s">
        <v>94</v>
      </c>
    </row>
    <row r="216" spans="3:20" x14ac:dyDescent="0.25">
      <c r="C216" s="87"/>
      <c r="D216" s="28"/>
      <c r="F216" s="92">
        <v>2024</v>
      </c>
      <c r="G216" s="2">
        <v>0.12849075070963739</v>
      </c>
      <c r="H216" s="2">
        <v>0.14407115985172755</v>
      </c>
      <c r="I216" s="2">
        <v>0.12849091560003817</v>
      </c>
      <c r="J216" s="2">
        <v>0.76699965370326251</v>
      </c>
      <c r="P216" s="92">
        <v>2024</v>
      </c>
      <c r="Q216" s="2">
        <v>0.69569002123480117</v>
      </c>
      <c r="R216" s="2">
        <v>0.12702521008403361</v>
      </c>
      <c r="S216" s="2">
        <v>0.78809791381921834</v>
      </c>
      <c r="T216" s="2">
        <v>0.29501939355317597</v>
      </c>
    </row>
    <row r="217" spans="3:20" x14ac:dyDescent="0.25">
      <c r="C217" s="87"/>
      <c r="D217" s="28"/>
      <c r="F217" s="92">
        <v>2025</v>
      </c>
      <c r="G217" s="2">
        <v>0.21463922613409206</v>
      </c>
      <c r="H217" s="2">
        <v>0.23083865888471383</v>
      </c>
      <c r="I217" s="2">
        <v>0.21463937472511724</v>
      </c>
      <c r="J217" s="2">
        <v>0.80023984053084596</v>
      </c>
      <c r="P217" s="92">
        <v>2025</v>
      </c>
      <c r="Q217" s="2">
        <v>0.78339187662413468</v>
      </c>
      <c r="R217" s="2">
        <v>0.12257142857142857</v>
      </c>
      <c r="S217" s="2">
        <v>0.87504052983284042</v>
      </c>
      <c r="T217" s="2">
        <v>0.19879741187365893</v>
      </c>
    </row>
    <row r="218" spans="3:20" x14ac:dyDescent="0.25">
      <c r="C218" s="87"/>
      <c r="D218" s="28"/>
      <c r="F218" s="92">
        <v>2026</v>
      </c>
      <c r="G218" s="2">
        <v>0.35850718009293142</v>
      </c>
      <c r="H218" s="2">
        <v>0.37400503228914128</v>
      </c>
      <c r="I218" s="2">
        <v>0.35850730146399928</v>
      </c>
      <c r="J218" s="2">
        <v>0.85383003082550757</v>
      </c>
      <c r="P218" s="92">
        <v>2026</v>
      </c>
      <c r="Q218" s="2">
        <v>0.84871681539539856</v>
      </c>
      <c r="R218" s="2">
        <v>0.12034453781512605</v>
      </c>
      <c r="S218" s="2">
        <v>0.89661716786605961</v>
      </c>
      <c r="T218" s="2">
        <v>0.10829908964462218</v>
      </c>
    </row>
    <row r="219" spans="3:20" x14ac:dyDescent="0.25">
      <c r="C219" s="87"/>
      <c r="D219" s="28"/>
      <c r="F219" s="92">
        <v>2027</v>
      </c>
      <c r="G219" s="2">
        <v>0.59876666320419314</v>
      </c>
      <c r="H219" s="2">
        <v>0.61022954840644639</v>
      </c>
      <c r="I219" s="2">
        <v>0.59876673911793221</v>
      </c>
      <c r="J219" s="2">
        <v>0.92676186443533437</v>
      </c>
      <c r="P219" s="92">
        <v>2027</v>
      </c>
      <c r="Q219" s="2">
        <v>0.91024599056226063</v>
      </c>
      <c r="R219" s="2">
        <v>0.11923109243697479</v>
      </c>
      <c r="S219" s="2">
        <v>0.94416422567477409</v>
      </c>
      <c r="T219" s="2">
        <v>9.4919332128702349E-2</v>
      </c>
    </row>
    <row r="220" spans="3:20" x14ac:dyDescent="0.25">
      <c r="C220" s="87"/>
      <c r="D220" s="28"/>
      <c r="F220" s="92">
        <v>2028</v>
      </c>
      <c r="G220" s="2">
        <v>1</v>
      </c>
      <c r="H220" s="2">
        <v>1</v>
      </c>
      <c r="I220" s="2">
        <v>1</v>
      </c>
      <c r="J220" s="2">
        <v>1</v>
      </c>
      <c r="P220" s="92">
        <v>2028</v>
      </c>
      <c r="Q220" s="2">
        <v>1</v>
      </c>
      <c r="R220" s="2">
        <v>0.11867436974789916</v>
      </c>
      <c r="S220" s="2">
        <v>1</v>
      </c>
      <c r="T220" s="2">
        <v>0</v>
      </c>
    </row>
    <row r="221" spans="3:20" x14ac:dyDescent="0.25">
      <c r="C221" s="87"/>
      <c r="D221" s="28"/>
      <c r="F221" s="28"/>
      <c r="H221" s="28"/>
      <c r="J221" s="28"/>
    </row>
    <row r="222" spans="3:20" x14ac:dyDescent="0.25">
      <c r="C222" s="87"/>
      <c r="D222" s="28"/>
      <c r="F222" s="28"/>
      <c r="H222" s="28"/>
      <c r="J222" s="28"/>
    </row>
    <row r="223" spans="3:20" x14ac:dyDescent="0.25">
      <c r="C223" s="87"/>
      <c r="D223" s="28"/>
      <c r="F223" s="28"/>
      <c r="H223" s="28"/>
      <c r="J223" s="28"/>
    </row>
    <row r="224" spans="3:20" x14ac:dyDescent="0.25">
      <c r="C224" s="87"/>
      <c r="D224" s="28"/>
      <c r="F224" s="28"/>
      <c r="H224" s="28"/>
      <c r="J224" s="28"/>
    </row>
    <row r="225" spans="3:11" x14ac:dyDescent="0.25">
      <c r="C225" s="87"/>
      <c r="D225" s="28"/>
      <c r="F225" s="28"/>
      <c r="H225" s="28"/>
      <c r="J225" s="28"/>
    </row>
    <row r="226" spans="3:11" x14ac:dyDescent="0.25">
      <c r="C226" s="87"/>
      <c r="D226" s="28"/>
      <c r="F226" s="28"/>
      <c r="H226" s="28"/>
      <c r="J226" s="28"/>
    </row>
    <row r="227" spans="3:11" x14ac:dyDescent="0.25">
      <c r="C227" s="87"/>
      <c r="D227" s="28"/>
      <c r="F227" s="28"/>
      <c r="H227" s="28"/>
      <c r="J227" s="28"/>
    </row>
    <row r="228" spans="3:11" x14ac:dyDescent="0.25">
      <c r="C228" s="87"/>
      <c r="D228" s="28"/>
      <c r="F228" s="28"/>
      <c r="H228" s="28"/>
      <c r="J228" s="28"/>
    </row>
    <row r="229" spans="3:11" x14ac:dyDescent="0.25">
      <c r="C229" s="87"/>
      <c r="D229" s="28"/>
      <c r="F229" s="28"/>
      <c r="H229" s="28"/>
      <c r="J229" s="28"/>
    </row>
    <row r="230" spans="3:11" x14ac:dyDescent="0.25">
      <c r="C230" s="87"/>
      <c r="D230" s="28"/>
      <c r="F230" s="28"/>
      <c r="H230" s="28"/>
      <c r="J230" s="28"/>
    </row>
    <row r="231" spans="3:11" x14ac:dyDescent="0.25">
      <c r="C231" s="142"/>
      <c r="E231" s="28"/>
      <c r="G231" s="28"/>
      <c r="I231" s="28"/>
      <c r="K231" s="28"/>
    </row>
    <row r="232" spans="3:11" x14ac:dyDescent="0.25">
      <c r="C232" s="142"/>
      <c r="E232" s="28"/>
      <c r="G232" s="28"/>
      <c r="I232" s="28"/>
      <c r="K232" s="28"/>
    </row>
    <row r="233" spans="3:11" x14ac:dyDescent="0.25">
      <c r="C233" s="142"/>
      <c r="E233" s="28"/>
      <c r="G233" s="28"/>
      <c r="I233" s="28"/>
      <c r="K233" s="28"/>
    </row>
    <row r="234" spans="3:11" x14ac:dyDescent="0.25">
      <c r="C234" s="142"/>
      <c r="E234" s="28"/>
      <c r="G234" s="28"/>
      <c r="I234" s="28"/>
      <c r="K234" s="28"/>
    </row>
    <row r="235" spans="3:11" x14ac:dyDescent="0.25">
      <c r="C235" s="142"/>
      <c r="E235" s="28"/>
      <c r="G235" s="28"/>
      <c r="I235" s="28"/>
      <c r="K235" s="28"/>
    </row>
    <row r="240" spans="3:11" x14ac:dyDescent="0.25">
      <c r="D240" s="157"/>
      <c r="E240" s="33"/>
      <c r="G240" s="33"/>
      <c r="I240" s="33"/>
      <c r="K240" s="33"/>
    </row>
    <row r="241" spans="4:12" x14ac:dyDescent="0.25">
      <c r="D241" s="87"/>
      <c r="E241" s="28"/>
      <c r="G241" s="28"/>
      <c r="I241" s="28"/>
      <c r="K241" s="28"/>
    </row>
    <row r="242" spans="4:12" x14ac:dyDescent="0.25">
      <c r="D242" s="87"/>
      <c r="E242" s="28"/>
      <c r="G242" s="28"/>
      <c r="I242" s="28"/>
      <c r="K242" s="28"/>
    </row>
    <row r="243" spans="4:12" x14ac:dyDescent="0.25">
      <c r="D243" s="87"/>
      <c r="E243" s="28"/>
      <c r="G243" s="28"/>
      <c r="I243" s="28"/>
      <c r="K243" s="28"/>
    </row>
    <row r="244" spans="4:12" x14ac:dyDescent="0.25">
      <c r="D244" s="87"/>
      <c r="E244" s="28"/>
      <c r="G244" s="28"/>
      <c r="I244" s="28"/>
      <c r="K244" s="28"/>
    </row>
    <row r="245" spans="4:12" x14ac:dyDescent="0.25">
      <c r="D245" s="87"/>
      <c r="E245" s="28"/>
      <c r="G245" s="28"/>
      <c r="I245" s="28"/>
      <c r="K245" s="28"/>
    </row>
    <row r="246" spans="4:12" x14ac:dyDescent="0.25">
      <c r="D246" s="87"/>
      <c r="E246" s="28"/>
      <c r="G246" s="28"/>
      <c r="I246" s="28"/>
      <c r="K246" s="28"/>
    </row>
    <row r="247" spans="4:12" x14ac:dyDescent="0.25">
      <c r="D247" s="87"/>
      <c r="E247" s="28"/>
      <c r="G247" s="28"/>
      <c r="I247" s="28"/>
      <c r="K247" s="28"/>
    </row>
    <row r="248" spans="4:12" x14ac:dyDescent="0.25">
      <c r="D248" s="87"/>
      <c r="E248" s="28"/>
      <c r="G248" s="28"/>
      <c r="I248" s="28"/>
      <c r="K248" s="28"/>
    </row>
    <row r="249" spans="4:12" x14ac:dyDescent="0.25">
      <c r="D249" s="87"/>
      <c r="E249" s="28"/>
      <c r="G249" s="28"/>
      <c r="I249" s="28"/>
      <c r="K249" s="28"/>
    </row>
    <row r="250" spans="4:12" x14ac:dyDescent="0.25">
      <c r="D250" s="87"/>
      <c r="E250" s="28"/>
      <c r="G250" s="28"/>
      <c r="I250" s="28"/>
      <c r="K250" s="28"/>
    </row>
    <row r="251" spans="4:12" x14ac:dyDescent="0.25">
      <c r="D251" s="87"/>
      <c r="E251" s="28"/>
      <c r="G251" s="28"/>
      <c r="I251" s="28"/>
      <c r="K251" s="28"/>
    </row>
    <row r="252" spans="4:12" x14ac:dyDescent="0.25">
      <c r="D252" s="87"/>
      <c r="E252" s="28"/>
      <c r="G252" s="28"/>
      <c r="I252" s="28"/>
      <c r="K252" s="28"/>
    </row>
    <row r="253" spans="4:12" x14ac:dyDescent="0.25">
      <c r="D253" s="87"/>
      <c r="E253" s="28"/>
      <c r="G253" s="28"/>
      <c r="I253" s="28"/>
      <c r="K253" s="28"/>
    </row>
    <row r="254" spans="4:12" x14ac:dyDescent="0.25">
      <c r="D254" s="87"/>
      <c r="E254" s="28"/>
      <c r="G254" s="28"/>
      <c r="I254" s="28"/>
      <c r="K254" s="28"/>
    </row>
    <row r="255" spans="4:12" x14ac:dyDescent="0.25">
      <c r="D255" s="87"/>
      <c r="E255" s="28"/>
      <c r="G255" s="28"/>
      <c r="I255" s="28"/>
      <c r="K255" s="158"/>
    </row>
    <row r="256" spans="4:12" x14ac:dyDescent="0.25">
      <c r="D256" s="142"/>
      <c r="F256" s="143"/>
      <c r="H256" s="143"/>
      <c r="J256" s="143"/>
      <c r="L256" s="144"/>
    </row>
    <row r="257" spans="4:12" x14ac:dyDescent="0.25">
      <c r="D257" s="142"/>
      <c r="F257" s="143"/>
      <c r="H257" s="143"/>
      <c r="J257" s="143"/>
      <c r="L257" s="144"/>
    </row>
    <row r="258" spans="4:12" x14ac:dyDescent="0.25">
      <c r="D258" s="142"/>
      <c r="F258" s="143"/>
      <c r="H258" s="143"/>
      <c r="J258" s="143"/>
      <c r="L258" s="144"/>
    </row>
    <row r="259" spans="4:12" x14ac:dyDescent="0.25">
      <c r="D259" s="142"/>
      <c r="F259" s="143"/>
      <c r="H259" s="143"/>
      <c r="J259" s="143"/>
      <c r="L259" s="144"/>
    </row>
    <row r="260" spans="4:12" x14ac:dyDescent="0.25">
      <c r="D260" s="142"/>
      <c r="F260" s="143"/>
      <c r="H260" s="143"/>
      <c r="J260" s="143"/>
      <c r="L260" s="144"/>
    </row>
  </sheetData>
  <mergeCells count="1">
    <mergeCell ref="K156:L156"/>
  </mergeCells>
  <pageMargins left="0.7" right="0.7" top="0.75" bottom="0.75" header="0.3" footer="0.3"/>
  <ignoredErrors>
    <ignoredError sqref="Z83:Z8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5811-7E1B-4DB3-BD96-B9222320FFF8}">
  <sheetPr>
    <tabColor rgb="FFFFFF00"/>
  </sheetPr>
  <dimension ref="A1:AE75"/>
  <sheetViews>
    <sheetView workbookViewId="0">
      <selection activeCell="AI16" sqref="AI16"/>
    </sheetView>
  </sheetViews>
  <sheetFormatPr defaultRowHeight="15" x14ac:dyDescent="0.25"/>
  <sheetData>
    <row r="1" s="49" customFormat="1" x14ac:dyDescent="0.25"/>
    <row r="2" s="49" customFormat="1" x14ac:dyDescent="0.25"/>
    <row r="3" s="49" customFormat="1" x14ac:dyDescent="0.25"/>
    <row r="4" s="49" customFormat="1" x14ac:dyDescent="0.25"/>
    <row r="5" s="49" customFormat="1" x14ac:dyDescent="0.25"/>
    <row r="6" s="49" customFormat="1" x14ac:dyDescent="0.25"/>
    <row r="7" s="49" customFormat="1" x14ac:dyDescent="0.25"/>
    <row r="8" s="49" customFormat="1" x14ac:dyDescent="0.25"/>
    <row r="9" s="49" customFormat="1" x14ac:dyDescent="0.25"/>
    <row r="10" s="49" customFormat="1" x14ac:dyDescent="0.25"/>
    <row r="11" s="49" customFormat="1" x14ac:dyDescent="0.25"/>
    <row r="12" s="49" customFormat="1" x14ac:dyDescent="0.25"/>
    <row r="13" s="49" customFormat="1" x14ac:dyDescent="0.25"/>
    <row r="14" s="49" customFormat="1" x14ac:dyDescent="0.25"/>
    <row r="15" s="49" customFormat="1" x14ac:dyDescent="0.25"/>
    <row r="16" s="49" customFormat="1" x14ac:dyDescent="0.25"/>
    <row r="17" s="49" customFormat="1" x14ac:dyDescent="0.25"/>
    <row r="18" s="49" customFormat="1" x14ac:dyDescent="0.25"/>
    <row r="19" s="49" customFormat="1" x14ac:dyDescent="0.25"/>
    <row r="20" s="49" customFormat="1" x14ac:dyDescent="0.25"/>
    <row r="21" s="49" customFormat="1" x14ac:dyDescent="0.25"/>
    <row r="22" s="49" customFormat="1" x14ac:dyDescent="0.25"/>
    <row r="23" s="49" customFormat="1" x14ac:dyDescent="0.25"/>
    <row r="24" s="49" customFormat="1" x14ac:dyDescent="0.25"/>
    <row r="25" s="49" customFormat="1" x14ac:dyDescent="0.25"/>
    <row r="26" s="49" customFormat="1" x14ac:dyDescent="0.25"/>
    <row r="27" s="49" customFormat="1" x14ac:dyDescent="0.25"/>
    <row r="28" s="49" customFormat="1" x14ac:dyDescent="0.25"/>
    <row r="29" s="49" customFormat="1" x14ac:dyDescent="0.25"/>
    <row r="30" s="49" customFormat="1" x14ac:dyDescent="0.25"/>
    <row r="31" s="49" customFormat="1" x14ac:dyDescent="0.25"/>
    <row r="32" s="49" customFormat="1" x14ac:dyDescent="0.25"/>
    <row r="33" s="49" customFormat="1" x14ac:dyDescent="0.25"/>
    <row r="34" s="49" customFormat="1" x14ac:dyDescent="0.25"/>
    <row r="35" s="49" customFormat="1" x14ac:dyDescent="0.25"/>
    <row r="36" s="49" customFormat="1" x14ac:dyDescent="0.25"/>
    <row r="37" s="49" customFormat="1" x14ac:dyDescent="0.25"/>
    <row r="38" s="49" customFormat="1" x14ac:dyDescent="0.25"/>
    <row r="39" s="49" customFormat="1" x14ac:dyDescent="0.25"/>
    <row r="40" s="49" customFormat="1" x14ac:dyDescent="0.25"/>
    <row r="41" s="49" customFormat="1" x14ac:dyDescent="0.25"/>
    <row r="42" s="49" customFormat="1" x14ac:dyDescent="0.25"/>
    <row r="43" s="49" customFormat="1" x14ac:dyDescent="0.25"/>
    <row r="44" s="49" customFormat="1" x14ac:dyDescent="0.25"/>
    <row r="45" s="49" customFormat="1" x14ac:dyDescent="0.25"/>
    <row r="46" s="49" customFormat="1" x14ac:dyDescent="0.25"/>
    <row r="47" s="49" customFormat="1" x14ac:dyDescent="0.25"/>
    <row r="48" s="49" customFormat="1" x14ac:dyDescent="0.25"/>
    <row r="49" spans="1:31" s="49" customFormat="1" x14ac:dyDescent="0.25"/>
    <row r="50" spans="1:31" s="49" customFormat="1" x14ac:dyDescent="0.25"/>
    <row r="51" spans="1:31" s="49" customFormat="1" x14ac:dyDescent="0.25"/>
    <row r="52" spans="1:31" s="49" customFormat="1" x14ac:dyDescent="0.25"/>
    <row r="53" spans="1:31" s="49" customFormat="1" x14ac:dyDescent="0.25"/>
    <row r="54" spans="1:31" s="49" customFormat="1" x14ac:dyDescent="0.25"/>
    <row r="55" spans="1:31" s="49" customFormat="1" x14ac:dyDescent="0.25"/>
    <row r="56" spans="1:31" s="49" customFormat="1" x14ac:dyDescent="0.25"/>
    <row r="58" spans="1:31" x14ac:dyDescent="0.25">
      <c r="A58" s="28" t="s">
        <v>274</v>
      </c>
      <c r="L58" s="28" t="s">
        <v>194</v>
      </c>
      <c r="M58" s="28"/>
      <c r="N58" s="28"/>
      <c r="O58" s="28"/>
      <c r="P58" s="28"/>
      <c r="Q58" s="28"/>
    </row>
    <row r="59" spans="1:31" ht="24" customHeight="1" x14ac:dyDescent="0.25">
      <c r="L59" s="111"/>
      <c r="M59" s="171" t="s">
        <v>186</v>
      </c>
      <c r="N59" s="171"/>
      <c r="O59" s="171"/>
      <c r="P59" s="172" t="s">
        <v>187</v>
      </c>
      <c r="Q59" s="172"/>
      <c r="S59" t="s">
        <v>195</v>
      </c>
      <c r="Z59" t="s">
        <v>199</v>
      </c>
    </row>
    <row r="60" spans="1:31" ht="60.75" x14ac:dyDescent="0.25">
      <c r="A60" s="34" t="s">
        <v>97</v>
      </c>
      <c r="B60" s="32" t="s">
        <v>176</v>
      </c>
      <c r="C60" s="32" t="s">
        <v>181</v>
      </c>
      <c r="D60" s="32" t="s">
        <v>20</v>
      </c>
      <c r="F60" s="34" t="s">
        <v>97</v>
      </c>
      <c r="G60" s="32" t="s">
        <v>182</v>
      </c>
      <c r="H60" s="32" t="s">
        <v>183</v>
      </c>
      <c r="I60" s="32" t="s">
        <v>184</v>
      </c>
      <c r="L60" s="78" t="s">
        <v>97</v>
      </c>
      <c r="M60" s="34" t="s">
        <v>176</v>
      </c>
      <c r="N60" s="34" t="s">
        <v>181</v>
      </c>
      <c r="O60" s="34" t="s">
        <v>20</v>
      </c>
      <c r="P60" s="132" t="s">
        <v>79</v>
      </c>
      <c r="Q60" s="132" t="s">
        <v>83</v>
      </c>
      <c r="S60" s="131" t="s">
        <v>188</v>
      </c>
      <c r="T60" s="131" t="s">
        <v>189</v>
      </c>
      <c r="U60" s="131" t="s">
        <v>190</v>
      </c>
      <c r="V60" s="131" t="s">
        <v>191</v>
      </c>
      <c r="W60" s="131" t="s">
        <v>192</v>
      </c>
      <c r="X60" s="131" t="s">
        <v>193</v>
      </c>
      <c r="Y60" s="130"/>
      <c r="Z60" s="100" t="s">
        <v>97</v>
      </c>
      <c r="AA60" s="136" t="s">
        <v>176</v>
      </c>
      <c r="AB60" s="136" t="s">
        <v>252</v>
      </c>
      <c r="AC60" s="136" t="s">
        <v>267</v>
      </c>
      <c r="AD60" s="137" t="s">
        <v>79</v>
      </c>
      <c r="AE60" s="137" t="s">
        <v>83</v>
      </c>
    </row>
    <row r="61" spans="1:31" x14ac:dyDescent="0.25">
      <c r="A61" s="36">
        <v>2009</v>
      </c>
      <c r="B61" s="2">
        <v>102.408</v>
      </c>
      <c r="C61" s="2">
        <v>19.282</v>
      </c>
      <c r="D61" s="2">
        <v>42.15</v>
      </c>
      <c r="F61" s="36">
        <v>2009</v>
      </c>
      <c r="G61" s="23">
        <v>0.91482272227830241</v>
      </c>
      <c r="H61" s="23">
        <v>0.17224837640584942</v>
      </c>
      <c r="I61" s="23">
        <v>0.37653091305396497</v>
      </c>
      <c r="L61" s="36">
        <v>2009</v>
      </c>
      <c r="M61" s="133">
        <v>102.408</v>
      </c>
      <c r="N61" s="133">
        <v>19.282</v>
      </c>
      <c r="O61" s="133">
        <v>42.15</v>
      </c>
      <c r="P61" s="133">
        <v>8.5176999999999996</v>
      </c>
      <c r="Q61" s="133">
        <v>-49.793199999999999</v>
      </c>
      <c r="S61" s="101">
        <f>CORREL(M61:M75,P61:P75)</f>
        <v>7.056240318277622E-2</v>
      </c>
      <c r="T61" s="101">
        <f>CORREL(M61:M75,Q61:Q75)</f>
        <v>0.57482433511589115</v>
      </c>
      <c r="U61" s="101">
        <f>CORREL(N61:N75,P61:P75)</f>
        <v>9.2549803257379479E-2</v>
      </c>
      <c r="V61" s="101">
        <f>CORREL(N61:N75,Q61:Q75)</f>
        <v>0.64661076254925165</v>
      </c>
      <c r="W61" s="101">
        <f>CORREL(O61:O75,P61:P75)</f>
        <v>8.5534803143550789E-2</v>
      </c>
      <c r="X61" s="101">
        <f>CORREL(O61:O75,Q61:Q75)</f>
        <v>0.71174081352673535</v>
      </c>
      <c r="Z61" s="102">
        <v>2009</v>
      </c>
      <c r="AA61" s="101">
        <f>(M61-$T$69)/($T$70-$T$69)</f>
        <v>2.0746077539309448E-4</v>
      </c>
      <c r="AB61" s="101">
        <f>(N61-$U$69)/($U$70-$U$69)</f>
        <v>0</v>
      </c>
      <c r="AC61" s="101">
        <f>(O61-$V$69)/($V$70-$V$69)</f>
        <v>0</v>
      </c>
      <c r="AD61" s="101">
        <f>(P61-$W$69)/($W$70-$W$69)</f>
        <v>5.428213072986543E-2</v>
      </c>
      <c r="AE61" s="101">
        <f t="shared" ref="AE61:AE74" si="0">(Q61-$X$69)/($X$70-$X$69)</f>
        <v>0.55791721594906185</v>
      </c>
    </row>
    <row r="62" spans="1:31" x14ac:dyDescent="0.25">
      <c r="A62" s="36">
        <v>2010</v>
      </c>
      <c r="B62" s="2">
        <v>86.013000000000005</v>
      </c>
      <c r="C62" s="2">
        <v>92.995999999999995</v>
      </c>
      <c r="D62" s="2">
        <v>84.572999999999993</v>
      </c>
      <c r="F62" s="36">
        <v>2010</v>
      </c>
      <c r="G62" s="23">
        <v>0.73676591516480505</v>
      </c>
      <c r="H62" s="23">
        <v>0.79658055231960523</v>
      </c>
      <c r="I62" s="23">
        <v>0.72443123415336119</v>
      </c>
      <c r="L62" s="36">
        <v>2010</v>
      </c>
      <c r="M62" s="133">
        <v>86.013000000000005</v>
      </c>
      <c r="N62" s="133">
        <v>92.995999999999995</v>
      </c>
      <c r="O62" s="133">
        <v>84.572999999999993</v>
      </c>
      <c r="P62" s="133">
        <v>26.323399999999999</v>
      </c>
      <c r="Q62" s="133">
        <v>-132.1935</v>
      </c>
      <c r="Z62" s="102">
        <v>2010</v>
      </c>
      <c r="AA62" s="101">
        <f t="shared" ref="AA62:AA73" si="1">(M62-$T$69)/($T$70-$T$69)</f>
        <v>0</v>
      </c>
      <c r="AB62" s="101">
        <f t="shared" ref="AB62:AB74" si="2">(N62-$U$69)/($U$70-$U$69)</f>
        <v>1.8663104555818922E-2</v>
      </c>
      <c r="AC62" s="101">
        <f t="shared" ref="AC62:AC74" si="3">(O62-$V$69)/($V$70-$V$69)</f>
        <v>8.9164223336170734E-3</v>
      </c>
      <c r="AD62" s="101">
        <f t="shared" ref="AD62:AD74" si="4">(P62-$W$69)/($W$70-$W$69)</f>
        <v>0.83242506216595347</v>
      </c>
      <c r="AE62" s="101">
        <f t="shared" si="0"/>
        <v>0</v>
      </c>
    </row>
    <row r="63" spans="1:31" x14ac:dyDescent="0.25">
      <c r="A63" s="36">
        <v>2011</v>
      </c>
      <c r="B63" s="2">
        <v>142.64699999999999</v>
      </c>
      <c r="C63" s="2">
        <v>208.98099999999999</v>
      </c>
      <c r="D63" s="2">
        <v>104.102</v>
      </c>
      <c r="F63" s="36">
        <v>2011</v>
      </c>
      <c r="G63" s="23">
        <v>0.69842148040070107</v>
      </c>
      <c r="H63" s="23">
        <v>1.0232028671869644</v>
      </c>
      <c r="I63" s="23">
        <v>0.50969927830710637</v>
      </c>
      <c r="L63" s="36">
        <v>2011</v>
      </c>
      <c r="M63" s="133">
        <v>142.64699999999999</v>
      </c>
      <c r="N63" s="133">
        <v>208.98099999999999</v>
      </c>
      <c r="O63" s="133">
        <v>104.102</v>
      </c>
      <c r="P63" s="133">
        <v>30.157900000000001</v>
      </c>
      <c r="Q63" s="133">
        <v>-124.5635</v>
      </c>
      <c r="Z63" s="102">
        <v>2011</v>
      </c>
      <c r="AA63" s="101">
        <f t="shared" si="1"/>
        <v>7.1664126585010751E-4</v>
      </c>
      <c r="AB63" s="101">
        <f t="shared" si="2"/>
        <v>4.8028492160706156E-2</v>
      </c>
      <c r="AC63" s="101">
        <f t="shared" si="3"/>
        <v>1.3021007387790703E-2</v>
      </c>
      <c r="AD63" s="101">
        <f t="shared" si="4"/>
        <v>1</v>
      </c>
      <c r="AE63" s="101">
        <f t="shared" si="0"/>
        <v>5.1661321107949111E-2</v>
      </c>
    </row>
    <row r="64" spans="1:31" x14ac:dyDescent="0.25">
      <c r="A64" s="36">
        <v>2012</v>
      </c>
      <c r="B64" s="2">
        <v>383.18900000000002</v>
      </c>
      <c r="C64" s="2">
        <v>273.97800000000001</v>
      </c>
      <c r="D64" s="2">
        <v>150.37200000000001</v>
      </c>
      <c r="F64" s="36">
        <v>2012</v>
      </c>
      <c r="G64" s="23">
        <v>0.92724364558530314</v>
      </c>
      <c r="H64" s="23">
        <v>0.66297404030431506</v>
      </c>
      <c r="I64" s="23">
        <v>0.36387130495383013</v>
      </c>
      <c r="L64" s="36">
        <v>2012</v>
      </c>
      <c r="M64" s="133">
        <v>383.18900000000002</v>
      </c>
      <c r="N64" s="133">
        <v>273.97800000000001</v>
      </c>
      <c r="O64" s="133">
        <v>150.37200000000001</v>
      </c>
      <c r="P64" s="133">
        <v>7.2755999999999998</v>
      </c>
      <c r="Q64" s="133">
        <v>-95.875900000000001</v>
      </c>
      <c r="Z64" s="102">
        <v>2012</v>
      </c>
      <c r="AA64" s="101">
        <f t="shared" si="1"/>
        <v>3.7604369251734229E-3</v>
      </c>
      <c r="AB64" s="101">
        <f t="shared" si="2"/>
        <v>6.4484603710948482E-2</v>
      </c>
      <c r="AC64" s="101">
        <f t="shared" si="3"/>
        <v>2.2745988208959931E-2</v>
      </c>
      <c r="AD64" s="101">
        <f t="shared" si="4"/>
        <v>0</v>
      </c>
      <c r="AE64" s="101">
        <f t="shared" si="0"/>
        <v>0.24589976349541987</v>
      </c>
    </row>
    <row r="65" spans="1:31" x14ac:dyDescent="0.25">
      <c r="A65" s="36">
        <v>2013</v>
      </c>
      <c r="B65" s="2">
        <v>1557.2339999999999</v>
      </c>
      <c r="C65" s="2">
        <v>231.976</v>
      </c>
      <c r="D65" s="2">
        <v>285.56900000000002</v>
      </c>
      <c r="F65" s="36">
        <v>2013</v>
      </c>
      <c r="G65" s="23">
        <v>0.77339810955671129</v>
      </c>
      <c r="H65" s="23">
        <v>0.11521055914687688</v>
      </c>
      <c r="I65" s="23">
        <v>0.14182744837834294</v>
      </c>
      <c r="L65" s="36">
        <v>2013</v>
      </c>
      <c r="M65" s="133">
        <v>1557.2339999999999</v>
      </c>
      <c r="N65" s="133">
        <v>231.976</v>
      </c>
      <c r="O65" s="133">
        <v>285.56900000000002</v>
      </c>
      <c r="P65" s="133">
        <v>22.6602</v>
      </c>
      <c r="Q65" s="133">
        <v>-3.6758999999999999</v>
      </c>
      <c r="Z65" s="102">
        <v>2013</v>
      </c>
      <c r="AA65" s="101">
        <f>(M65-$T$69)/($T$70-$T$69)</f>
        <v>1.8616691029863002E-2</v>
      </c>
      <c r="AB65" s="101">
        <f t="shared" si="2"/>
        <v>5.3850426789963234E-2</v>
      </c>
      <c r="AC65" s="101">
        <f t="shared" si="3"/>
        <v>5.1161554063284882E-2</v>
      </c>
      <c r="AD65" s="101">
        <f t="shared" si="4"/>
        <v>0.67233625990394319</v>
      </c>
      <c r="AE65" s="101">
        <f t="shared" si="0"/>
        <v>0.87016893861375666</v>
      </c>
    </row>
    <row r="66" spans="1:31" x14ac:dyDescent="0.25">
      <c r="A66" s="36">
        <v>2014</v>
      </c>
      <c r="B66" s="2">
        <v>2316.6849999999999</v>
      </c>
      <c r="C66" s="2">
        <v>464.7</v>
      </c>
      <c r="D66" s="2">
        <v>603.66</v>
      </c>
      <c r="F66" s="36">
        <v>2014</v>
      </c>
      <c r="G66" s="23">
        <v>0.72433619021772433</v>
      </c>
      <c r="H66" s="23">
        <v>0.14529339448141482</v>
      </c>
      <c r="I66" s="23">
        <v>0.18874071554260999</v>
      </c>
      <c r="L66" s="36">
        <v>2014</v>
      </c>
      <c r="M66" s="133">
        <v>2316.6849999999999</v>
      </c>
      <c r="N66" s="133">
        <v>464.7</v>
      </c>
      <c r="O66" s="133">
        <v>603.66</v>
      </c>
      <c r="P66" s="133">
        <v>27.566400000000002</v>
      </c>
      <c r="Q66" s="133">
        <v>-9.1935000000000002</v>
      </c>
      <c r="S66" t="s">
        <v>196</v>
      </c>
      <c r="Z66" s="102">
        <v>2014</v>
      </c>
      <c r="AA66" s="101">
        <f t="shared" si="1"/>
        <v>2.82267119711903E-2</v>
      </c>
      <c r="AB66" s="101">
        <f t="shared" si="2"/>
        <v>0.11277210170447613</v>
      </c>
      <c r="AC66" s="101">
        <f t="shared" si="3"/>
        <v>0.1180175919795706</v>
      </c>
      <c r="AD66" s="101">
        <f t="shared" si="4"/>
        <v>0.88674652460635517</v>
      </c>
      <c r="AE66" s="101">
        <f t="shared" si="0"/>
        <v>0.83281028784767286</v>
      </c>
    </row>
    <row r="67" spans="1:31" x14ac:dyDescent="0.25">
      <c r="A67" s="36">
        <v>2015</v>
      </c>
      <c r="B67" s="2">
        <v>3122.5219999999999</v>
      </c>
      <c r="C67" s="2">
        <v>717.9</v>
      </c>
      <c r="D67" s="2">
        <v>922.23199999999997</v>
      </c>
      <c r="F67" s="36">
        <v>2015</v>
      </c>
      <c r="G67" s="23">
        <v>0.77175054528827669</v>
      </c>
      <c r="H67" s="23">
        <v>0.17743340686229075</v>
      </c>
      <c r="I67" s="23">
        <v>0.22793531923307442</v>
      </c>
      <c r="L67" s="36">
        <v>2015</v>
      </c>
      <c r="M67" s="133">
        <v>3122.5219999999999</v>
      </c>
      <c r="N67" s="133">
        <v>717.9</v>
      </c>
      <c r="O67" s="133">
        <v>922.23199999999997</v>
      </c>
      <c r="P67" s="133">
        <v>22.824999999999999</v>
      </c>
      <c r="Q67" s="133">
        <v>-21.963899999999999</v>
      </c>
      <c r="Z67" s="102">
        <v>2015</v>
      </c>
      <c r="AA67" s="101">
        <f t="shared" si="1"/>
        <v>3.8423696958103694E-2</v>
      </c>
      <c r="AB67" s="101">
        <f t="shared" si="2"/>
        <v>0.17687794419753511</v>
      </c>
      <c r="AC67" s="101">
        <f t="shared" si="3"/>
        <v>0.18497472597917125</v>
      </c>
      <c r="AD67" s="101">
        <f t="shared" si="4"/>
        <v>0.67953833312210743</v>
      </c>
      <c r="AE67" s="101">
        <f t="shared" si="0"/>
        <v>0.7463442675230394</v>
      </c>
    </row>
    <row r="68" spans="1:31" ht="36" x14ac:dyDescent="0.25">
      <c r="A68" s="36">
        <v>2016</v>
      </c>
      <c r="B68" s="2">
        <v>5400.875</v>
      </c>
      <c r="C68" s="2">
        <v>834.40800000000002</v>
      </c>
      <c r="D68" s="2">
        <v>1432.1890000000001</v>
      </c>
      <c r="F68" s="36">
        <v>2016</v>
      </c>
      <c r="G68" s="23">
        <v>0.77153902240700611</v>
      </c>
      <c r="H68" s="23">
        <v>0.11919889510654944</v>
      </c>
      <c r="I68" s="23">
        <v>0.20459457050238483</v>
      </c>
      <c r="L68" s="36">
        <v>2016</v>
      </c>
      <c r="M68" s="133">
        <v>5400.875</v>
      </c>
      <c r="N68" s="133">
        <v>834.40800000000002</v>
      </c>
      <c r="O68" s="133">
        <v>1432.1890000000001</v>
      </c>
      <c r="P68" s="133">
        <v>22.8461</v>
      </c>
      <c r="Q68" s="133">
        <v>-9.6414000000000009</v>
      </c>
      <c r="S68" s="108"/>
      <c r="T68" s="134" t="s">
        <v>176</v>
      </c>
      <c r="U68" s="134" t="s">
        <v>181</v>
      </c>
      <c r="V68" s="134" t="s">
        <v>20</v>
      </c>
      <c r="W68" s="135" t="s">
        <v>79</v>
      </c>
      <c r="X68" s="135" t="s">
        <v>83</v>
      </c>
      <c r="Z68" s="102">
        <v>2016</v>
      </c>
      <c r="AA68" s="101">
        <f t="shared" si="1"/>
        <v>6.7253759782085587E-2</v>
      </c>
      <c r="AB68" s="101">
        <f t="shared" si="2"/>
        <v>0.2063757463191043</v>
      </c>
      <c r="AC68" s="101">
        <f t="shared" si="3"/>
        <v>0.29215696165284738</v>
      </c>
      <c r="AD68" s="101">
        <f t="shared" si="4"/>
        <v>0.6804604432246758</v>
      </c>
      <c r="AE68" s="101">
        <f t="shared" si="0"/>
        <v>0.82977763965314466</v>
      </c>
    </row>
    <row r="69" spans="1:31" x14ac:dyDescent="0.25">
      <c r="A69" s="36">
        <v>2017</v>
      </c>
      <c r="B69" s="2">
        <v>9536</v>
      </c>
      <c r="C69" s="2">
        <v>1378</v>
      </c>
      <c r="D69" s="2">
        <v>2477</v>
      </c>
      <c r="F69" s="36">
        <v>2017</v>
      </c>
      <c r="G69" s="23">
        <v>0.81095331235649293</v>
      </c>
      <c r="H69" s="23">
        <v>0.1171868356152734</v>
      </c>
      <c r="I69" s="23">
        <v>0.21064716387447913</v>
      </c>
      <c r="L69" s="36">
        <v>2017</v>
      </c>
      <c r="M69" s="133">
        <v>9536</v>
      </c>
      <c r="N69" s="133">
        <v>1378</v>
      </c>
      <c r="O69" s="133">
        <v>2477</v>
      </c>
      <c r="P69" s="133">
        <v>18.904699999999998</v>
      </c>
      <c r="Q69" s="133">
        <v>-16.685099999999998</v>
      </c>
      <c r="S69" s="101" t="s">
        <v>197</v>
      </c>
      <c r="T69" s="101">
        <f>MIN(M61:M75)</f>
        <v>86.013000000000005</v>
      </c>
      <c r="U69" s="101">
        <f t="shared" ref="U69:X69" si="5">MIN(N61:N75)</f>
        <v>19.282</v>
      </c>
      <c r="V69" s="101">
        <f t="shared" si="5"/>
        <v>42.15</v>
      </c>
      <c r="W69" s="101">
        <f t="shared" si="5"/>
        <v>7.2755999999999998</v>
      </c>
      <c r="X69" s="101">
        <f t="shared" si="5"/>
        <v>-132.1935</v>
      </c>
      <c r="Z69" s="102">
        <v>2017</v>
      </c>
      <c r="AA69" s="101">
        <f t="shared" si="1"/>
        <v>0.11957923943120848</v>
      </c>
      <c r="AB69" s="101">
        <f t="shared" si="2"/>
        <v>0.34400379976494527</v>
      </c>
      <c r="AC69" s="101">
        <f t="shared" si="3"/>
        <v>0.51175425875132674</v>
      </c>
      <c r="AD69" s="101">
        <f t="shared" si="4"/>
        <v>0.50821377221695363</v>
      </c>
      <c r="AE69" s="101">
        <f t="shared" si="0"/>
        <v>0.78208604758393607</v>
      </c>
    </row>
    <row r="70" spans="1:31" x14ac:dyDescent="0.25">
      <c r="A70" s="36">
        <v>2018</v>
      </c>
      <c r="B70" s="2">
        <v>17419</v>
      </c>
      <c r="C70" s="2">
        <v>1460</v>
      </c>
      <c r="D70" s="2">
        <v>2835</v>
      </c>
      <c r="F70" s="36">
        <v>2018</v>
      </c>
      <c r="G70" s="23">
        <v>0.81165835701971012</v>
      </c>
      <c r="H70" s="23">
        <v>6.8030380690554962E-2</v>
      </c>
      <c r="I70" s="23">
        <v>0.1321000885326872</v>
      </c>
      <c r="L70" s="36">
        <v>2018</v>
      </c>
      <c r="M70" s="133">
        <v>17419</v>
      </c>
      <c r="N70" s="133">
        <v>1460</v>
      </c>
      <c r="O70" s="133">
        <v>2835</v>
      </c>
      <c r="P70" s="133">
        <v>18.834199999999999</v>
      </c>
      <c r="Q70" s="133">
        <v>-4.5477999999999996</v>
      </c>
      <c r="S70" s="101" t="s">
        <v>198</v>
      </c>
      <c r="T70" s="101">
        <f>MAX(M61:M75)</f>
        <v>79113</v>
      </c>
      <c r="U70" s="101">
        <f t="shared" ref="U70:W70" si="6">MAX(N61:N75)</f>
        <v>3969</v>
      </c>
      <c r="V70" s="101">
        <f t="shared" si="6"/>
        <v>4800</v>
      </c>
      <c r="W70" s="101">
        <f t="shared" si="6"/>
        <v>30.157900000000001</v>
      </c>
      <c r="X70" s="101">
        <f>MAX(Q61:Q75)</f>
        <v>15.4992</v>
      </c>
      <c r="Z70" s="102">
        <v>2018</v>
      </c>
      <c r="AA70" s="101">
        <f t="shared" si="1"/>
        <v>0.21932997394927889</v>
      </c>
      <c r="AB70" s="101">
        <f t="shared" si="2"/>
        <v>0.36476477561182852</v>
      </c>
      <c r="AC70" s="101">
        <f t="shared" si="3"/>
        <v>0.58699832907720917</v>
      </c>
      <c r="AD70" s="101">
        <f t="shared" si="4"/>
        <v>0.50513278822495977</v>
      </c>
      <c r="AE70" s="101">
        <f t="shared" si="0"/>
        <v>0.8642654647115261</v>
      </c>
    </row>
    <row r="71" spans="1:31" x14ac:dyDescent="0.25">
      <c r="A71" s="36">
        <v>2019</v>
      </c>
      <c r="B71" s="2">
        <v>20509</v>
      </c>
      <c r="C71" s="2">
        <v>1343</v>
      </c>
      <c r="D71" s="2">
        <v>2646</v>
      </c>
      <c r="F71" s="36">
        <v>2019</v>
      </c>
      <c r="G71" s="23">
        <v>0.83444543901049717</v>
      </c>
      <c r="H71" s="23">
        <v>5.4642363088941333E-2</v>
      </c>
      <c r="I71" s="23">
        <v>0.10765725445520384</v>
      </c>
      <c r="L71" s="36">
        <v>2019</v>
      </c>
      <c r="M71" s="133">
        <v>20509</v>
      </c>
      <c r="N71" s="133">
        <v>1343</v>
      </c>
      <c r="O71" s="133">
        <v>2646</v>
      </c>
      <c r="P71" s="133">
        <v>16.555499999999999</v>
      </c>
      <c r="Q71" s="133">
        <v>-3.5072000000000001</v>
      </c>
      <c r="Z71" s="102">
        <v>2019</v>
      </c>
      <c r="AA71" s="101">
        <f t="shared" si="1"/>
        <v>0.25843054094925827</v>
      </c>
      <c r="AB71" s="101">
        <f t="shared" si="2"/>
        <v>0.33514240763517805</v>
      </c>
      <c r="AC71" s="101">
        <f t="shared" si="3"/>
        <v>0.54727450424036062</v>
      </c>
      <c r="AD71" s="101">
        <f t="shared" si="4"/>
        <v>0.40554926733763641</v>
      </c>
      <c r="AE71" s="101">
        <f t="shared" si="0"/>
        <v>0.87131117516302425</v>
      </c>
    </row>
    <row r="72" spans="1:31" x14ac:dyDescent="0.25">
      <c r="A72" s="36">
        <v>2020</v>
      </c>
      <c r="B72" s="2">
        <v>24906</v>
      </c>
      <c r="C72" s="2">
        <v>1491</v>
      </c>
      <c r="D72" s="2">
        <v>3145</v>
      </c>
      <c r="F72" s="36">
        <v>2020</v>
      </c>
      <c r="G72" s="23">
        <v>0.7897640791476408</v>
      </c>
      <c r="H72" s="23">
        <v>4.7279299847792999E-2</v>
      </c>
      <c r="I72" s="23">
        <v>9.9727295788939629E-2</v>
      </c>
      <c r="L72" s="36">
        <v>2020</v>
      </c>
      <c r="M72" s="133">
        <v>24906</v>
      </c>
      <c r="N72" s="133">
        <v>1491</v>
      </c>
      <c r="O72" s="133">
        <v>3145</v>
      </c>
      <c r="P72" s="133">
        <v>21.023599999999998</v>
      </c>
      <c r="Q72" s="133">
        <v>2.1880000000000002</v>
      </c>
      <c r="Z72" s="102">
        <v>2020</v>
      </c>
      <c r="AA72" s="101">
        <f t="shared" si="1"/>
        <v>0.31406976201686648</v>
      </c>
      <c r="AB72" s="101">
        <f t="shared" si="2"/>
        <v>0.37261343721247953</v>
      </c>
      <c r="AC72" s="101">
        <f t="shared" si="3"/>
        <v>0.65215380896833652</v>
      </c>
      <c r="AD72" s="101">
        <f t="shared" si="4"/>
        <v>0.60081372938909106</v>
      </c>
      <c r="AE72" s="101">
        <f t="shared" si="0"/>
        <v>0.90987232273497598</v>
      </c>
    </row>
    <row r="73" spans="1:31" x14ac:dyDescent="0.25">
      <c r="A73" s="36">
        <v>2021</v>
      </c>
      <c r="B73" s="2">
        <v>40217</v>
      </c>
      <c r="C73" s="2">
        <v>2593</v>
      </c>
      <c r="D73" s="2">
        <v>4517</v>
      </c>
      <c r="F73" s="36">
        <v>2021</v>
      </c>
      <c r="G73" s="23">
        <v>0.74720844248741203</v>
      </c>
      <c r="H73" s="23">
        <v>4.817643015067908E-2</v>
      </c>
      <c r="I73" s="23">
        <v>8.3923229845976624E-2</v>
      </c>
      <c r="L73" s="36">
        <v>2021</v>
      </c>
      <c r="M73" s="133">
        <v>40217</v>
      </c>
      <c r="N73" s="133">
        <v>2593</v>
      </c>
      <c r="O73" s="133">
        <v>4517</v>
      </c>
      <c r="P73" s="133">
        <v>25.279199999999999</v>
      </c>
      <c r="Q73" s="133">
        <v>10.263299999999999</v>
      </c>
      <c r="Z73" s="102">
        <v>2021</v>
      </c>
      <c r="AA73" s="101">
        <f t="shared" si="1"/>
        <v>0.50781370419702332</v>
      </c>
      <c r="AB73" s="101">
        <f t="shared" si="2"/>
        <v>0.65162069798400801</v>
      </c>
      <c r="AC73" s="101">
        <f t="shared" si="3"/>
        <v>0.94051935222842253</v>
      </c>
      <c r="AD73" s="101">
        <f t="shared" si="4"/>
        <v>0.78679153756396858</v>
      </c>
      <c r="AE73" s="101">
        <f t="shared" si="0"/>
        <v>0.96454868791754766</v>
      </c>
    </row>
    <row r="74" spans="1:31" x14ac:dyDescent="0.25">
      <c r="A74" s="36">
        <v>2022</v>
      </c>
      <c r="B74" s="2">
        <v>60609</v>
      </c>
      <c r="C74" s="2">
        <v>3075</v>
      </c>
      <c r="D74" s="2">
        <v>3946</v>
      </c>
      <c r="F74" s="36">
        <v>2022</v>
      </c>
      <c r="G74" s="23">
        <v>0.74401561464240995</v>
      </c>
      <c r="H74" s="23">
        <v>3.7747661486337188E-2</v>
      </c>
      <c r="I74" s="23">
        <v>4.8439763325231394E-2</v>
      </c>
      <c r="L74" s="36">
        <v>2022</v>
      </c>
      <c r="M74" s="133">
        <v>60609</v>
      </c>
      <c r="N74" s="133">
        <v>3075</v>
      </c>
      <c r="O74" s="133">
        <v>3946</v>
      </c>
      <c r="P74" s="133">
        <v>25.598400000000002</v>
      </c>
      <c r="Q74" s="133">
        <v>15.4465</v>
      </c>
      <c r="Z74" s="102">
        <v>2022</v>
      </c>
      <c r="AA74" s="101">
        <f>(M74-$T$69)/($T$70-$T$69)</f>
        <v>0.76585213858653123</v>
      </c>
      <c r="AB74" s="101">
        <f t="shared" si="2"/>
        <v>0.77365472674251679</v>
      </c>
      <c r="AC74" s="101">
        <f t="shared" si="3"/>
        <v>0.82050716184831374</v>
      </c>
      <c r="AD74" s="101">
        <f t="shared" si="4"/>
        <v>0.80074118423410234</v>
      </c>
      <c r="AE74" s="101">
        <f t="shared" si="0"/>
        <v>0.99964317803114155</v>
      </c>
    </row>
    <row r="75" spans="1:31" x14ac:dyDescent="0.25">
      <c r="A75" s="36">
        <v>2023</v>
      </c>
      <c r="B75" s="2">
        <v>79113</v>
      </c>
      <c r="C75" s="2">
        <v>3969</v>
      </c>
      <c r="D75" s="2">
        <v>4800</v>
      </c>
      <c r="F75" s="36">
        <v>2023</v>
      </c>
      <c r="G75" s="23">
        <v>0.81751108263668582</v>
      </c>
      <c r="H75" s="23">
        <v>4.1013505833238609E-2</v>
      </c>
      <c r="I75" s="23">
        <v>4.9600611740878139E-2</v>
      </c>
      <c r="L75" s="36">
        <v>2023</v>
      </c>
      <c r="M75" s="2">
        <v>79113</v>
      </c>
      <c r="N75" s="2">
        <v>3969</v>
      </c>
      <c r="O75" s="2">
        <v>4800</v>
      </c>
      <c r="P75" s="2">
        <v>18.248899999999999</v>
      </c>
      <c r="Q75" s="2">
        <v>15.4992</v>
      </c>
      <c r="Z75" s="102">
        <v>2023</v>
      </c>
      <c r="AA75" s="101">
        <f>(M75-$T$69)/($T$70-$T$69)</f>
        <v>1</v>
      </c>
      <c r="AB75" s="101">
        <f>(N75-$U$69)/($U$70-$U$69)</f>
        <v>1</v>
      </c>
      <c r="AC75" s="101">
        <f>(O75-$V$69)/($V$70-$V$69)</f>
        <v>1</v>
      </c>
      <c r="AD75" s="101">
        <f>(P75-$W$69)/($W$70-$W$69)</f>
        <v>0.47955406580632182</v>
      </c>
      <c r="AE75" s="101">
        <f>(Q75-$X$69)/($X$70-$X$69)</f>
        <v>1</v>
      </c>
    </row>
  </sheetData>
  <mergeCells count="2">
    <mergeCell ref="M59:O59"/>
    <mergeCell ref="P59:Q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Quarterly Data</vt:lpstr>
      <vt:lpstr>Annual Data</vt:lpstr>
      <vt:lpstr>Financial Health and Trends</vt:lpstr>
      <vt:lpstr>Investment and Valuation</vt:lpstr>
      <vt:lpstr>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Mishra</dc:creator>
  <cp:lastModifiedBy>Abhishek Mishra</cp:lastModifiedBy>
  <dcterms:created xsi:type="dcterms:W3CDTF">2024-01-16T20:11:36Z</dcterms:created>
  <dcterms:modified xsi:type="dcterms:W3CDTF">2024-02-13T18:09:57Z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2024-01-16T20:25:45Z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53759060-29b1-42dc-97ce-90879155ce48</vt:lpwstr>
  </property>
  <property fmtid="{D5CDD505-2E9C-101B-9397-08002B2CF9AE}" pid="7" name="MSIP_Label_defa4170-0d19-0005-0004-bc88714345d2_ActionId">
    <vt:lpwstr>1588f34a-3f8d-4d4c-b29b-8020dd7b71ff</vt:lpwstr>
  </property>
  <property fmtid="{D5CDD505-2E9C-101B-9397-08002B2CF9AE}" pid="8" name="MSIP_Label_defa4170-0d19-0005-0004-bc88714345d2_ContentBits">
    <vt:lpwstr>0</vt:lpwstr>
  </property>
</Properties>
</file>