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36" yWindow="0" windowWidth="15228" windowHeight="8100"/>
  </bookViews>
  <sheets>
    <sheet name="Calculations" sheetId="1" r:id="rId1"/>
    <sheet name="Data" sheetId="2" r:id="rId2"/>
    <sheet name="HP Correction" sheetId="4" r:id="rId3"/>
    <sheet name="Trough dims" sheetId="5" r:id="rId4"/>
  </sheets>
  <calcPr calcId="144525"/>
</workbook>
</file>

<file path=xl/calcChain.xml><?xml version="1.0" encoding="utf-8"?>
<calcChain xmlns="http://schemas.openxmlformats.org/spreadsheetml/2006/main">
  <c r="B5" i="1" l="1"/>
  <c r="H24" i="1" l="1"/>
  <c r="H7" i="1"/>
  <c r="C19" i="1" s="1"/>
  <c r="H22" i="1" l="1"/>
  <c r="H23" i="1" l="1"/>
  <c r="C20" i="1" s="1"/>
  <c r="C22" i="1" s="1"/>
  <c r="D14" i="5"/>
  <c r="D18" i="5"/>
  <c r="D22" i="5"/>
  <c r="D26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3" i="5"/>
  <c r="J10" i="1" l="1"/>
  <c r="I10" i="1"/>
  <c r="I11" i="1"/>
  <c r="L10" i="1"/>
  <c r="K10" i="1"/>
  <c r="H5" i="4"/>
  <c r="E17" i="4" s="1"/>
  <c r="E4" i="4" l="1"/>
  <c r="H6" i="4"/>
  <c r="E8" i="4"/>
  <c r="E10" i="4"/>
  <c r="E12" i="4"/>
  <c r="E14" i="4"/>
  <c r="E16" i="4"/>
  <c r="E5" i="4"/>
  <c r="E6" i="4"/>
  <c r="E7" i="4"/>
  <c r="E9" i="4"/>
  <c r="E11" i="4"/>
  <c r="E13" i="4"/>
  <c r="E15" i="4"/>
  <c r="I8" i="1"/>
  <c r="I7" i="1"/>
  <c r="C21" i="1" l="1"/>
  <c r="C9" i="1"/>
  <c r="C23" i="1" s="1"/>
  <c r="C7" i="1" l="1"/>
  <c r="C10" i="1" s="1"/>
  <c r="I17" i="1" l="1"/>
  <c r="K17" i="1"/>
  <c r="L17" i="1"/>
  <c r="J17" i="1"/>
  <c r="C8" i="1"/>
  <c r="I14" i="1" l="1"/>
  <c r="E19" i="4" s="1"/>
  <c r="E20" i="4" s="1"/>
  <c r="J18" i="1" s="1"/>
  <c r="O7" i="1"/>
  <c r="D19" i="4" l="1"/>
  <c r="D20" i="4" s="1"/>
  <c r="I18" i="1" s="1"/>
  <c r="O8" i="1" s="1"/>
  <c r="O9" i="1" s="1"/>
  <c r="O10" i="1" s="1"/>
  <c r="G19" i="4"/>
  <c r="G20" i="4" s="1"/>
  <c r="L18" i="1" s="1"/>
  <c r="F19" i="4"/>
  <c r="F20" i="4" s="1"/>
  <c r="K18" i="1" s="1"/>
</calcChain>
</file>

<file path=xl/comments1.xml><?xml version="1.0" encoding="utf-8"?>
<comments xmlns="http://schemas.openxmlformats.org/spreadsheetml/2006/main">
  <authors>
    <author>David Barlow</author>
  </authors>
  <commentList>
    <comment ref="H11" authorId="0">
      <text>
        <r>
          <rPr>
            <b/>
            <sz val="9"/>
            <color indexed="81"/>
            <rFont val="Tahoma"/>
            <family val="2"/>
          </rPr>
          <t>David Barlow:</t>
        </r>
        <r>
          <rPr>
            <sz val="9"/>
            <color indexed="81"/>
            <rFont val="Tahoma"/>
            <family val="2"/>
          </rPr>
          <t xml:space="preserve">
This field is '0' unless designing a mixing conveyor.</t>
        </r>
      </text>
    </comment>
    <comment ref="H12" authorId="0">
      <text>
        <r>
          <rPr>
            <b/>
            <sz val="9"/>
            <color indexed="81"/>
            <rFont val="Tahoma"/>
            <family val="2"/>
          </rPr>
          <t>David Barlow:</t>
        </r>
        <r>
          <rPr>
            <sz val="9"/>
            <color indexed="81"/>
            <rFont val="Tahoma"/>
            <family val="2"/>
          </rPr>
          <t xml:space="preserve">
Typical values range from 0.4 to 3.0.  It increases with the "stickiness" of the material being conveyed.</t>
        </r>
      </text>
    </comment>
    <comment ref="C16" authorId="0">
      <text>
        <r>
          <rPr>
            <b/>
            <sz val="9"/>
            <color indexed="81"/>
            <rFont val="Tahoma"/>
            <family val="2"/>
          </rPr>
          <t>David Barlow:</t>
        </r>
        <r>
          <rPr>
            <sz val="9"/>
            <color indexed="81"/>
            <rFont val="Tahoma"/>
            <family val="2"/>
          </rPr>
          <t xml:space="preserve">
Flight pitch
1 - Full 
1/2- Half 
etc.</t>
        </r>
      </text>
    </comment>
  </commentList>
</comments>
</file>

<file path=xl/sharedStrings.xml><?xml version="1.0" encoding="utf-8"?>
<sst xmlns="http://schemas.openxmlformats.org/spreadsheetml/2006/main" count="192" uniqueCount="142">
  <si>
    <t>Project:</t>
  </si>
  <si>
    <t>lb/hr</t>
  </si>
  <si>
    <t>lb/min</t>
  </si>
  <si>
    <t>Density</t>
  </si>
  <si>
    <t>Production Rate</t>
  </si>
  <si>
    <r>
      <t>lb/ft</t>
    </r>
    <r>
      <rPr>
        <vertAlign val="superscript"/>
        <sz val="11"/>
        <color theme="1"/>
        <rFont val="Calibri"/>
        <family val="2"/>
        <scheme val="minor"/>
      </rPr>
      <t>3</t>
    </r>
  </si>
  <si>
    <t>Screw Conveyor Calculator</t>
  </si>
  <si>
    <t>ton/hr</t>
  </si>
  <si>
    <r>
      <t>ft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/min</t>
    </r>
  </si>
  <si>
    <r>
      <t>ft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/hr</t>
    </r>
  </si>
  <si>
    <t>Screw Fill level</t>
  </si>
  <si>
    <t>ScrewDiameter</t>
  </si>
  <si>
    <t>in</t>
  </si>
  <si>
    <t>Flighting</t>
  </si>
  <si>
    <t>Theoretical Capy. @ 1 RPM</t>
  </si>
  <si>
    <t>Design Capy. @ 1 RPM</t>
  </si>
  <si>
    <t>Required Speed</t>
  </si>
  <si>
    <t xml:space="preserve"> RPM</t>
  </si>
  <si>
    <t>Drive Sizing</t>
  </si>
  <si>
    <t xml:space="preserve">Max loading per Gary B. </t>
  </si>
  <si>
    <t>1 when dia.=flight pitch</t>
  </si>
  <si>
    <t>Diameter Factors</t>
  </si>
  <si>
    <t>Diameter
(in)</t>
  </si>
  <si>
    <t>Factor</t>
  </si>
  <si>
    <t>Bearing Type</t>
  </si>
  <si>
    <t>Flight Type</t>
  </si>
  <si>
    <t xml:space="preserve">Bearing Type </t>
  </si>
  <si>
    <t xml:space="preserve">Bearing Factor </t>
  </si>
  <si>
    <t xml:space="preserve">Bearing Class </t>
  </si>
  <si>
    <t xml:space="preserve">Ball </t>
  </si>
  <si>
    <t>I</t>
  </si>
  <si>
    <t xml:space="preserve">Babbit </t>
  </si>
  <si>
    <t xml:space="preserve">II </t>
  </si>
  <si>
    <t xml:space="preserve">Bronze </t>
  </si>
  <si>
    <t xml:space="preserve">*Graphite Bronze </t>
  </si>
  <si>
    <t xml:space="preserve">Plastic, laminated fabric-base </t>
  </si>
  <si>
    <t xml:space="preserve">Nylon </t>
  </si>
  <si>
    <t xml:space="preserve">* Bronze, oil-impregnated </t>
  </si>
  <si>
    <t xml:space="preserve">Wood </t>
  </si>
  <si>
    <t xml:space="preserve">*Plastic, graphite- impregnated </t>
  </si>
  <si>
    <t xml:space="preserve">III </t>
  </si>
  <si>
    <t xml:space="preserve">*Nylon </t>
  </si>
  <si>
    <t xml:space="preserve">*Teflon </t>
  </si>
  <si>
    <t xml:space="preserve">*Hard Iron </t>
  </si>
  <si>
    <t>IV</t>
  </si>
  <si>
    <t xml:space="preserve">*Hard-Surfaced </t>
  </si>
  <si>
    <t xml:space="preserve">*Non-Lubricated </t>
  </si>
  <si>
    <t>Modified Flight Factors</t>
  </si>
  <si>
    <t xml:space="preserve">Flight Type </t>
  </si>
  <si>
    <t xml:space="preserve">Conveyor Loading </t>
  </si>
  <si>
    <t xml:space="preserve">Cut Flight </t>
  </si>
  <si>
    <t xml:space="preserve">Ribbon Flight </t>
  </si>
  <si>
    <t>Not Recommended</t>
  </si>
  <si>
    <t>Conveyors With Paddles</t>
  </si>
  <si>
    <t xml:space="preserve">Paddles Per Pitch </t>
  </si>
  <si>
    <t xml:space="preserve">Factor </t>
  </si>
  <si>
    <t xml:space="preserve">* Std. paddles at 45° reverse pitch </t>
  </si>
  <si>
    <t>Calculated HP</t>
  </si>
  <si>
    <t>Corrected HP</t>
  </si>
  <si>
    <t>Standard</t>
  </si>
  <si>
    <t>Paddles/Flt</t>
  </si>
  <si>
    <t>Diameter (in)</t>
  </si>
  <si>
    <t>Modified formula</t>
  </si>
  <si>
    <t>a</t>
  </si>
  <si>
    <t>b</t>
  </si>
  <si>
    <t>c</t>
  </si>
  <si>
    <t>n</t>
  </si>
  <si>
    <t>f</t>
  </si>
  <si>
    <t>From Nomagraph</t>
  </si>
  <si>
    <t>Loading</t>
  </si>
  <si>
    <t xml:space="preserve">Cut and Folded Flight </t>
  </si>
  <si>
    <t xml:space="preserve">*Not Recommended </t>
  </si>
  <si>
    <t>Friction HP</t>
  </si>
  <si>
    <t xml:space="preserve">ft </t>
  </si>
  <si>
    <t>Conveyor Length</t>
  </si>
  <si>
    <t>Material HP</t>
  </si>
  <si>
    <t>Material Factor</t>
  </si>
  <si>
    <t xml:space="preserve">Total HP </t>
  </si>
  <si>
    <t>Factors</t>
  </si>
  <si>
    <t>Torque Requirements</t>
  </si>
  <si>
    <t>Reducer efficiency</t>
  </si>
  <si>
    <t>Adjusted HP</t>
  </si>
  <si>
    <t>Conveying Efficiency</t>
  </si>
  <si>
    <t>Estimate</t>
  </si>
  <si>
    <t>Model Number</t>
  </si>
  <si>
    <t>Product Name</t>
  </si>
  <si>
    <t>Conv. Dia.</t>
  </si>
  <si>
    <t>Trough Thickness</t>
  </si>
  <si>
    <t>A</t>
  </si>
  <si>
    <t>B</t>
  </si>
  <si>
    <t>C</t>
  </si>
  <si>
    <t>D</t>
  </si>
  <si>
    <t>TUF410</t>
  </si>
  <si>
    <t>Formed Flange Trough</t>
  </si>
  <si>
    <t>TUF412</t>
  </si>
  <si>
    <t>TUF414</t>
  </si>
  <si>
    <t>TUF416</t>
  </si>
  <si>
    <t>TUF610</t>
  </si>
  <si>
    <t>TUF612</t>
  </si>
  <si>
    <t>TUF614</t>
  </si>
  <si>
    <t>TUF616</t>
  </si>
  <si>
    <t>TUF910</t>
  </si>
  <si>
    <t>TUF912</t>
  </si>
  <si>
    <t>TUF914</t>
  </si>
  <si>
    <t>TUF9316</t>
  </si>
  <si>
    <t>TUF1010</t>
  </si>
  <si>
    <t>TUF1012</t>
  </si>
  <si>
    <t>TUF1014</t>
  </si>
  <si>
    <t>TUF10316</t>
  </si>
  <si>
    <t>TUF1210</t>
  </si>
  <si>
    <t>TUF1212</t>
  </si>
  <si>
    <t>TUF12250</t>
  </si>
  <si>
    <t>TUF12316</t>
  </si>
  <si>
    <t>TUF1410</t>
  </si>
  <si>
    <t>TUF1412</t>
  </si>
  <si>
    <t>TUF14250</t>
  </si>
  <si>
    <t>TUF14316</t>
  </si>
  <si>
    <t>TUF1610</t>
  </si>
  <si>
    <t>The top flange is formed from the same sheet as the trough, resulting in a lightweight, yet rigid housing section. End Flanges are jig-welded for perfect alignment between sections.</t>
  </si>
  <si>
    <t>E</t>
  </si>
  <si>
    <t xml:space="preserve">Gear reduction </t>
  </si>
  <si>
    <t xml:space="preserve">Conveyor: </t>
  </si>
  <si>
    <t>: 1</t>
  </si>
  <si>
    <t>HP</t>
  </si>
  <si>
    <t>in*lb</t>
  </si>
  <si>
    <t>ft*lb</t>
  </si>
  <si>
    <t xml:space="preserve">Torque  </t>
  </si>
  <si>
    <t>Inclined screws</t>
  </si>
  <si>
    <t>°</t>
  </si>
  <si>
    <t>Conveyor angle</t>
  </si>
  <si>
    <t>Efficiency factor</t>
  </si>
  <si>
    <t>Rise</t>
  </si>
  <si>
    <t>ft</t>
  </si>
  <si>
    <t>Added HP</t>
  </si>
  <si>
    <t>Date:</t>
  </si>
  <si>
    <t>Project #1</t>
  </si>
  <si>
    <t>Conveyor #1</t>
  </si>
  <si>
    <t>LEGEND</t>
  </si>
  <si>
    <t>User Inputs</t>
  </si>
  <si>
    <t>Intermediate Results</t>
  </si>
  <si>
    <t>Final Results</t>
  </si>
  <si>
    <t>Note:
This spreadsheet is based on formulas and values in Catalogue 3000 by  Martin Sprocket and Gear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</si>
</sst>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"/>
    <numFmt numFmtId="166" formatCode="0.000"/>
    <numFmt numFmtId="167" formatCode="0.0"/>
    <numFmt numFmtId="168" formatCode="0.0%"/>
  </numFmts>
  <fonts count="14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.5"/>
      <color rgb="FF666666"/>
      <name val="Arial"/>
      <family val="2"/>
    </font>
    <font>
      <sz val="8.5"/>
      <color theme="1"/>
      <name val="Arial"/>
      <family val="2"/>
    </font>
    <font>
      <sz val="9"/>
      <color rgb="FF333333"/>
      <name val="Arial"/>
      <family val="2"/>
    </font>
    <font>
      <b/>
      <sz val="10"/>
      <color rgb="FF333333"/>
      <name val="Arial"/>
      <family val="2"/>
    </font>
    <font>
      <b/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b/>
      <sz val="9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rgb="FFBBBBBB"/>
      </right>
      <top/>
      <bottom/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999999"/>
      </bottom>
      <diagonal/>
    </border>
    <border>
      <left/>
      <right style="medium">
        <color rgb="FFBBBBBB"/>
      </right>
      <top style="medium">
        <color rgb="FFBBBBBB"/>
      </top>
      <bottom style="medium">
        <color rgb="FF999999"/>
      </bottom>
      <diagonal/>
    </border>
    <border>
      <left/>
      <right/>
      <top style="medium">
        <color rgb="FFBBBBBB"/>
      </top>
      <bottom style="medium">
        <color rgb="FF999999"/>
      </bottom>
      <diagonal/>
    </border>
    <border>
      <left style="medium">
        <color rgb="FFBBBBBB"/>
      </left>
      <right style="medium">
        <color rgb="FFBBBBBB"/>
      </right>
      <top/>
      <bottom style="medium">
        <color rgb="FFBBBBBB"/>
      </bottom>
      <diagonal/>
    </border>
    <border>
      <left/>
      <right/>
      <top/>
      <bottom style="medium">
        <color rgb="FFBBBBBB"/>
      </bottom>
      <diagonal/>
    </border>
    <border>
      <left style="medium">
        <color rgb="FFBBBBBB"/>
      </left>
      <right style="medium">
        <color rgb="FFBBBBBB"/>
      </right>
      <top/>
      <bottom/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/>
      <diagonal/>
    </border>
    <border>
      <left style="medium">
        <color rgb="FFBBBBBB"/>
      </left>
      <right/>
      <top style="medium">
        <color rgb="FFBBBBBB"/>
      </top>
      <bottom style="medium">
        <color rgb="FF999999"/>
      </bottom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 style="medium">
        <color rgb="FFBBBBBB"/>
      </left>
      <right style="medium">
        <color rgb="FFBBBBBB"/>
      </right>
      <top style="medium">
        <color rgb="FF999999"/>
      </top>
      <bottom style="medium">
        <color rgb="FFBBBBBB"/>
      </bottom>
      <diagonal/>
    </border>
    <border>
      <left/>
      <right style="medium">
        <color rgb="FFBBBBBB"/>
      </right>
      <top style="medium">
        <color rgb="FF999999"/>
      </top>
      <bottom style="medium">
        <color rgb="FFBBBBBB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120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/>
    <xf numFmtId="3" fontId="0" fillId="3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9" fontId="0" fillId="2" borderId="1" xfId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4" fontId="0" fillId="3" borderId="1" xfId="0" applyNumberFormat="1" applyFill="1" applyBorder="1" applyAlignment="1">
      <alignment horizontal="center"/>
    </xf>
    <xf numFmtId="9" fontId="0" fillId="2" borderId="1" xfId="0" applyNumberFormat="1" applyFill="1" applyBorder="1" applyAlignment="1">
      <alignment horizontal="center"/>
    </xf>
    <xf numFmtId="0" fontId="3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0" fillId="6" borderId="1" xfId="0" applyFill="1" applyBorder="1" applyAlignment="1">
      <alignment horizontal="center"/>
    </xf>
    <xf numFmtId="9" fontId="0" fillId="6" borderId="1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0" xfId="0" applyBorder="1" applyAlignment="1">
      <alignment horizontal="center"/>
    </xf>
    <xf numFmtId="0" fontId="0" fillId="0" borderId="4" xfId="0" applyBorder="1"/>
    <xf numFmtId="0" fontId="0" fillId="0" borderId="2" xfId="0" applyBorder="1"/>
    <xf numFmtId="0" fontId="0" fillId="0" borderId="22" xfId="0" applyBorder="1"/>
    <xf numFmtId="0" fontId="0" fillId="0" borderId="3" xfId="0" applyBorder="1"/>
    <xf numFmtId="0" fontId="0" fillId="0" borderId="20" xfId="0" applyBorder="1"/>
    <xf numFmtId="0" fontId="0" fillId="0" borderId="5" xfId="0" applyBorder="1"/>
    <xf numFmtId="0" fontId="0" fillId="0" borderId="25" xfId="0" applyBorder="1"/>
    <xf numFmtId="0" fontId="0" fillId="0" borderId="26" xfId="0" applyBorder="1"/>
    <xf numFmtId="4" fontId="0" fillId="7" borderId="23" xfId="0" applyNumberFormat="1" applyFill="1" applyBorder="1" applyAlignment="1">
      <alignment horizontal="center"/>
    </xf>
    <xf numFmtId="0" fontId="0" fillId="6" borderId="27" xfId="0" applyFill="1" applyBorder="1" applyAlignment="1">
      <alignment horizontal="center"/>
    </xf>
    <xf numFmtId="0" fontId="10" fillId="8" borderId="0" xfId="2" applyFill="1" applyAlignment="1">
      <alignment horizontal="center" vertical="center" wrapText="1"/>
    </xf>
    <xf numFmtId="0" fontId="10" fillId="9" borderId="0" xfId="2" applyFill="1" applyAlignment="1">
      <alignment vertical="center" wrapText="1"/>
    </xf>
    <xf numFmtId="0" fontId="8" fillId="9" borderId="0" xfId="0" applyFont="1" applyFill="1" applyAlignment="1">
      <alignment vertical="center" wrapText="1"/>
    </xf>
    <xf numFmtId="0" fontId="10" fillId="10" borderId="0" xfId="2" applyFill="1" applyAlignment="1">
      <alignment vertical="center" wrapText="1"/>
    </xf>
    <xf numFmtId="0" fontId="8" fillId="10" borderId="0" xfId="0" applyFont="1" applyFill="1" applyAlignment="1">
      <alignment vertical="center" wrapText="1"/>
    </xf>
    <xf numFmtId="0" fontId="8" fillId="9" borderId="0" xfId="0" applyFont="1" applyFill="1" applyAlignment="1">
      <alignment horizontal="center" vertical="center" wrapText="1"/>
    </xf>
    <xf numFmtId="12" fontId="8" fillId="9" borderId="0" xfId="0" applyNumberFormat="1" applyFont="1" applyFill="1" applyAlignment="1">
      <alignment horizontal="center" vertical="center" wrapText="1"/>
    </xf>
    <xf numFmtId="0" fontId="8" fillId="10" borderId="0" xfId="0" applyFont="1" applyFill="1" applyAlignment="1">
      <alignment horizontal="center" vertical="center" wrapText="1"/>
    </xf>
    <xf numFmtId="12" fontId="8" fillId="10" borderId="0" xfId="0" applyNumberFormat="1" applyFont="1" applyFill="1" applyAlignment="1">
      <alignment horizontal="center" vertical="center" wrapText="1"/>
    </xf>
    <xf numFmtId="13" fontId="8" fillId="9" borderId="0" xfId="0" applyNumberFormat="1" applyFont="1" applyFill="1" applyAlignment="1">
      <alignment horizontal="center" vertical="center" wrapText="1"/>
    </xf>
    <xf numFmtId="13" fontId="8" fillId="10" borderId="0" xfId="0" applyNumberFormat="1" applyFont="1" applyFill="1" applyAlignment="1">
      <alignment horizontal="center" vertical="center" wrapText="1"/>
    </xf>
    <xf numFmtId="0" fontId="9" fillId="0" borderId="0" xfId="0" applyFont="1"/>
    <xf numFmtId="164" fontId="0" fillId="3" borderId="1" xfId="0" applyNumberForma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3" borderId="26" xfId="0" applyFill="1" applyBorder="1"/>
    <xf numFmtId="1" fontId="0" fillId="7" borderId="24" xfId="0" applyNumberFormat="1" applyFill="1" applyBorder="1"/>
    <xf numFmtId="0" fontId="0" fillId="7" borderId="26" xfId="0" applyFill="1" applyBorder="1"/>
    <xf numFmtId="0" fontId="0" fillId="2" borderId="26" xfId="0" applyFill="1" applyBorder="1"/>
    <xf numFmtId="3" fontId="0" fillId="7" borderId="24" xfId="0" applyNumberFormat="1" applyFill="1" applyBorder="1"/>
    <xf numFmtId="167" fontId="0" fillId="2" borderId="25" xfId="0" applyNumberFormat="1" applyFill="1" applyBorder="1"/>
    <xf numFmtId="167" fontId="0" fillId="3" borderId="25" xfId="0" applyNumberFormat="1" applyFill="1" applyBorder="1"/>
    <xf numFmtId="167" fontId="0" fillId="2" borderId="1" xfId="0" applyNumberFormat="1" applyFill="1" applyBorder="1" applyAlignment="1">
      <alignment horizontal="center"/>
    </xf>
    <xf numFmtId="166" fontId="0" fillId="7" borderId="24" xfId="0" applyNumberFormat="1" applyFill="1" applyBorder="1"/>
    <xf numFmtId="0" fontId="0" fillId="0" borderId="1" xfId="0" applyFill="1" applyBorder="1"/>
    <xf numFmtId="3" fontId="0" fillId="0" borderId="0" xfId="0" applyNumberFormat="1"/>
    <xf numFmtId="2" fontId="0" fillId="0" borderId="0" xfId="0" applyNumberFormat="1"/>
    <xf numFmtId="0" fontId="0" fillId="0" borderId="24" xfId="0" applyBorder="1"/>
    <xf numFmtId="0" fontId="0" fillId="0" borderId="25" xfId="0" applyBorder="1" applyAlignment="1">
      <alignment horizontal="center"/>
    </xf>
    <xf numFmtId="0" fontId="11" fillId="0" borderId="0" xfId="0" applyFont="1" applyAlignment="1">
      <alignment horizontal="center" vertical="center"/>
    </xf>
    <xf numFmtId="4" fontId="0" fillId="0" borderId="0" xfId="0" applyNumberFormat="1" applyAlignment="1">
      <alignment horizontal="center"/>
    </xf>
    <xf numFmtId="164" fontId="0" fillId="3" borderId="24" xfId="0" applyNumberFormat="1" applyFill="1" applyBorder="1"/>
    <xf numFmtId="164" fontId="0" fillId="2" borderId="1" xfId="0" applyNumberFormat="1" applyFill="1" applyBorder="1" applyAlignment="1">
      <alignment horizontal="center"/>
    </xf>
    <xf numFmtId="14" fontId="0" fillId="0" borderId="0" xfId="0" applyNumberFormat="1" applyAlignment="1">
      <alignment horizontal="left"/>
    </xf>
    <xf numFmtId="168" fontId="0" fillId="7" borderId="24" xfId="1" applyNumberFormat="1" applyFont="1" applyFill="1" applyBorder="1" applyAlignment="1">
      <alignment horizontal="center"/>
    </xf>
    <xf numFmtId="168" fontId="0" fillId="7" borderId="26" xfId="1" applyNumberFormat="1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27" xfId="0" applyBorder="1" applyAlignment="1">
      <alignment horizontal="right" vertical="center"/>
    </xf>
    <xf numFmtId="0" fontId="0" fillId="0" borderId="23" xfId="0" applyBorder="1" applyAlignment="1">
      <alignment horizontal="right" vertical="center"/>
    </xf>
    <xf numFmtId="0" fontId="7" fillId="6" borderId="1" xfId="0" applyFont="1" applyFill="1" applyBorder="1" applyAlignment="1">
      <alignment horizontal="center"/>
    </xf>
    <xf numFmtId="9" fontId="0" fillId="2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0" borderId="2" xfId="0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0" fontId="0" fillId="0" borderId="6" xfId="0" applyBorder="1" applyAlignment="1">
      <alignment horizontal="right" vertical="center" wrapText="1"/>
    </xf>
    <xf numFmtId="0" fontId="0" fillId="0" borderId="7" xfId="0" applyBorder="1" applyAlignment="1">
      <alignment horizontal="right" vertical="center" wrapText="1"/>
    </xf>
    <xf numFmtId="0" fontId="0" fillId="0" borderId="4" xfId="0" applyBorder="1" applyAlignment="1">
      <alignment horizontal="right" vertical="center" wrapText="1"/>
    </xf>
    <xf numFmtId="0" fontId="0" fillId="0" borderId="5" xfId="0" applyBorder="1" applyAlignment="1">
      <alignment horizontal="right" vertical="center" wrapText="1"/>
    </xf>
    <xf numFmtId="0" fontId="0" fillId="0" borderId="24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3" fillId="4" borderId="16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3" fillId="4" borderId="15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0" fillId="5" borderId="20" xfId="0" applyFill="1" applyBorder="1" applyAlignment="1">
      <alignment horizontal="center"/>
    </xf>
    <xf numFmtId="0" fontId="0" fillId="6" borderId="1" xfId="0" applyFill="1" applyBorder="1" applyAlignment="1">
      <alignment horizontal="right"/>
    </xf>
    <xf numFmtId="0" fontId="0" fillId="0" borderId="0" xfId="0" applyAlignment="1">
      <alignment horizontal="center" wrapText="1"/>
    </xf>
    <xf numFmtId="0" fontId="0" fillId="0" borderId="20" xfId="0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29" xfId="0" applyFont="1" applyBorder="1" applyAlignment="1">
      <alignment horizontal="center"/>
    </xf>
    <xf numFmtId="167" fontId="0" fillId="2" borderId="30" xfId="0" applyNumberFormat="1" applyFill="1" applyBorder="1" applyAlignment="1">
      <alignment horizontal="center"/>
    </xf>
    <xf numFmtId="167" fontId="0" fillId="2" borderId="31" xfId="0" applyNumberFormat="1" applyFill="1" applyBorder="1" applyAlignment="1">
      <alignment horizontal="center"/>
    </xf>
    <xf numFmtId="167" fontId="0" fillId="3" borderId="32" xfId="0" applyNumberFormat="1" applyFill="1" applyBorder="1" applyAlignment="1">
      <alignment horizontal="center"/>
    </xf>
    <xf numFmtId="167" fontId="0" fillId="3" borderId="33" xfId="0" applyNumberFormat="1" applyFill="1" applyBorder="1" applyAlignment="1">
      <alignment horizontal="center"/>
    </xf>
    <xf numFmtId="168" fontId="0" fillId="7" borderId="34" xfId="1" applyNumberFormat="1" applyFont="1" applyFill="1" applyBorder="1" applyAlignment="1">
      <alignment horizontal="center"/>
    </xf>
    <xf numFmtId="168" fontId="0" fillId="7" borderId="35" xfId="1" applyNumberFormat="1" applyFont="1" applyFill="1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'HP Correction'!$B$3</c:f>
              <c:strCache>
                <c:ptCount val="1"/>
                <c:pt idx="0">
                  <c:v>Calculated HP</c:v>
                </c:pt>
              </c:strCache>
            </c:strRef>
          </c:tx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0.12217416593598347"/>
                  <c:y val="6.0882708810334876E-2"/>
                </c:manualLayout>
              </c:layout>
              <c:numFmt formatCode="General" sourceLinked="0"/>
            </c:trendlineLbl>
          </c:trendline>
          <c:xVal>
            <c:numRef>
              <c:f>'HP Correction'!$A$4:$A$17</c:f>
              <c:numCache>
                <c:formatCode>General</c:formatCode>
                <c:ptCount val="14"/>
                <c:pt idx="0">
                  <c:v>0.219</c:v>
                </c:pt>
                <c:pt idx="1">
                  <c:v>0.5</c:v>
                </c:pt>
                <c:pt idx="2">
                  <c:v>0.79</c:v>
                </c:pt>
                <c:pt idx="3">
                  <c:v>1.05</c:v>
                </c:pt>
                <c:pt idx="4">
                  <c:v>1.21</c:v>
                </c:pt>
                <c:pt idx="5">
                  <c:v>1.36</c:v>
                </c:pt>
                <c:pt idx="6">
                  <c:v>1.52</c:v>
                </c:pt>
                <c:pt idx="7">
                  <c:v>1.71</c:v>
                </c:pt>
                <c:pt idx="8">
                  <c:v>1.88</c:v>
                </c:pt>
                <c:pt idx="9">
                  <c:v>2.0099999999999998</c:v>
                </c:pt>
                <c:pt idx="10">
                  <c:v>3.1</c:v>
                </c:pt>
                <c:pt idx="11">
                  <c:v>3.84</c:v>
                </c:pt>
                <c:pt idx="12">
                  <c:v>4.5</c:v>
                </c:pt>
                <c:pt idx="13">
                  <c:v>5</c:v>
                </c:pt>
              </c:numCache>
            </c:numRef>
          </c:xVal>
          <c:yVal>
            <c:numRef>
              <c:f>'HP Correction'!$B$4:$B$17</c:f>
              <c:numCache>
                <c:formatCode>General</c:formatCode>
                <c:ptCount val="1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900928"/>
        <c:axId val="171902464"/>
      </c:scatterChart>
      <c:valAx>
        <c:axId val="171900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1902464"/>
        <c:crosses val="autoZero"/>
        <c:crossBetween val="midCat"/>
      </c:valAx>
      <c:valAx>
        <c:axId val="171902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190092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1</xdr:row>
      <xdr:rowOff>19049</xdr:rowOff>
    </xdr:from>
    <xdr:to>
      <xdr:col>23</xdr:col>
      <xdr:colOff>114300</xdr:colOff>
      <xdr:row>35</xdr:row>
      <xdr:rowOff>152399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249381</xdr:colOff>
      <xdr:row>1</xdr:row>
      <xdr:rowOff>105832</xdr:rowOff>
    </xdr:from>
    <xdr:to>
      <xdr:col>13</xdr:col>
      <xdr:colOff>177436</xdr:colOff>
      <xdr:row>8</xdr:row>
      <xdr:rowOff>87085</xdr:rowOff>
    </xdr:to>
    <xdr:pic>
      <xdr:nvPicPr>
        <xdr:cNvPr id="2" name="Picture 1" descr="http://www.kwsmfg.com/catalog/ImagesDescription/troughs/FORMED-FLANGE-TROUGH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6326" y="472977"/>
          <a:ext cx="1756855" cy="1844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161925</xdr:colOff>
      <xdr:row>2</xdr:row>
      <xdr:rowOff>190500</xdr:rowOff>
    </xdr:from>
    <xdr:to>
      <xdr:col>14</xdr:col>
      <xdr:colOff>409575</xdr:colOff>
      <xdr:row>2</xdr:row>
      <xdr:rowOff>190500</xdr:rowOff>
    </xdr:to>
    <xdr:cxnSp macro="">
      <xdr:nvCxnSpPr>
        <xdr:cNvPr id="4" name="Straight Connector 3"/>
        <xdr:cNvCxnSpPr/>
      </xdr:nvCxnSpPr>
      <xdr:spPr>
        <a:xfrm>
          <a:off x="9382125" y="1619250"/>
          <a:ext cx="8572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80433</xdr:colOff>
      <xdr:row>7</xdr:row>
      <xdr:rowOff>238760</xdr:rowOff>
    </xdr:from>
    <xdr:to>
      <xdr:col>14</xdr:col>
      <xdr:colOff>430741</xdr:colOff>
      <xdr:row>7</xdr:row>
      <xdr:rowOff>241300</xdr:rowOff>
    </xdr:to>
    <xdr:cxnSp macro="">
      <xdr:nvCxnSpPr>
        <xdr:cNvPr id="5" name="Straight Connector 4"/>
        <xdr:cNvCxnSpPr/>
      </xdr:nvCxnSpPr>
      <xdr:spPr>
        <a:xfrm flipV="1">
          <a:off x="8919633" y="2215727"/>
          <a:ext cx="1569508" cy="25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307975</xdr:colOff>
      <xdr:row>6</xdr:row>
      <xdr:rowOff>9525</xdr:rowOff>
    </xdr:from>
    <xdr:to>
      <xdr:col>14</xdr:col>
      <xdr:colOff>317500</xdr:colOff>
      <xdr:row>8</xdr:row>
      <xdr:rowOff>1694</xdr:rowOff>
    </xdr:to>
    <xdr:cxnSp macro="">
      <xdr:nvCxnSpPr>
        <xdr:cNvPr id="8" name="Straight Arrow Connector 7"/>
        <xdr:cNvCxnSpPr/>
      </xdr:nvCxnSpPr>
      <xdr:spPr>
        <a:xfrm>
          <a:off x="10366375" y="1736725"/>
          <a:ext cx="9525" cy="49170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295276</xdr:colOff>
      <xdr:row>2</xdr:row>
      <xdr:rowOff>180975</xdr:rowOff>
    </xdr:from>
    <xdr:to>
      <xdr:col>14</xdr:col>
      <xdr:colOff>304800</xdr:colOff>
      <xdr:row>5</xdr:row>
      <xdr:rowOff>9525</xdr:rowOff>
    </xdr:to>
    <xdr:cxnSp macro="">
      <xdr:nvCxnSpPr>
        <xdr:cNvPr id="10" name="Straight Arrow Connector 9"/>
        <xdr:cNvCxnSpPr/>
      </xdr:nvCxnSpPr>
      <xdr:spPr>
        <a:xfrm flipH="1" flipV="1">
          <a:off x="10125076" y="1609725"/>
          <a:ext cx="9524" cy="1114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javascript:AjaxNS.AR('_ctl0$contentCatalog$itemViewer$dgItems','Sort$D',%20'_ctl0_contentCatalog_itemViewer_RadAjaxManager1',%20event)" TargetMode="External"/><Relationship Id="rId13" Type="http://schemas.openxmlformats.org/officeDocument/2006/relationships/hyperlink" Target="http://www.kwsmfg.com/catalog/ItemView.aspx?id=8863" TargetMode="External"/><Relationship Id="rId18" Type="http://schemas.openxmlformats.org/officeDocument/2006/relationships/hyperlink" Target="http://www.kwsmfg.com/catalog/ItemView.aspx?id=8868" TargetMode="External"/><Relationship Id="rId26" Type="http://schemas.openxmlformats.org/officeDocument/2006/relationships/hyperlink" Target="http://www.kwsmfg.com/catalog/ItemView.aspx?id=8838" TargetMode="External"/><Relationship Id="rId3" Type="http://schemas.openxmlformats.org/officeDocument/2006/relationships/hyperlink" Target="javascript:AjaxNS.AR('_ctl0$contentCatalog$itemViewer$dgItems','Sort$Conv.%20Dia.',%20'_ctl0_contentCatalog_itemViewer_RadAjaxManager1',%20event)" TargetMode="External"/><Relationship Id="rId21" Type="http://schemas.openxmlformats.org/officeDocument/2006/relationships/hyperlink" Target="http://www.kwsmfg.com/catalog/ItemView.aspx?id=8833" TargetMode="External"/><Relationship Id="rId34" Type="http://schemas.openxmlformats.org/officeDocument/2006/relationships/hyperlink" Target="javascript:AjaxNS.AR('_ctl0$contentCatalog$itemViewer$dgItems','Sort$D',%20'_ctl0_contentCatalog_itemViewer_RadAjaxManager1',%20event)" TargetMode="External"/><Relationship Id="rId7" Type="http://schemas.openxmlformats.org/officeDocument/2006/relationships/hyperlink" Target="javascript:AjaxNS.AR('_ctl0$contentCatalog$itemViewer$dgItems','Sort$C',%20'_ctl0_contentCatalog_itemViewer_RadAjaxManager1',%20event)" TargetMode="External"/><Relationship Id="rId12" Type="http://schemas.openxmlformats.org/officeDocument/2006/relationships/hyperlink" Target="http://www.kwsmfg.com/catalog/ItemView.aspx?id=8862" TargetMode="External"/><Relationship Id="rId17" Type="http://schemas.openxmlformats.org/officeDocument/2006/relationships/hyperlink" Target="http://www.kwsmfg.com/catalog/ItemView.aspx?id=8867" TargetMode="External"/><Relationship Id="rId25" Type="http://schemas.openxmlformats.org/officeDocument/2006/relationships/hyperlink" Target="http://www.kwsmfg.com/catalog/ItemView.aspx?id=8837" TargetMode="External"/><Relationship Id="rId33" Type="http://schemas.openxmlformats.org/officeDocument/2006/relationships/hyperlink" Target="http://www.kwsmfg.com/catalog/ItemView.aspx?id=8845" TargetMode="External"/><Relationship Id="rId2" Type="http://schemas.openxmlformats.org/officeDocument/2006/relationships/hyperlink" Target="javascript:AjaxNS.AR('_ctl0$contentCatalog$itemViewer$dgItems','Sort$Product%20Name',%20'_ctl0_contentCatalog_itemViewer_RadAjaxManager1',%20event)" TargetMode="External"/><Relationship Id="rId16" Type="http://schemas.openxmlformats.org/officeDocument/2006/relationships/hyperlink" Target="http://www.kwsmfg.com/catalog/ItemView.aspx?id=8866" TargetMode="External"/><Relationship Id="rId20" Type="http://schemas.openxmlformats.org/officeDocument/2006/relationships/hyperlink" Target="http://www.kwsmfg.com/catalog/ItemView.aspx?id=8870" TargetMode="External"/><Relationship Id="rId29" Type="http://schemas.openxmlformats.org/officeDocument/2006/relationships/hyperlink" Target="http://www.kwsmfg.com/catalog/ItemView.aspx?id=8841" TargetMode="External"/><Relationship Id="rId1" Type="http://schemas.openxmlformats.org/officeDocument/2006/relationships/hyperlink" Target="javascript:AjaxNS.AR('_ctl0$contentCatalog$itemViewer$dgItems','Sort$Product%20Name',%20'_ctl0_contentCatalog_itemViewer_RadAjaxManager1',%20event)" TargetMode="External"/><Relationship Id="rId6" Type="http://schemas.openxmlformats.org/officeDocument/2006/relationships/hyperlink" Target="javascript:AjaxNS.AR('_ctl0$contentCatalog$itemViewer$dgItems','Sort$B',%20'_ctl0_contentCatalog_itemViewer_RadAjaxManager1',%20event)" TargetMode="External"/><Relationship Id="rId11" Type="http://schemas.openxmlformats.org/officeDocument/2006/relationships/hyperlink" Target="http://www.kwsmfg.com/catalog/ItemView.aspx?id=8861" TargetMode="External"/><Relationship Id="rId24" Type="http://schemas.openxmlformats.org/officeDocument/2006/relationships/hyperlink" Target="http://www.kwsmfg.com/catalog/ItemView.aspx?id=8836" TargetMode="External"/><Relationship Id="rId32" Type="http://schemas.openxmlformats.org/officeDocument/2006/relationships/hyperlink" Target="http://www.kwsmfg.com/catalog/ItemView.aspx?id=8844" TargetMode="External"/><Relationship Id="rId5" Type="http://schemas.openxmlformats.org/officeDocument/2006/relationships/hyperlink" Target="javascript:AjaxNS.AR('_ctl0$contentCatalog$itemViewer$dgItems','Sort$A',%20'_ctl0_contentCatalog_itemViewer_RadAjaxManager1',%20event)" TargetMode="External"/><Relationship Id="rId15" Type="http://schemas.openxmlformats.org/officeDocument/2006/relationships/hyperlink" Target="http://www.kwsmfg.com/catalog/ItemView.aspx?id=8865" TargetMode="External"/><Relationship Id="rId23" Type="http://schemas.openxmlformats.org/officeDocument/2006/relationships/hyperlink" Target="http://www.kwsmfg.com/catalog/ItemView.aspx?id=8835" TargetMode="External"/><Relationship Id="rId28" Type="http://schemas.openxmlformats.org/officeDocument/2006/relationships/hyperlink" Target="http://www.kwsmfg.com/catalog/ItemView.aspx?id=8840" TargetMode="External"/><Relationship Id="rId36" Type="http://schemas.openxmlformats.org/officeDocument/2006/relationships/drawing" Target="../drawings/drawing2.xml"/><Relationship Id="rId10" Type="http://schemas.openxmlformats.org/officeDocument/2006/relationships/hyperlink" Target="http://www.kwsmfg.com/catalog/ItemView.aspx?id=8860" TargetMode="External"/><Relationship Id="rId19" Type="http://schemas.openxmlformats.org/officeDocument/2006/relationships/hyperlink" Target="http://www.kwsmfg.com/catalog/ItemView.aspx?id=8869" TargetMode="External"/><Relationship Id="rId31" Type="http://schemas.openxmlformats.org/officeDocument/2006/relationships/hyperlink" Target="http://www.kwsmfg.com/catalog/ItemView.aspx?id=8843" TargetMode="External"/><Relationship Id="rId4" Type="http://schemas.openxmlformats.org/officeDocument/2006/relationships/hyperlink" Target="javascript:AjaxNS.AR('_ctl0$contentCatalog$itemViewer$dgItems','Sort$Trough%20Thickness',%20'_ctl0_contentCatalog_itemViewer_RadAjaxManager1',%20event)" TargetMode="External"/><Relationship Id="rId9" Type="http://schemas.openxmlformats.org/officeDocument/2006/relationships/hyperlink" Target="http://www.kwsmfg.com/catalog/ItemView.aspx?id=8859" TargetMode="External"/><Relationship Id="rId14" Type="http://schemas.openxmlformats.org/officeDocument/2006/relationships/hyperlink" Target="http://www.kwsmfg.com/catalog/ItemView.aspx?id=8864" TargetMode="External"/><Relationship Id="rId22" Type="http://schemas.openxmlformats.org/officeDocument/2006/relationships/hyperlink" Target="http://www.kwsmfg.com/catalog/ItemView.aspx?id=8834" TargetMode="External"/><Relationship Id="rId27" Type="http://schemas.openxmlformats.org/officeDocument/2006/relationships/hyperlink" Target="http://www.kwsmfg.com/catalog/ItemView.aspx?id=8839" TargetMode="External"/><Relationship Id="rId30" Type="http://schemas.openxmlformats.org/officeDocument/2006/relationships/hyperlink" Target="http://www.kwsmfg.com/catalog/ItemView.aspx?id=8842" TargetMode="External"/><Relationship Id="rId35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0"/>
  <sheetViews>
    <sheetView tabSelected="1" topLeftCell="A4" workbookViewId="0">
      <selection activeCell="N31" sqref="N31"/>
    </sheetView>
  </sheetViews>
  <sheetFormatPr defaultRowHeight="14.4" x14ac:dyDescent="0.3"/>
  <cols>
    <col min="1" max="1" width="11.109375" customWidth="1"/>
    <col min="2" max="2" width="12.6640625" customWidth="1"/>
    <col min="3" max="3" width="9.5546875" bestFit="1" customWidth="1"/>
    <col min="5" max="5" width="22.5546875" hidden="1" customWidth="1"/>
    <col min="6" max="6" width="1.6640625" customWidth="1"/>
    <col min="7" max="7" width="14.44140625" bestFit="1" customWidth="1"/>
    <col min="8" max="8" width="8.88671875" style="5" bestFit="1" customWidth="1"/>
    <col min="9" max="12" width="6.77734375" customWidth="1"/>
    <col min="13" max="13" width="1.6640625" customWidth="1"/>
    <col min="14" max="14" width="16.109375" customWidth="1"/>
    <col min="15" max="15" width="10.5546875" customWidth="1"/>
    <col min="16" max="16" width="5.6640625" customWidth="1"/>
  </cols>
  <sheetData>
    <row r="1" spans="1:17" x14ac:dyDescent="0.3">
      <c r="A1" s="102" t="s">
        <v>6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</row>
    <row r="3" spans="1:17" x14ac:dyDescent="0.3">
      <c r="A3" s="2" t="s">
        <v>0</v>
      </c>
      <c r="B3" t="s">
        <v>135</v>
      </c>
    </row>
    <row r="4" spans="1:17" x14ac:dyDescent="0.3">
      <c r="A4" s="2" t="s">
        <v>121</v>
      </c>
      <c r="B4" t="s">
        <v>136</v>
      </c>
    </row>
    <row r="5" spans="1:17" x14ac:dyDescent="0.3">
      <c r="A5" s="2" t="s">
        <v>134</v>
      </c>
      <c r="B5" s="72">
        <f ca="1">TODAY()</f>
        <v>41222</v>
      </c>
      <c r="G5" s="78" t="s">
        <v>18</v>
      </c>
      <c r="H5" s="78"/>
      <c r="I5" s="78"/>
      <c r="J5" s="78"/>
      <c r="K5" s="78"/>
      <c r="L5" s="78"/>
      <c r="N5" s="78" t="s">
        <v>79</v>
      </c>
      <c r="O5" s="78"/>
      <c r="P5" s="78"/>
    </row>
    <row r="6" spans="1:17" ht="15" customHeight="1" x14ac:dyDescent="0.3">
      <c r="A6" s="81" t="s">
        <v>4</v>
      </c>
      <c r="B6" s="82"/>
      <c r="C6" s="71">
        <v>1250</v>
      </c>
      <c r="D6" s="3" t="s">
        <v>2</v>
      </c>
      <c r="G6" s="3"/>
      <c r="H6" s="90" t="s">
        <v>78</v>
      </c>
      <c r="I6" s="90"/>
      <c r="J6" s="90"/>
      <c r="K6" s="90"/>
      <c r="L6" s="90"/>
      <c r="N6" s="53" t="s">
        <v>80</v>
      </c>
      <c r="O6" s="79">
        <v>0.85</v>
      </c>
      <c r="P6" s="79"/>
    </row>
    <row r="7" spans="1:17" ht="15" customHeight="1" x14ac:dyDescent="0.3">
      <c r="A7" s="83"/>
      <c r="B7" s="84"/>
      <c r="C7" s="4">
        <f>+C6*60</f>
        <v>75000</v>
      </c>
      <c r="D7" s="3" t="s">
        <v>1</v>
      </c>
      <c r="G7" s="31" t="s">
        <v>61</v>
      </c>
      <c r="H7" s="4">
        <f>C15</f>
        <v>10</v>
      </c>
      <c r="I7" s="4">
        <f>VLOOKUP(H7,Data!A3:B12,2,TRUE)</f>
        <v>37</v>
      </c>
      <c r="J7" s="32"/>
      <c r="K7" s="32"/>
      <c r="L7" s="33"/>
      <c r="N7" s="53" t="s">
        <v>120</v>
      </c>
      <c r="O7" s="70">
        <f>1750/C23</f>
        <v>13.097993827160495</v>
      </c>
      <c r="P7" s="54" t="s">
        <v>122</v>
      </c>
    </row>
    <row r="8" spans="1:17" ht="15" customHeight="1" x14ac:dyDescent="0.3">
      <c r="A8" s="83"/>
      <c r="B8" s="84"/>
      <c r="C8" s="9">
        <f>+C7/2000</f>
        <v>37.5</v>
      </c>
      <c r="D8" s="3" t="s">
        <v>7</v>
      </c>
      <c r="G8" s="26" t="s">
        <v>24</v>
      </c>
      <c r="H8" s="1" t="s">
        <v>38</v>
      </c>
      <c r="I8" s="52">
        <f>VLOOKUP(H8,Data!E2:G14,2,TRUE)</f>
        <v>1.7</v>
      </c>
      <c r="J8" s="27"/>
      <c r="K8" s="27"/>
      <c r="L8" s="28"/>
      <c r="N8" s="53" t="s">
        <v>81</v>
      </c>
      <c r="O8" s="80">
        <f>I18/O6</f>
        <v>4.5131187807874795</v>
      </c>
      <c r="P8" s="80"/>
      <c r="Q8" s="65"/>
    </row>
    <row r="9" spans="1:17" ht="15" customHeight="1" x14ac:dyDescent="0.3">
      <c r="A9" s="83"/>
      <c r="B9" s="84"/>
      <c r="C9" s="9">
        <f>+C6/$C$11</f>
        <v>25</v>
      </c>
      <c r="D9" s="3" t="s">
        <v>8</v>
      </c>
      <c r="G9" s="89" t="s">
        <v>25</v>
      </c>
      <c r="H9" s="22" t="s">
        <v>69</v>
      </c>
      <c r="I9" s="23">
        <v>0.15</v>
      </c>
      <c r="J9" s="23">
        <v>0.3</v>
      </c>
      <c r="K9" s="23">
        <v>0.45</v>
      </c>
      <c r="L9" s="23">
        <v>0.95</v>
      </c>
      <c r="N9" s="76" t="s">
        <v>126</v>
      </c>
      <c r="O9" s="55">
        <f>O8*5252/C23</f>
        <v>177.40596328391183</v>
      </c>
      <c r="P9" s="56" t="s">
        <v>125</v>
      </c>
    </row>
    <row r="10" spans="1:17" ht="15" customHeight="1" x14ac:dyDescent="0.3">
      <c r="A10" s="85"/>
      <c r="B10" s="86"/>
      <c r="C10" s="4">
        <f>+C7/$C$11</f>
        <v>1500</v>
      </c>
      <c r="D10" s="3" t="s">
        <v>9</v>
      </c>
      <c r="G10" s="89"/>
      <c r="H10" s="1" t="s">
        <v>59</v>
      </c>
      <c r="I10" s="9">
        <f>VLOOKUP(H10,Data!I4:M7,2,FALSE)</f>
        <v>1</v>
      </c>
      <c r="J10" s="9">
        <f>VLOOKUP(H10,Data!I4:M7,3,TRUE)</f>
        <v>1</v>
      </c>
      <c r="K10" s="9">
        <f>VLOOKUP(H10,Data!I4:M7,3,TRUE)</f>
        <v>1</v>
      </c>
      <c r="L10" s="9">
        <f>VLOOKUP(H10,Data!I4:M7,4,TRUE)</f>
        <v>1</v>
      </c>
      <c r="N10" s="77"/>
      <c r="O10" s="58">
        <f>O9*12</f>
        <v>2128.8715594069417</v>
      </c>
      <c r="P10" s="56" t="s">
        <v>124</v>
      </c>
      <c r="Q10" s="64"/>
    </row>
    <row r="11" spans="1:17" ht="17.25" x14ac:dyDescent="0.25">
      <c r="A11" s="75" t="s">
        <v>3</v>
      </c>
      <c r="B11" s="75"/>
      <c r="C11" s="1">
        <v>50</v>
      </c>
      <c r="D11" s="3" t="s">
        <v>5</v>
      </c>
      <c r="G11" s="26" t="s">
        <v>60</v>
      </c>
      <c r="H11" s="1">
        <v>0</v>
      </c>
      <c r="I11" s="4">
        <f>VLOOKUP(H11,Data!I13:J17,2,TRUE)</f>
        <v>1</v>
      </c>
      <c r="J11" s="27"/>
      <c r="K11" s="27"/>
      <c r="L11" s="28"/>
    </row>
    <row r="12" spans="1:17" ht="15" x14ac:dyDescent="0.25">
      <c r="A12" s="2"/>
      <c r="B12" s="2"/>
      <c r="G12" s="30" t="s">
        <v>76</v>
      </c>
      <c r="H12" s="1">
        <v>1.5</v>
      </c>
      <c r="I12" s="34"/>
      <c r="J12" s="34"/>
      <c r="K12" s="34"/>
      <c r="L12" s="35"/>
    </row>
    <row r="13" spans="1:17" ht="15" x14ac:dyDescent="0.25">
      <c r="G13" s="66"/>
      <c r="H13" s="67"/>
      <c r="I13" s="36"/>
      <c r="J13" s="36"/>
      <c r="K13" s="36"/>
      <c r="L13" s="37"/>
    </row>
    <row r="14" spans="1:17" x14ac:dyDescent="0.3">
      <c r="A14" s="75" t="s">
        <v>10</v>
      </c>
      <c r="B14" s="75"/>
      <c r="C14" s="6">
        <v>0.45</v>
      </c>
      <c r="D14" s="7"/>
      <c r="E14" t="s">
        <v>19</v>
      </c>
      <c r="G14" s="87" t="s">
        <v>72</v>
      </c>
      <c r="H14" s="88"/>
      <c r="I14" s="9">
        <f>+C23*I7*I8*C18/10^6</f>
        <v>0.21009896907216488</v>
      </c>
      <c r="J14" s="36"/>
      <c r="K14" s="36"/>
      <c r="L14" s="37"/>
    </row>
    <row r="15" spans="1:17" x14ac:dyDescent="0.3">
      <c r="A15" s="87" t="s">
        <v>11</v>
      </c>
      <c r="B15" s="88"/>
      <c r="C15" s="1">
        <v>10</v>
      </c>
      <c r="D15" s="8" t="s">
        <v>12</v>
      </c>
      <c r="G15" s="26"/>
      <c r="H15" s="29"/>
      <c r="I15" s="27"/>
      <c r="J15" s="27"/>
      <c r="K15" s="27"/>
      <c r="L15" s="28"/>
    </row>
    <row r="16" spans="1:17" x14ac:dyDescent="0.3">
      <c r="A16" s="75" t="s">
        <v>13</v>
      </c>
      <c r="B16" s="75"/>
      <c r="C16" s="1">
        <v>1</v>
      </c>
      <c r="D16" s="7"/>
      <c r="E16" t="s">
        <v>20</v>
      </c>
      <c r="G16" s="31"/>
      <c r="H16" s="39" t="s">
        <v>69</v>
      </c>
      <c r="I16" s="23">
        <v>0.15</v>
      </c>
      <c r="J16" s="23">
        <v>0.3</v>
      </c>
      <c r="K16" s="23">
        <v>0.45</v>
      </c>
      <c r="L16" s="23">
        <v>0.95</v>
      </c>
    </row>
    <row r="17" spans="1:12" x14ac:dyDescent="0.3">
      <c r="A17" s="75" t="s">
        <v>82</v>
      </c>
      <c r="B17" s="75"/>
      <c r="C17" s="10">
        <v>0.91484619140230228</v>
      </c>
      <c r="D17" s="7" t="s">
        <v>83</v>
      </c>
      <c r="G17" s="75" t="s">
        <v>75</v>
      </c>
      <c r="H17" s="75"/>
      <c r="I17" s="9">
        <f>$C$7*$H$12*$C$18*$I$11*I10/10^6</f>
        <v>2.8125</v>
      </c>
      <c r="J17" s="9">
        <f>$C$7*$H$12*$C$18*$I$11*J10/10^6</f>
        <v>2.8125</v>
      </c>
      <c r="K17" s="9">
        <f>$C$7*$H$12*$C$18*$I$11*K10/10^6</f>
        <v>2.8125</v>
      </c>
      <c r="L17" s="9">
        <f>$C$7*$H$12*$C$18*$I$11*L10/10^6</f>
        <v>2.8125</v>
      </c>
    </row>
    <row r="18" spans="1:12" x14ac:dyDescent="0.3">
      <c r="A18" s="75" t="s">
        <v>74</v>
      </c>
      <c r="B18" s="75"/>
      <c r="C18" s="61">
        <v>25</v>
      </c>
      <c r="D18" s="7" t="s">
        <v>73</v>
      </c>
      <c r="G18" s="75" t="s">
        <v>77</v>
      </c>
      <c r="H18" s="75"/>
      <c r="I18" s="38">
        <f>'HP Correction'!$D$20</f>
        <v>3.8361509636693576</v>
      </c>
      <c r="J18" s="38">
        <f>'HP Correction'!$E$20</f>
        <v>3.8361509636693576</v>
      </c>
      <c r="K18" s="38">
        <f>'HP Correction'!$F$20</f>
        <v>3.8361509636693576</v>
      </c>
      <c r="L18" s="38">
        <f>'HP Correction'!$G$20</f>
        <v>3.8361509636693576</v>
      </c>
    </row>
    <row r="19" spans="1:12" ht="16.2" x14ac:dyDescent="0.3">
      <c r="A19" s="75" t="s">
        <v>14</v>
      </c>
      <c r="B19" s="75"/>
      <c r="C19" s="9">
        <f>H7*C16*0.25*PI()*C14*C15^2/12^3</f>
        <v>0.20453077171808548</v>
      </c>
      <c r="D19" s="7" t="s">
        <v>8</v>
      </c>
    </row>
    <row r="20" spans="1:12" ht="16.2" x14ac:dyDescent="0.3">
      <c r="A20" s="75" t="s">
        <v>15</v>
      </c>
      <c r="B20" s="75"/>
      <c r="C20" s="9">
        <f>+C17*C19*H23</f>
        <v>0.18711419753086422</v>
      </c>
      <c r="D20" s="7" t="s">
        <v>8</v>
      </c>
      <c r="G20" s="78" t="s">
        <v>127</v>
      </c>
      <c r="H20" s="78"/>
      <c r="I20" s="78"/>
    </row>
    <row r="21" spans="1:12" ht="16.2" x14ac:dyDescent="0.3">
      <c r="A21" s="75" t="s">
        <v>14</v>
      </c>
      <c r="B21" s="75"/>
      <c r="C21" s="9">
        <f>C19*60</f>
        <v>12.271846303085129</v>
      </c>
      <c r="D21" s="7" t="s">
        <v>9</v>
      </c>
      <c r="G21" s="3" t="s">
        <v>131</v>
      </c>
      <c r="H21" s="59">
        <v>0</v>
      </c>
      <c r="I21" s="57" t="s">
        <v>132</v>
      </c>
    </row>
    <row r="22" spans="1:12" ht="16.2" x14ac:dyDescent="0.3">
      <c r="A22" s="75" t="s">
        <v>15</v>
      </c>
      <c r="B22" s="75"/>
      <c r="C22" s="9">
        <f>C20*60</f>
        <v>11.226851851851853</v>
      </c>
      <c r="D22" s="7" t="s">
        <v>9</v>
      </c>
      <c r="G22" s="3" t="s">
        <v>129</v>
      </c>
      <c r="H22" s="60">
        <f>DEGREES(ATAN(H21/C18))</f>
        <v>0</v>
      </c>
      <c r="I22" s="54" t="s">
        <v>128</v>
      </c>
    </row>
    <row r="23" spans="1:12" x14ac:dyDescent="0.3">
      <c r="A23" s="75" t="s">
        <v>16</v>
      </c>
      <c r="B23" s="75"/>
      <c r="C23" s="52">
        <f>+C9/C20</f>
        <v>133.60824742268039</v>
      </c>
      <c r="D23" s="8" t="s">
        <v>17</v>
      </c>
      <c r="G23" s="3" t="s">
        <v>130</v>
      </c>
      <c r="H23" s="73">
        <f>1-($H$22/140)</f>
        <v>1</v>
      </c>
      <c r="I23" s="74"/>
    </row>
    <row r="24" spans="1:12" x14ac:dyDescent="0.3">
      <c r="G24" s="63" t="s">
        <v>133</v>
      </c>
      <c r="H24" s="62">
        <f>C6*H21/33000</f>
        <v>0</v>
      </c>
      <c r="I24" s="56" t="s">
        <v>123</v>
      </c>
    </row>
    <row r="26" spans="1:12" ht="15" thickBot="1" x14ac:dyDescent="0.35"/>
    <row r="27" spans="1:12" ht="15" thickBot="1" x14ac:dyDescent="0.35">
      <c r="B27" s="103" t="s">
        <v>137</v>
      </c>
      <c r="C27" s="104"/>
      <c r="G27" s="111" t="s">
        <v>141</v>
      </c>
      <c r="H27" s="112"/>
      <c r="I27" s="112"/>
      <c r="J27" s="112"/>
      <c r="K27" s="112"/>
      <c r="L27" s="113"/>
    </row>
    <row r="28" spans="1:12" ht="14.4" customHeight="1" x14ac:dyDescent="0.3">
      <c r="B28" s="105" t="s">
        <v>138</v>
      </c>
      <c r="C28" s="106"/>
      <c r="G28" s="114"/>
      <c r="H28" s="115"/>
      <c r="I28" s="115"/>
      <c r="J28" s="115"/>
      <c r="K28" s="115"/>
      <c r="L28" s="116"/>
    </row>
    <row r="29" spans="1:12" x14ac:dyDescent="0.3">
      <c r="B29" s="107" t="s">
        <v>139</v>
      </c>
      <c r="C29" s="108"/>
      <c r="G29" s="117"/>
      <c r="H29" s="118"/>
      <c r="I29" s="118"/>
      <c r="J29" s="118"/>
      <c r="K29" s="118"/>
      <c r="L29" s="119"/>
    </row>
    <row r="30" spans="1:12" ht="15" thickBot="1" x14ac:dyDescent="0.35">
      <c r="B30" s="109" t="s">
        <v>140</v>
      </c>
      <c r="C30" s="110"/>
    </row>
  </sheetData>
  <mergeCells count="30">
    <mergeCell ref="A1:P1"/>
    <mergeCell ref="G27:L29"/>
    <mergeCell ref="B30:C30"/>
    <mergeCell ref="B28:C28"/>
    <mergeCell ref="B29:C29"/>
    <mergeCell ref="B27:C27"/>
    <mergeCell ref="N5:P5"/>
    <mergeCell ref="A11:B11"/>
    <mergeCell ref="A22:B22"/>
    <mergeCell ref="A14:B14"/>
    <mergeCell ref="A15:B15"/>
    <mergeCell ref="A21:B21"/>
    <mergeCell ref="G18:H18"/>
    <mergeCell ref="A19:B19"/>
    <mergeCell ref="A17:B17"/>
    <mergeCell ref="A20:B20"/>
    <mergeCell ref="G9:G10"/>
    <mergeCell ref="A18:B18"/>
    <mergeCell ref="H6:L6"/>
    <mergeCell ref="G5:L5"/>
    <mergeCell ref="G14:H14"/>
    <mergeCell ref="G17:H17"/>
    <mergeCell ref="H23:I23"/>
    <mergeCell ref="A23:B23"/>
    <mergeCell ref="N9:N10"/>
    <mergeCell ref="G20:I20"/>
    <mergeCell ref="O6:P6"/>
    <mergeCell ref="O8:P8"/>
    <mergeCell ref="A6:B10"/>
    <mergeCell ref="A16:B16"/>
  </mergeCells>
  <pageMargins left="0.45" right="0.45" top="0.75" bottom="0.75" header="0.3" footer="0.3"/>
  <pageSetup orientation="landscape" horizontalDpi="1200" verticalDpi="1200" r:id="rId1"/>
  <headerFooter>
    <oddFooter>&amp;L&amp;F&amp;R&amp;D</oddFoot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Data!$I$4:$I$7</xm:f>
          </x14:formula1>
          <xm:sqref>H10</xm:sqref>
        </x14:dataValidation>
        <x14:dataValidation type="list" allowBlank="1" showInputMessage="1" showErrorMessage="1">
          <x14:formula1>
            <xm:f>Data!$E$2:$E$14</xm:f>
          </x14:formula1>
          <xm:sqref>H8</xm:sqref>
        </x14:dataValidation>
        <x14:dataValidation type="list" allowBlank="1" showInputMessage="1" showErrorMessage="1">
          <x14:formula1>
            <xm:f>Data!$A$3:$A$12</xm:f>
          </x14:formula1>
          <xm:sqref>H7 C15</xm:sqref>
        </x14:dataValidation>
        <x14:dataValidation type="list" allowBlank="1" showInputMessage="1" showErrorMessage="1">
          <x14:formula1>
            <xm:f>Data!$I$13:$I$17</xm:f>
          </x14:formula1>
          <xm:sqref>H11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workbookViewId="0">
      <selection activeCell="L10" sqref="L10"/>
    </sheetView>
  </sheetViews>
  <sheetFormatPr defaultRowHeight="14.4" x14ac:dyDescent="0.3"/>
  <cols>
    <col min="1" max="1" width="10" style="5" customWidth="1"/>
    <col min="5" max="5" width="14.88671875" customWidth="1"/>
    <col min="7" max="7" width="9.109375" style="5"/>
    <col min="9" max="9" width="11" customWidth="1"/>
    <col min="10" max="13" width="12.6640625" customWidth="1"/>
    <col min="16" max="16" width="16.6640625" bestFit="1" customWidth="1"/>
    <col min="17" max="17" width="12.5546875" bestFit="1" customWidth="1"/>
  </cols>
  <sheetData>
    <row r="1" spans="1:19" ht="23.25" thickBot="1" x14ac:dyDescent="0.3">
      <c r="A1" s="91" t="s">
        <v>21</v>
      </c>
      <c r="B1" s="92"/>
      <c r="E1" s="11" t="s">
        <v>26</v>
      </c>
      <c r="F1" s="12" t="s">
        <v>27</v>
      </c>
      <c r="G1" s="13" t="s">
        <v>28</v>
      </c>
      <c r="I1" s="93" t="s">
        <v>47</v>
      </c>
      <c r="J1" s="93"/>
      <c r="K1" s="93"/>
      <c r="L1" s="93"/>
      <c r="M1" s="93"/>
      <c r="R1" s="5"/>
      <c r="S1" s="5"/>
    </row>
    <row r="2" spans="1:19" ht="22.2" thickBot="1" x14ac:dyDescent="0.35">
      <c r="A2" s="11" t="s">
        <v>22</v>
      </c>
      <c r="B2" s="11" t="s">
        <v>23</v>
      </c>
      <c r="E2" s="19" t="s">
        <v>29</v>
      </c>
      <c r="F2" s="20">
        <v>1</v>
      </c>
      <c r="G2" s="20" t="s">
        <v>30</v>
      </c>
      <c r="I2" s="95" t="s">
        <v>48</v>
      </c>
      <c r="J2" s="91" t="s">
        <v>49</v>
      </c>
      <c r="K2" s="97"/>
      <c r="L2" s="97"/>
      <c r="M2" s="97"/>
      <c r="R2" s="5"/>
      <c r="S2" s="5"/>
    </row>
    <row r="3" spans="1:19" ht="22.2" thickBot="1" x14ac:dyDescent="0.35">
      <c r="A3" s="14">
        <v>4</v>
      </c>
      <c r="B3" s="14">
        <v>12</v>
      </c>
      <c r="E3" s="14" t="s">
        <v>37</v>
      </c>
      <c r="F3" s="15">
        <v>1.7</v>
      </c>
      <c r="G3" s="15" t="s">
        <v>32</v>
      </c>
      <c r="I3" s="96"/>
      <c r="J3" s="24">
        <v>15</v>
      </c>
      <c r="K3" s="24">
        <v>30</v>
      </c>
      <c r="L3" s="24">
        <v>45</v>
      </c>
      <c r="M3" s="25">
        <v>95</v>
      </c>
      <c r="R3" s="5"/>
      <c r="S3" s="5"/>
    </row>
    <row r="4" spans="1:19" ht="23.25" thickBot="1" x14ac:dyDescent="0.3">
      <c r="A4" s="14">
        <v>6</v>
      </c>
      <c r="B4" s="14">
        <v>18</v>
      </c>
      <c r="E4" s="14" t="s">
        <v>34</v>
      </c>
      <c r="F4" s="15">
        <v>1.7</v>
      </c>
      <c r="G4" s="15" t="s">
        <v>32</v>
      </c>
      <c r="I4" s="16" t="s">
        <v>70</v>
      </c>
      <c r="J4" s="16" t="s">
        <v>52</v>
      </c>
      <c r="K4" s="16">
        <v>1.5</v>
      </c>
      <c r="L4" s="16">
        <v>1.7</v>
      </c>
      <c r="M4" s="16" t="s">
        <v>52</v>
      </c>
      <c r="R4" s="5"/>
      <c r="S4" s="5"/>
    </row>
    <row r="5" spans="1:19" ht="23.25" thickBot="1" x14ac:dyDescent="0.3">
      <c r="A5" s="14">
        <v>9</v>
      </c>
      <c r="B5" s="14">
        <v>31</v>
      </c>
      <c r="E5" s="14" t="s">
        <v>43</v>
      </c>
      <c r="F5" s="15">
        <v>4.4000000000000004</v>
      </c>
      <c r="G5" s="15" t="s">
        <v>44</v>
      </c>
      <c r="I5" s="16" t="s">
        <v>50</v>
      </c>
      <c r="J5" s="16">
        <v>1.1000000000000001</v>
      </c>
      <c r="K5" s="16">
        <v>1.1499999999999999</v>
      </c>
      <c r="L5" s="16">
        <v>1.2</v>
      </c>
      <c r="M5" s="16" t="s">
        <v>52</v>
      </c>
      <c r="R5" s="5"/>
      <c r="S5" s="5"/>
    </row>
    <row r="6" spans="1:19" ht="23.25" thickBot="1" x14ac:dyDescent="0.3">
      <c r="A6" s="14">
        <v>10</v>
      </c>
      <c r="B6" s="14">
        <v>37</v>
      </c>
      <c r="E6" s="14" t="s">
        <v>45</v>
      </c>
      <c r="F6" s="15">
        <v>4.4000000000000004</v>
      </c>
      <c r="G6" s="15" t="s">
        <v>44</v>
      </c>
      <c r="I6" s="16" t="s">
        <v>51</v>
      </c>
      <c r="J6" s="16">
        <v>1.05</v>
      </c>
      <c r="K6" s="16">
        <v>1.1399999999999999</v>
      </c>
      <c r="L6" s="16">
        <v>1.2</v>
      </c>
      <c r="M6" s="16" t="s">
        <v>52</v>
      </c>
      <c r="R6" s="5"/>
      <c r="S6" s="5"/>
    </row>
    <row r="7" spans="1:19" ht="15.75" thickBot="1" x14ac:dyDescent="0.3">
      <c r="A7" s="14">
        <v>12</v>
      </c>
      <c r="B7" s="14">
        <v>55</v>
      </c>
      <c r="E7" s="14" t="s">
        <v>41</v>
      </c>
      <c r="F7" s="15">
        <v>2</v>
      </c>
      <c r="G7" s="15" t="s">
        <v>40</v>
      </c>
      <c r="I7" s="16" t="s">
        <v>59</v>
      </c>
      <c r="J7" s="16">
        <v>1</v>
      </c>
      <c r="K7" s="16">
        <v>1</v>
      </c>
      <c r="L7" s="16">
        <v>1</v>
      </c>
      <c r="M7" s="16">
        <v>1</v>
      </c>
      <c r="R7" s="5"/>
      <c r="S7" s="5"/>
    </row>
    <row r="8" spans="1:19" ht="23.25" thickBot="1" x14ac:dyDescent="0.3">
      <c r="A8" s="14">
        <v>14</v>
      </c>
      <c r="B8" s="14">
        <v>78</v>
      </c>
      <c r="E8" s="14" t="s">
        <v>39</v>
      </c>
      <c r="F8" s="15">
        <v>2</v>
      </c>
      <c r="G8" s="15" t="s">
        <v>40</v>
      </c>
      <c r="I8" s="94" t="s">
        <v>71</v>
      </c>
      <c r="J8" s="94"/>
      <c r="K8" s="94"/>
      <c r="L8" s="94"/>
      <c r="M8" s="94"/>
      <c r="R8" s="5"/>
      <c r="S8" s="5"/>
    </row>
    <row r="9" spans="1:19" ht="15.75" thickBot="1" x14ac:dyDescent="0.3">
      <c r="A9" s="14">
        <v>16</v>
      </c>
      <c r="B9" s="14">
        <v>106</v>
      </c>
      <c r="E9" s="14" t="s">
        <v>42</v>
      </c>
      <c r="F9" s="15">
        <v>2</v>
      </c>
      <c r="G9" s="15" t="s">
        <v>40</v>
      </c>
    </row>
    <row r="10" spans="1:19" ht="15.75" thickBot="1" x14ac:dyDescent="0.3">
      <c r="A10" s="14">
        <v>18</v>
      </c>
      <c r="B10" s="14">
        <v>135</v>
      </c>
      <c r="E10" s="14" t="s">
        <v>31</v>
      </c>
      <c r="F10" s="15">
        <v>1.7</v>
      </c>
      <c r="G10" s="15" t="s">
        <v>32</v>
      </c>
      <c r="I10" s="93" t="s">
        <v>53</v>
      </c>
      <c r="J10" s="93"/>
      <c r="K10" s="18"/>
      <c r="L10" s="18"/>
    </row>
    <row r="11" spans="1:19" ht="15" thickBot="1" x14ac:dyDescent="0.35">
      <c r="A11" s="14">
        <v>20</v>
      </c>
      <c r="B11" s="14">
        <v>165</v>
      </c>
      <c r="E11" s="14" t="s">
        <v>33</v>
      </c>
      <c r="F11" s="15">
        <v>1.7</v>
      </c>
      <c r="G11" s="15" t="s">
        <v>32</v>
      </c>
      <c r="I11" s="95" t="s">
        <v>54</v>
      </c>
      <c r="J11" s="95" t="s">
        <v>55</v>
      </c>
    </row>
    <row r="12" spans="1:19" ht="15" thickBot="1" x14ac:dyDescent="0.35">
      <c r="A12" s="14">
        <v>24</v>
      </c>
      <c r="B12" s="14">
        <v>235</v>
      </c>
      <c r="E12" s="14" t="s">
        <v>36</v>
      </c>
      <c r="F12" s="15">
        <v>1.7</v>
      </c>
      <c r="G12" s="15" t="s">
        <v>32</v>
      </c>
      <c r="I12" s="98"/>
      <c r="J12" s="98"/>
    </row>
    <row r="13" spans="1:19" ht="23.25" thickBot="1" x14ac:dyDescent="0.3">
      <c r="E13" s="14" t="s">
        <v>35</v>
      </c>
      <c r="F13" s="15">
        <v>1.7</v>
      </c>
      <c r="G13" s="15" t="s">
        <v>32</v>
      </c>
      <c r="I13" s="16">
        <v>0</v>
      </c>
      <c r="J13" s="16">
        <v>1</v>
      </c>
    </row>
    <row r="14" spans="1:19" ht="23.25" customHeight="1" thickBot="1" x14ac:dyDescent="0.3">
      <c r="E14" s="14" t="s">
        <v>38</v>
      </c>
      <c r="F14" s="16">
        <v>1.7</v>
      </c>
      <c r="G14" s="16" t="s">
        <v>32</v>
      </c>
      <c r="I14" s="16">
        <v>1</v>
      </c>
      <c r="J14" s="16">
        <v>1.29</v>
      </c>
    </row>
    <row r="15" spans="1:19" ht="15.75" thickBot="1" x14ac:dyDescent="0.3">
      <c r="E15" s="94" t="s">
        <v>46</v>
      </c>
      <c r="F15" s="94"/>
      <c r="G15" s="94"/>
      <c r="I15" s="16">
        <v>2</v>
      </c>
      <c r="J15" s="16">
        <v>1.58</v>
      </c>
    </row>
    <row r="16" spans="1:19" ht="15.75" thickBot="1" x14ac:dyDescent="0.3">
      <c r="I16" s="16">
        <v>3</v>
      </c>
      <c r="J16" s="16">
        <v>1.87</v>
      </c>
    </row>
    <row r="17" spans="9:10" ht="15.75" thickBot="1" x14ac:dyDescent="0.3">
      <c r="I17" s="16">
        <v>4</v>
      </c>
      <c r="J17" s="16">
        <v>2.16</v>
      </c>
    </row>
    <row r="18" spans="9:10" x14ac:dyDescent="0.3">
      <c r="I18" s="17" t="s">
        <v>56</v>
      </c>
      <c r="J18" s="17"/>
    </row>
  </sheetData>
  <sortState ref="E3:G14">
    <sortCondition ref="E2"/>
  </sortState>
  <mergeCells count="9">
    <mergeCell ref="A1:B1"/>
    <mergeCell ref="I10:J10"/>
    <mergeCell ref="E15:G15"/>
    <mergeCell ref="I2:I3"/>
    <mergeCell ref="J2:M2"/>
    <mergeCell ref="I1:M1"/>
    <mergeCell ref="I8:M8"/>
    <mergeCell ref="J11:J12"/>
    <mergeCell ref="I11:I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zoomScale="90" zoomScaleNormal="90" workbookViewId="0">
      <selection activeCell="D20" sqref="D20"/>
    </sheetView>
  </sheetViews>
  <sheetFormatPr defaultRowHeight="14.4" x14ac:dyDescent="0.3"/>
  <cols>
    <col min="1" max="2" width="15.6640625" style="5" customWidth="1"/>
    <col min="3" max="3" width="2.6640625" style="5" customWidth="1"/>
    <col min="4" max="5" width="15.6640625" style="5" customWidth="1"/>
  </cols>
  <sheetData>
    <row r="1" spans="1:8" ht="15" x14ac:dyDescent="0.25">
      <c r="F1" s="5"/>
      <c r="G1" s="5"/>
    </row>
    <row r="2" spans="1:8" ht="15" x14ac:dyDescent="0.25">
      <c r="A2" s="99" t="s">
        <v>68</v>
      </c>
      <c r="B2" s="99"/>
      <c r="D2" s="99" t="s">
        <v>62</v>
      </c>
      <c r="E2" s="99"/>
      <c r="F2" s="5"/>
      <c r="G2" t="s">
        <v>63</v>
      </c>
      <c r="H2">
        <v>0.1764</v>
      </c>
    </row>
    <row r="3" spans="1:8" ht="15" x14ac:dyDescent="0.25">
      <c r="A3" s="5" t="s">
        <v>58</v>
      </c>
      <c r="B3" s="5" t="s">
        <v>57</v>
      </c>
      <c r="D3" s="5" t="s">
        <v>57</v>
      </c>
      <c r="E3" s="21" t="s">
        <v>58</v>
      </c>
      <c r="F3" s="5"/>
      <c r="G3" t="s">
        <v>64</v>
      </c>
      <c r="H3">
        <v>7.8200000000000006E-2</v>
      </c>
    </row>
    <row r="4" spans="1:8" ht="15" x14ac:dyDescent="0.25">
      <c r="A4" s="5">
        <v>0.219</v>
      </c>
      <c r="B4" s="5">
        <v>0.1</v>
      </c>
      <c r="D4" s="5">
        <v>0.12</v>
      </c>
      <c r="E4" s="21">
        <f>((D4/$H$2)+($H$5)^2-$H$4/$H$2)</f>
        <v>1.1149225374201044E-2</v>
      </c>
      <c r="F4" s="5"/>
      <c r="G4" t="s">
        <v>65</v>
      </c>
      <c r="H4">
        <v>0.12670000000000001</v>
      </c>
    </row>
    <row r="5" spans="1:8" ht="23.25" customHeight="1" x14ac:dyDescent="0.25">
      <c r="A5" s="5">
        <v>0.5</v>
      </c>
      <c r="B5" s="5">
        <v>0.2</v>
      </c>
      <c r="D5" s="5">
        <v>0.2</v>
      </c>
      <c r="E5" s="21">
        <f t="shared" ref="E5:E17" si="0">((D5/$H$2)+($H$5)^2-$H$4/$H$2)^0.5-$H$5</f>
        <v>0.46000731841319387</v>
      </c>
      <c r="F5" s="5"/>
      <c r="G5" t="s">
        <v>66</v>
      </c>
      <c r="H5">
        <f>+H3/(2*H2)</f>
        <v>0.22165532879818595</v>
      </c>
    </row>
    <row r="6" spans="1:8" ht="15" x14ac:dyDescent="0.25">
      <c r="A6" s="5">
        <v>0.79</v>
      </c>
      <c r="B6" s="5">
        <v>0.3</v>
      </c>
      <c r="D6" s="5">
        <v>0.3</v>
      </c>
      <c r="E6" s="21">
        <f t="shared" si="0"/>
        <v>0.79400080820858032</v>
      </c>
      <c r="F6" s="5"/>
      <c r="G6" t="s">
        <v>67</v>
      </c>
      <c r="H6">
        <f>+H5^2-H4/H2</f>
        <v>-0.66912288346933635</v>
      </c>
    </row>
    <row r="7" spans="1:8" ht="15" x14ac:dyDescent="0.25">
      <c r="A7" s="5">
        <v>1.05</v>
      </c>
      <c r="B7" s="5">
        <v>0.4</v>
      </c>
      <c r="D7" s="5">
        <v>0.4</v>
      </c>
      <c r="E7" s="21">
        <f t="shared" si="0"/>
        <v>1.0426432169083999</v>
      </c>
    </row>
    <row r="8" spans="1:8" ht="15" x14ac:dyDescent="0.25">
      <c r="A8" s="5">
        <v>1.21</v>
      </c>
      <c r="B8" s="5">
        <v>0.5</v>
      </c>
      <c r="D8" s="5">
        <v>0.5</v>
      </c>
      <c r="E8" s="21">
        <f t="shared" si="0"/>
        <v>1.2498555399051579</v>
      </c>
    </row>
    <row r="9" spans="1:8" ht="15" x14ac:dyDescent="0.25">
      <c r="A9" s="5">
        <v>1.36</v>
      </c>
      <c r="B9" s="5">
        <v>0.6</v>
      </c>
      <c r="D9" s="5">
        <v>0.6</v>
      </c>
      <c r="E9" s="21">
        <f t="shared" si="0"/>
        <v>1.4312928436344377</v>
      </c>
    </row>
    <row r="10" spans="1:8" ht="15" x14ac:dyDescent="0.25">
      <c r="A10" s="5">
        <v>1.52</v>
      </c>
      <c r="B10" s="5">
        <v>0.7</v>
      </c>
      <c r="D10" s="5">
        <v>0.7</v>
      </c>
      <c r="E10" s="21">
        <f t="shared" si="0"/>
        <v>1.5946957068732317</v>
      </c>
    </row>
    <row r="11" spans="1:8" ht="15" x14ac:dyDescent="0.25">
      <c r="A11" s="5">
        <v>1.71</v>
      </c>
      <c r="B11" s="5">
        <v>0.8</v>
      </c>
      <c r="D11" s="5">
        <v>0.8</v>
      </c>
      <c r="E11" s="21">
        <f t="shared" si="0"/>
        <v>1.7445655409977057</v>
      </c>
    </row>
    <row r="12" spans="1:8" ht="15" x14ac:dyDescent="0.25">
      <c r="A12" s="5">
        <v>1.88</v>
      </c>
      <c r="B12" s="5">
        <v>0.9</v>
      </c>
      <c r="D12" s="5">
        <v>0.9</v>
      </c>
      <c r="E12" s="21">
        <f t="shared" si="0"/>
        <v>1.8837942509489032</v>
      </c>
    </row>
    <row r="13" spans="1:8" ht="15" x14ac:dyDescent="0.25">
      <c r="A13" s="5">
        <v>2.0099999999999998</v>
      </c>
      <c r="B13" s="5">
        <v>1</v>
      </c>
      <c r="D13" s="5">
        <v>1</v>
      </c>
      <c r="E13" s="21">
        <f t="shared" si="0"/>
        <v>2.0143704664227622</v>
      </c>
    </row>
    <row r="14" spans="1:8" ht="15" x14ac:dyDescent="0.25">
      <c r="A14" s="5">
        <v>3.1</v>
      </c>
      <c r="B14" s="5">
        <v>2</v>
      </c>
      <c r="D14" s="5">
        <v>2</v>
      </c>
      <c r="E14" s="21">
        <f t="shared" si="0"/>
        <v>3.0446492493537489</v>
      </c>
    </row>
    <row r="15" spans="1:8" ht="15" x14ac:dyDescent="0.25">
      <c r="A15" s="5">
        <v>3.84</v>
      </c>
      <c r="B15" s="5">
        <v>3</v>
      </c>
      <c r="D15" s="5">
        <v>3</v>
      </c>
      <c r="E15" s="21">
        <f t="shared" si="0"/>
        <v>3.8203342602061072</v>
      </c>
    </row>
    <row r="16" spans="1:8" ht="15" x14ac:dyDescent="0.25">
      <c r="A16" s="5">
        <v>4.5</v>
      </c>
      <c r="B16" s="5">
        <v>4</v>
      </c>
      <c r="D16" s="5">
        <v>4</v>
      </c>
      <c r="E16" s="21">
        <f t="shared" si="0"/>
        <v>4.46946544112257</v>
      </c>
    </row>
    <row r="17" spans="1:7" ht="15" x14ac:dyDescent="0.25">
      <c r="A17" s="5">
        <v>5</v>
      </c>
      <c r="B17" s="5">
        <v>5</v>
      </c>
      <c r="D17" s="5">
        <v>5</v>
      </c>
      <c r="E17" s="21">
        <f t="shared" si="0"/>
        <v>5.0391001605155612</v>
      </c>
    </row>
    <row r="18" spans="1:7" ht="15" x14ac:dyDescent="0.25">
      <c r="B18" s="100" t="s">
        <v>69</v>
      </c>
      <c r="C18" s="100"/>
      <c r="D18" s="23">
        <v>0.15</v>
      </c>
      <c r="E18" s="23">
        <v>0.3</v>
      </c>
      <c r="F18" s="23">
        <v>0.45</v>
      </c>
      <c r="G18" s="23">
        <v>0.95</v>
      </c>
    </row>
    <row r="19" spans="1:7" ht="15" x14ac:dyDescent="0.25">
      <c r="D19" s="69">
        <f>+Calculations!$I$14+Calculations!I17+Calculations!$H$24</f>
        <v>3.0225989690721651</v>
      </c>
      <c r="E19" s="69">
        <f>+Calculations!$I$14+Calculations!J17+Calculations!$H$24</f>
        <v>3.0225989690721651</v>
      </c>
      <c r="F19" s="69">
        <f>+Calculations!$I$14+Calculations!K17+Calculations!$H$24</f>
        <v>3.0225989690721651</v>
      </c>
      <c r="G19" s="69">
        <f>+Calculations!$I$14+Calculations!L17+Calculations!$H$24</f>
        <v>3.0225989690721651</v>
      </c>
    </row>
    <row r="20" spans="1:7" ht="15" x14ac:dyDescent="0.25">
      <c r="D20" s="21">
        <f>IF(D19&gt;5,D19,((D19/$H$2)+($H$5)^2-$H$4/$H$2)^0.5-$H$5)</f>
        <v>3.8361509636693576</v>
      </c>
      <c r="E20" s="21">
        <f t="shared" ref="E20:G20" si="1">IF(E19&gt;5,E19,((E19/$H$2)+($H$5)^2-$H$4/$H$2)^0.5-$H$5)</f>
        <v>3.8361509636693576</v>
      </c>
      <c r="F20" s="21">
        <f t="shared" si="1"/>
        <v>3.8361509636693576</v>
      </c>
      <c r="G20" s="21">
        <f t="shared" si="1"/>
        <v>3.8361509636693576</v>
      </c>
    </row>
  </sheetData>
  <mergeCells count="3">
    <mergeCell ref="A2:B2"/>
    <mergeCell ref="D2:E2"/>
    <mergeCell ref="B18:C18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zoomScale="110" zoomScaleNormal="110" workbookViewId="0">
      <pane ySplit="9" topLeftCell="A10" activePane="bottomLeft" state="frozen"/>
      <selection pane="bottomLeft" activeCell="J6" sqref="J6"/>
    </sheetView>
  </sheetViews>
  <sheetFormatPr defaultRowHeight="14.4" x14ac:dyDescent="0.3"/>
  <cols>
    <col min="1" max="1" width="10.6640625" customWidth="1"/>
    <col min="3" max="3" width="9.109375" style="5"/>
    <col min="4" max="4" width="10.33203125" style="5" customWidth="1"/>
    <col min="5" max="8" width="9.109375" style="5"/>
  </cols>
  <sheetData>
    <row r="1" spans="1:15" ht="29.25" customHeight="1" x14ac:dyDescent="0.3">
      <c r="A1" s="101" t="s">
        <v>118</v>
      </c>
      <c r="B1" s="101"/>
      <c r="C1" s="101"/>
      <c r="D1" s="101"/>
      <c r="E1" s="101"/>
      <c r="F1" s="101"/>
      <c r="G1" s="101"/>
      <c r="H1" s="101"/>
      <c r="I1" s="101"/>
      <c r="J1" s="101"/>
      <c r="K1" s="51" t="s">
        <v>93</v>
      </c>
    </row>
    <row r="2" spans="1:15" ht="28.8" x14ac:dyDescent="0.3">
      <c r="A2" s="40" t="s">
        <v>84</v>
      </c>
      <c r="B2" s="40" t="s">
        <v>85</v>
      </c>
      <c r="C2" s="40" t="s">
        <v>86</v>
      </c>
      <c r="D2" s="40" t="s">
        <v>87</v>
      </c>
      <c r="E2" s="40" t="s">
        <v>88</v>
      </c>
      <c r="F2" s="40" t="s">
        <v>89</v>
      </c>
      <c r="G2" s="40" t="s">
        <v>90</v>
      </c>
      <c r="H2" s="40" t="s">
        <v>91</v>
      </c>
      <c r="I2" s="40" t="s">
        <v>119</v>
      </c>
    </row>
    <row r="3" spans="1:15" ht="19.95" customHeight="1" x14ac:dyDescent="0.3">
      <c r="A3" s="41" t="s">
        <v>92</v>
      </c>
      <c r="B3" s="42" t="s">
        <v>93</v>
      </c>
      <c r="C3" s="45">
        <v>4</v>
      </c>
      <c r="D3" s="45">
        <v>10</v>
      </c>
      <c r="E3" s="45">
        <v>5</v>
      </c>
      <c r="F3" s="46">
        <v>3.625</v>
      </c>
      <c r="G3" s="45">
        <v>1</v>
      </c>
      <c r="H3" s="46">
        <v>7.25</v>
      </c>
      <c r="I3" s="46">
        <f>F3+E3/2</f>
        <v>6.125</v>
      </c>
    </row>
    <row r="4" spans="1:15" ht="19.95" customHeight="1" x14ac:dyDescent="0.3">
      <c r="A4" s="43" t="s">
        <v>94</v>
      </c>
      <c r="B4" s="44" t="s">
        <v>93</v>
      </c>
      <c r="C4" s="47">
        <v>4</v>
      </c>
      <c r="D4" s="47">
        <v>12</v>
      </c>
      <c r="E4" s="47">
        <v>5</v>
      </c>
      <c r="F4" s="48">
        <v>3.625</v>
      </c>
      <c r="G4" s="47">
        <v>1</v>
      </c>
      <c r="H4" s="48">
        <v>7.25</v>
      </c>
      <c r="I4" s="48">
        <f t="shared" ref="I4:I27" si="0">F4+E4/2</f>
        <v>6.125</v>
      </c>
    </row>
    <row r="5" spans="1:15" ht="19.95" customHeight="1" x14ac:dyDescent="0.3">
      <c r="A5" s="41" t="s">
        <v>95</v>
      </c>
      <c r="B5" s="42" t="s">
        <v>93</v>
      </c>
      <c r="C5" s="45">
        <v>4</v>
      </c>
      <c r="D5" s="45">
        <v>14</v>
      </c>
      <c r="E5" s="45">
        <v>5</v>
      </c>
      <c r="F5" s="46">
        <v>3.625</v>
      </c>
      <c r="G5" s="45">
        <v>1</v>
      </c>
      <c r="H5" s="46">
        <v>7.125</v>
      </c>
      <c r="I5" s="46">
        <f t="shared" si="0"/>
        <v>6.125</v>
      </c>
    </row>
    <row r="6" spans="1:15" ht="19.95" customHeight="1" x14ac:dyDescent="0.3">
      <c r="A6" s="43" t="s">
        <v>96</v>
      </c>
      <c r="B6" s="44" t="s">
        <v>93</v>
      </c>
      <c r="C6" s="47">
        <v>4</v>
      </c>
      <c r="D6" s="47">
        <v>16</v>
      </c>
      <c r="E6" s="47">
        <v>5</v>
      </c>
      <c r="F6" s="48">
        <v>3.625</v>
      </c>
      <c r="G6" s="47">
        <v>1</v>
      </c>
      <c r="H6" s="48">
        <v>7.125</v>
      </c>
      <c r="I6" s="48">
        <f t="shared" si="0"/>
        <v>6.125</v>
      </c>
      <c r="O6" s="68" t="s">
        <v>119</v>
      </c>
    </row>
    <row r="7" spans="1:15" ht="19.95" customHeight="1" x14ac:dyDescent="0.3">
      <c r="A7" s="41" t="s">
        <v>97</v>
      </c>
      <c r="B7" s="42" t="s">
        <v>93</v>
      </c>
      <c r="C7" s="45">
        <v>6</v>
      </c>
      <c r="D7" s="45">
        <v>10</v>
      </c>
      <c r="E7" s="45">
        <v>7</v>
      </c>
      <c r="F7" s="46">
        <v>4.5</v>
      </c>
      <c r="G7" s="46">
        <v>1.25</v>
      </c>
      <c r="H7" s="46">
        <v>9.75</v>
      </c>
      <c r="I7" s="46">
        <f t="shared" si="0"/>
        <v>8</v>
      </c>
    </row>
    <row r="8" spans="1:15" ht="19.95" customHeight="1" x14ac:dyDescent="0.3">
      <c r="A8" s="43" t="s">
        <v>98</v>
      </c>
      <c r="B8" s="44" t="s">
        <v>93</v>
      </c>
      <c r="C8" s="47">
        <v>6</v>
      </c>
      <c r="D8" s="47">
        <v>12</v>
      </c>
      <c r="E8" s="47">
        <v>7</v>
      </c>
      <c r="F8" s="48">
        <v>4.5</v>
      </c>
      <c r="G8" s="48">
        <v>1.25</v>
      </c>
      <c r="H8" s="48">
        <v>9.75</v>
      </c>
      <c r="I8" s="48">
        <f t="shared" si="0"/>
        <v>8</v>
      </c>
    </row>
    <row r="9" spans="1:15" ht="19.95" customHeight="1" x14ac:dyDescent="0.3">
      <c r="A9" s="41" t="s">
        <v>99</v>
      </c>
      <c r="B9" s="42" t="s">
        <v>93</v>
      </c>
      <c r="C9" s="45">
        <v>6</v>
      </c>
      <c r="D9" s="45">
        <v>14</v>
      </c>
      <c r="E9" s="45">
        <v>7</v>
      </c>
      <c r="F9" s="46">
        <v>4.5</v>
      </c>
      <c r="G9" s="46">
        <v>1.25</v>
      </c>
      <c r="H9" s="49">
        <v>9.6875</v>
      </c>
      <c r="I9" s="49">
        <f t="shared" si="0"/>
        <v>8</v>
      </c>
    </row>
    <row r="10" spans="1:15" ht="19.95" customHeight="1" x14ac:dyDescent="0.3">
      <c r="A10" s="43" t="s">
        <v>100</v>
      </c>
      <c r="B10" s="44" t="s">
        <v>93</v>
      </c>
      <c r="C10" s="47">
        <v>6</v>
      </c>
      <c r="D10" s="47">
        <v>16</v>
      </c>
      <c r="E10" s="47">
        <v>7</v>
      </c>
      <c r="F10" s="48">
        <v>4.5</v>
      </c>
      <c r="G10" s="48">
        <v>1.25</v>
      </c>
      <c r="H10" s="48">
        <v>9.625</v>
      </c>
      <c r="I10" s="48">
        <f t="shared" si="0"/>
        <v>8</v>
      </c>
    </row>
    <row r="11" spans="1:15" ht="19.95" customHeight="1" x14ac:dyDescent="0.3">
      <c r="A11" s="41" t="s">
        <v>101</v>
      </c>
      <c r="B11" s="42" t="s">
        <v>93</v>
      </c>
      <c r="C11" s="45">
        <v>9</v>
      </c>
      <c r="D11" s="45">
        <v>10</v>
      </c>
      <c r="E11" s="45">
        <v>10</v>
      </c>
      <c r="F11" s="46">
        <v>6.125</v>
      </c>
      <c r="G11" s="46">
        <v>1.5</v>
      </c>
      <c r="H11" s="46">
        <v>13.25</v>
      </c>
      <c r="I11" s="46">
        <f t="shared" si="0"/>
        <v>11.125</v>
      </c>
    </row>
    <row r="12" spans="1:15" ht="19.95" customHeight="1" x14ac:dyDescent="0.3">
      <c r="A12" s="43" t="s">
        <v>102</v>
      </c>
      <c r="B12" s="44" t="s">
        <v>93</v>
      </c>
      <c r="C12" s="47">
        <v>9</v>
      </c>
      <c r="D12" s="47">
        <v>12</v>
      </c>
      <c r="E12" s="47">
        <v>10</v>
      </c>
      <c r="F12" s="48">
        <v>6.125</v>
      </c>
      <c r="G12" s="48">
        <v>1.5</v>
      </c>
      <c r="H12" s="50">
        <v>13.1875</v>
      </c>
      <c r="I12" s="50">
        <f t="shared" si="0"/>
        <v>11.125</v>
      </c>
    </row>
    <row r="13" spans="1:15" ht="19.95" customHeight="1" x14ac:dyDescent="0.3">
      <c r="A13" s="41" t="s">
        <v>103</v>
      </c>
      <c r="B13" s="42" t="s">
        <v>93</v>
      </c>
      <c r="C13" s="45">
        <v>9</v>
      </c>
      <c r="D13" s="45">
        <v>14</v>
      </c>
      <c r="E13" s="45">
        <v>10</v>
      </c>
      <c r="F13" s="46">
        <v>6.125</v>
      </c>
      <c r="G13" s="46">
        <v>1.5</v>
      </c>
      <c r="H13" s="49">
        <v>13.1875</v>
      </c>
      <c r="I13" s="49">
        <f t="shared" si="0"/>
        <v>11.125</v>
      </c>
    </row>
    <row r="14" spans="1:15" ht="19.95" customHeight="1" x14ac:dyDescent="0.3">
      <c r="A14" s="43" t="s">
        <v>104</v>
      </c>
      <c r="B14" s="44" t="s">
        <v>93</v>
      </c>
      <c r="C14" s="47">
        <v>9</v>
      </c>
      <c r="D14" s="50">
        <f>3/16</f>
        <v>0.1875</v>
      </c>
      <c r="E14" s="47">
        <v>10</v>
      </c>
      <c r="F14" s="48">
        <v>6.125</v>
      </c>
      <c r="G14" s="48">
        <v>1.5</v>
      </c>
      <c r="H14" s="48">
        <v>13.375</v>
      </c>
      <c r="I14" s="48">
        <f t="shared" si="0"/>
        <v>11.125</v>
      </c>
    </row>
    <row r="15" spans="1:15" ht="19.95" customHeight="1" x14ac:dyDescent="0.3">
      <c r="A15" s="41" t="s">
        <v>105</v>
      </c>
      <c r="B15" s="42" t="s">
        <v>93</v>
      </c>
      <c r="C15" s="45">
        <v>10</v>
      </c>
      <c r="D15" s="45">
        <v>10</v>
      </c>
      <c r="E15" s="45">
        <v>11</v>
      </c>
      <c r="F15" s="46">
        <v>6.375</v>
      </c>
      <c r="G15" s="46">
        <v>1.5</v>
      </c>
      <c r="H15" s="46">
        <v>14.625</v>
      </c>
      <c r="I15" s="46">
        <f t="shared" si="0"/>
        <v>11.875</v>
      </c>
    </row>
    <row r="16" spans="1:15" ht="19.95" customHeight="1" x14ac:dyDescent="0.3">
      <c r="A16" s="43" t="s">
        <v>106</v>
      </c>
      <c r="B16" s="44" t="s">
        <v>93</v>
      </c>
      <c r="C16" s="47">
        <v>10</v>
      </c>
      <c r="D16" s="47">
        <v>12</v>
      </c>
      <c r="E16" s="47">
        <v>11</v>
      </c>
      <c r="F16" s="48">
        <v>6.375</v>
      </c>
      <c r="G16" s="48">
        <v>1.5</v>
      </c>
      <c r="H16" s="48">
        <v>14.5</v>
      </c>
      <c r="I16" s="48">
        <f t="shared" si="0"/>
        <v>11.875</v>
      </c>
    </row>
    <row r="17" spans="1:9" ht="19.95" customHeight="1" x14ac:dyDescent="0.3">
      <c r="A17" s="41" t="s">
        <v>107</v>
      </c>
      <c r="B17" s="42" t="s">
        <v>93</v>
      </c>
      <c r="C17" s="45">
        <v>10</v>
      </c>
      <c r="D17" s="45">
        <v>14</v>
      </c>
      <c r="E17" s="45">
        <v>11</v>
      </c>
      <c r="F17" s="46">
        <v>6.375</v>
      </c>
      <c r="G17" s="46">
        <v>1.5</v>
      </c>
      <c r="H17" s="46">
        <v>14.375</v>
      </c>
      <c r="I17" s="46">
        <f t="shared" si="0"/>
        <v>11.875</v>
      </c>
    </row>
    <row r="18" spans="1:9" ht="19.95" customHeight="1" x14ac:dyDescent="0.3">
      <c r="A18" s="43" t="s">
        <v>108</v>
      </c>
      <c r="B18" s="44" t="s">
        <v>93</v>
      </c>
      <c r="C18" s="47">
        <v>10</v>
      </c>
      <c r="D18" s="50">
        <f>3/16</f>
        <v>0.1875</v>
      </c>
      <c r="E18" s="47">
        <v>11</v>
      </c>
      <c r="F18" s="48">
        <v>6.375</v>
      </c>
      <c r="G18" s="48">
        <v>1.5</v>
      </c>
      <c r="H18" s="48">
        <v>14.75</v>
      </c>
      <c r="I18" s="48">
        <f t="shared" si="0"/>
        <v>11.875</v>
      </c>
    </row>
    <row r="19" spans="1:9" ht="19.95" customHeight="1" x14ac:dyDescent="0.3">
      <c r="A19" s="41" t="s">
        <v>109</v>
      </c>
      <c r="B19" s="42" t="s">
        <v>93</v>
      </c>
      <c r="C19" s="45">
        <v>12</v>
      </c>
      <c r="D19" s="45">
        <v>10</v>
      </c>
      <c r="E19" s="45">
        <v>13</v>
      </c>
      <c r="F19" s="46">
        <v>7.75</v>
      </c>
      <c r="G19" s="45">
        <v>2</v>
      </c>
      <c r="H19" s="46">
        <v>17.25</v>
      </c>
      <c r="I19" s="46">
        <f t="shared" si="0"/>
        <v>14.25</v>
      </c>
    </row>
    <row r="20" spans="1:9" ht="19.95" customHeight="1" x14ac:dyDescent="0.3">
      <c r="A20" s="43" t="s">
        <v>110</v>
      </c>
      <c r="B20" s="44" t="s">
        <v>93</v>
      </c>
      <c r="C20" s="47">
        <v>12</v>
      </c>
      <c r="D20" s="47">
        <v>12</v>
      </c>
      <c r="E20" s="47">
        <v>13</v>
      </c>
      <c r="F20" s="48">
        <v>7.75</v>
      </c>
      <c r="G20" s="47">
        <v>2</v>
      </c>
      <c r="H20" s="50">
        <v>17.1875</v>
      </c>
      <c r="I20" s="50">
        <f t="shared" si="0"/>
        <v>14.25</v>
      </c>
    </row>
    <row r="21" spans="1:9" ht="19.95" customHeight="1" x14ac:dyDescent="0.3">
      <c r="A21" s="41" t="s">
        <v>111</v>
      </c>
      <c r="B21" s="42" t="s">
        <v>93</v>
      </c>
      <c r="C21" s="45">
        <v>12</v>
      </c>
      <c r="D21" s="49">
        <v>0.25</v>
      </c>
      <c r="E21" s="45">
        <v>13</v>
      </c>
      <c r="F21" s="46">
        <v>7.75</v>
      </c>
      <c r="G21" s="45">
        <v>2</v>
      </c>
      <c r="H21" s="46">
        <v>17.5</v>
      </c>
      <c r="I21" s="46">
        <f t="shared" si="0"/>
        <v>14.25</v>
      </c>
    </row>
    <row r="22" spans="1:9" ht="19.95" customHeight="1" x14ac:dyDescent="0.3">
      <c r="A22" s="43" t="s">
        <v>112</v>
      </c>
      <c r="B22" s="44" t="s">
        <v>93</v>
      </c>
      <c r="C22" s="47">
        <v>12</v>
      </c>
      <c r="D22" s="50">
        <f>3/16</f>
        <v>0.1875</v>
      </c>
      <c r="E22" s="47">
        <v>13</v>
      </c>
      <c r="F22" s="48">
        <v>7.75</v>
      </c>
      <c r="G22" s="47">
        <v>2</v>
      </c>
      <c r="H22" s="48">
        <v>17.375</v>
      </c>
      <c r="I22" s="48">
        <f t="shared" si="0"/>
        <v>14.25</v>
      </c>
    </row>
    <row r="23" spans="1:9" ht="19.95" customHeight="1" x14ac:dyDescent="0.3">
      <c r="A23" s="41" t="s">
        <v>113</v>
      </c>
      <c r="B23" s="42" t="s">
        <v>93</v>
      </c>
      <c r="C23" s="45">
        <v>14</v>
      </c>
      <c r="D23" s="45">
        <v>10</v>
      </c>
      <c r="E23" s="45">
        <v>15</v>
      </c>
      <c r="F23" s="46">
        <v>9.25</v>
      </c>
      <c r="G23" s="45">
        <v>2</v>
      </c>
      <c r="H23" s="46">
        <v>19.25</v>
      </c>
      <c r="I23" s="46">
        <f t="shared" si="0"/>
        <v>16.75</v>
      </c>
    </row>
    <row r="24" spans="1:9" ht="19.95" customHeight="1" x14ac:dyDescent="0.3">
      <c r="A24" s="43" t="s">
        <v>114</v>
      </c>
      <c r="B24" s="44" t="s">
        <v>93</v>
      </c>
      <c r="C24" s="47">
        <v>14</v>
      </c>
      <c r="D24" s="47">
        <v>12</v>
      </c>
      <c r="E24" s="47">
        <v>15</v>
      </c>
      <c r="F24" s="48">
        <v>9.25</v>
      </c>
      <c r="G24" s="47">
        <v>2</v>
      </c>
      <c r="H24" s="50">
        <v>19.1875</v>
      </c>
      <c r="I24" s="50">
        <f t="shared" si="0"/>
        <v>16.75</v>
      </c>
    </row>
    <row r="25" spans="1:9" ht="19.95" customHeight="1" x14ac:dyDescent="0.3">
      <c r="A25" s="41" t="s">
        <v>115</v>
      </c>
      <c r="B25" s="42" t="s">
        <v>93</v>
      </c>
      <c r="C25" s="45">
        <v>14</v>
      </c>
      <c r="D25" s="49">
        <v>0.25</v>
      </c>
      <c r="E25" s="45">
        <v>15</v>
      </c>
      <c r="F25" s="46">
        <v>9.25</v>
      </c>
      <c r="G25" s="45">
        <v>2</v>
      </c>
      <c r="H25" s="46">
        <v>19.5</v>
      </c>
      <c r="I25" s="46">
        <f t="shared" si="0"/>
        <v>16.75</v>
      </c>
    </row>
    <row r="26" spans="1:9" ht="19.95" customHeight="1" x14ac:dyDescent="0.3">
      <c r="A26" s="43" t="s">
        <v>116</v>
      </c>
      <c r="B26" s="44" t="s">
        <v>93</v>
      </c>
      <c r="C26" s="47">
        <v>14</v>
      </c>
      <c r="D26" s="50">
        <f>3/16</f>
        <v>0.1875</v>
      </c>
      <c r="E26" s="47">
        <v>15</v>
      </c>
      <c r="F26" s="48">
        <v>9.25</v>
      </c>
      <c r="G26" s="47">
        <v>2</v>
      </c>
      <c r="H26" s="48">
        <v>19.375</v>
      </c>
      <c r="I26" s="48">
        <f t="shared" si="0"/>
        <v>16.75</v>
      </c>
    </row>
    <row r="27" spans="1:9" ht="19.95" customHeight="1" x14ac:dyDescent="0.3">
      <c r="A27" s="41" t="s">
        <v>117</v>
      </c>
      <c r="B27" s="42" t="s">
        <v>93</v>
      </c>
      <c r="C27" s="45">
        <v>16</v>
      </c>
      <c r="D27" s="45">
        <v>10</v>
      </c>
      <c r="E27" s="45">
        <v>17</v>
      </c>
      <c r="F27" s="46">
        <v>10.625</v>
      </c>
      <c r="G27" s="45">
        <v>2</v>
      </c>
      <c r="H27" s="46">
        <v>21.25</v>
      </c>
      <c r="I27" s="46">
        <f t="shared" si="0"/>
        <v>19.125</v>
      </c>
    </row>
    <row r="28" spans="1:9" ht="19.95" customHeight="1" x14ac:dyDescent="0.3"/>
  </sheetData>
  <mergeCells count="1">
    <mergeCell ref="A1:J1"/>
  </mergeCells>
  <hyperlinks>
    <hyperlink ref="A2" r:id="rId1" display="javascript:AjaxNS.AR('_ctl0$contentCatalog$itemViewer$dgItems','Sort$Product Name', '_ctl0_contentCatalog_itemViewer_RadAjaxManager1', event)"/>
    <hyperlink ref="B2" r:id="rId2" display="javascript:AjaxNS.AR('_ctl0$contentCatalog$itemViewer$dgItems','Sort$Product Name', '_ctl0_contentCatalog_itemViewer_RadAjaxManager1', event)"/>
    <hyperlink ref="C2" r:id="rId3" display="javascript:AjaxNS.AR('_ctl0$contentCatalog$itemViewer$dgItems','Sort$Conv. Dia.', '_ctl0_contentCatalog_itemViewer_RadAjaxManager1', event)"/>
    <hyperlink ref="D2" r:id="rId4" display="javascript:AjaxNS.AR('_ctl0$contentCatalog$itemViewer$dgItems','Sort$Trough Thickness', '_ctl0_contentCatalog_itemViewer_RadAjaxManager1', event)"/>
    <hyperlink ref="E2" r:id="rId5" display="javascript:AjaxNS.AR('_ctl0$contentCatalog$itemViewer$dgItems','Sort$A', '_ctl0_contentCatalog_itemViewer_RadAjaxManager1', event)"/>
    <hyperlink ref="F2" r:id="rId6" display="javascript:AjaxNS.AR('_ctl0$contentCatalog$itemViewer$dgItems','Sort$B', '_ctl0_contentCatalog_itemViewer_RadAjaxManager1', event)"/>
    <hyperlink ref="G2" r:id="rId7" display="javascript:AjaxNS.AR('_ctl0$contentCatalog$itemViewer$dgItems','Sort$C', '_ctl0_contentCatalog_itemViewer_RadAjaxManager1', event)"/>
    <hyperlink ref="H2" r:id="rId8" display="javascript:AjaxNS.AR('_ctl0$contentCatalog$itemViewer$dgItems','Sort$D', '_ctl0_contentCatalog_itemViewer_RadAjaxManager1', event)"/>
    <hyperlink ref="A3" r:id="rId9" display="http://www.kwsmfg.com/catalog/ItemView.aspx?id=8859"/>
    <hyperlink ref="A4" r:id="rId10" display="http://www.kwsmfg.com/catalog/ItemView.aspx?id=8860"/>
    <hyperlink ref="A5" r:id="rId11" display="http://www.kwsmfg.com/catalog/ItemView.aspx?id=8861"/>
    <hyperlink ref="A6" r:id="rId12" display="http://www.kwsmfg.com/catalog/ItemView.aspx?id=8862"/>
    <hyperlink ref="A7" r:id="rId13" display="http://www.kwsmfg.com/catalog/ItemView.aspx?id=8863"/>
    <hyperlink ref="A8" r:id="rId14" display="http://www.kwsmfg.com/catalog/ItemView.aspx?id=8864"/>
    <hyperlink ref="A9" r:id="rId15" display="http://www.kwsmfg.com/catalog/ItemView.aspx?id=8865"/>
    <hyperlink ref="A10" r:id="rId16" display="http://www.kwsmfg.com/catalog/ItemView.aspx?id=8866"/>
    <hyperlink ref="A11" r:id="rId17" display="http://www.kwsmfg.com/catalog/ItemView.aspx?id=8867"/>
    <hyperlink ref="A12" r:id="rId18" display="http://www.kwsmfg.com/catalog/ItemView.aspx?id=8868"/>
    <hyperlink ref="A13" r:id="rId19" display="http://www.kwsmfg.com/catalog/ItemView.aspx?id=8869"/>
    <hyperlink ref="A14" r:id="rId20" display="http://www.kwsmfg.com/catalog/ItemView.aspx?id=8870"/>
    <hyperlink ref="A15" r:id="rId21" display="http://www.kwsmfg.com/catalog/ItemView.aspx?id=8833"/>
    <hyperlink ref="A16" r:id="rId22" display="http://www.kwsmfg.com/catalog/ItemView.aspx?id=8834"/>
    <hyperlink ref="A17" r:id="rId23" display="http://www.kwsmfg.com/catalog/ItemView.aspx?id=8835"/>
    <hyperlink ref="A18" r:id="rId24" display="http://www.kwsmfg.com/catalog/ItemView.aspx?id=8836"/>
    <hyperlink ref="A19" r:id="rId25" display="http://www.kwsmfg.com/catalog/ItemView.aspx?id=8837"/>
    <hyperlink ref="A20" r:id="rId26" display="http://www.kwsmfg.com/catalog/ItemView.aspx?id=8838"/>
    <hyperlink ref="A21" r:id="rId27" display="http://www.kwsmfg.com/catalog/ItemView.aspx?id=8839"/>
    <hyperlink ref="A22" r:id="rId28" display="http://www.kwsmfg.com/catalog/ItemView.aspx?id=8840"/>
    <hyperlink ref="A23" r:id="rId29" display="http://www.kwsmfg.com/catalog/ItemView.aspx?id=8841"/>
    <hyperlink ref="A24" r:id="rId30" display="http://www.kwsmfg.com/catalog/ItemView.aspx?id=8842"/>
    <hyperlink ref="A25" r:id="rId31" display="http://www.kwsmfg.com/catalog/ItemView.aspx?id=8843"/>
    <hyperlink ref="A26" r:id="rId32" display="http://www.kwsmfg.com/catalog/ItemView.aspx?id=8844"/>
    <hyperlink ref="A27" r:id="rId33" display="http://www.kwsmfg.com/catalog/ItemView.aspx?id=8845"/>
    <hyperlink ref="I2" r:id="rId34" display="javascript:AjaxNS.AR('_ctl0$contentCatalog$itemViewer$dgItems','Sort$D', '_ctl0_contentCatalog_itemViewer_RadAjaxManager1', event)"/>
  </hyperlinks>
  <pageMargins left="0.7" right="0.7" top="0.75" bottom="0.75" header="0.3" footer="0.3"/>
  <pageSetup orientation="portrait" r:id="rId35"/>
  <drawing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Calculations</vt:lpstr>
      <vt:lpstr>Data</vt:lpstr>
      <vt:lpstr>HP Correction</vt:lpstr>
      <vt:lpstr>Trough dims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Barlow</dc:creator>
  <cp:lastModifiedBy>David Barlow</cp:lastModifiedBy>
  <cp:lastPrinted>2012-05-03T18:05:04Z</cp:lastPrinted>
  <dcterms:created xsi:type="dcterms:W3CDTF">2011-03-01T17:06:45Z</dcterms:created>
  <dcterms:modified xsi:type="dcterms:W3CDTF">2012-11-09T17:42:14Z</dcterms:modified>
</cp:coreProperties>
</file>